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 codeName="ThisWorkbook"/>
  <xr:revisionPtr revIDLastSave="109" documentId="8_{B5AB9ABD-2E5B-47D0-824C-C11987A6E41E}" xr6:coauthVersionLast="47" xr6:coauthVersionMax="47" xr10:uidLastSave="{31D957B3-FE63-49DB-8095-176725811179}"/>
  <bookViews>
    <workbookView xWindow="-28920" yWindow="-120" windowWidth="29040" windowHeight="15720" tabRatio="837" firstSheet="43" activeTab="50" xr2:uid="{00000000-000D-0000-FFFF-FFFF00000000}"/>
  </bookViews>
  <sheets>
    <sheet name="Historiques" sheetId="2" r:id="rId1"/>
    <sheet name="Probois 43" sheetId="21" r:id="rId2"/>
    <sheet name="SAS Emballages" sheetId="153" r:id="rId3"/>
    <sheet name="BSB" sheetId="161" r:id="rId4"/>
    <sheet name="Montage" sheetId="5" r:id="rId5"/>
    <sheet name="Organ. Capital." sheetId="22" r:id="rId6"/>
    <sheet name="BP - Projet 1" sheetId="3" state="hidden" r:id="rId7"/>
    <sheet name="BP Agrégé" sheetId="23" state="hidden" r:id="rId8"/>
    <sheet name="BP - Management" sheetId="27" r:id="rId9"/>
    <sheet name="Probois 43 - P&amp;L" sheetId="147" r:id="rId10"/>
    <sheet name="Probois 43 - CF" sheetId="148" r:id="rId11"/>
    <sheet name="Probois 43 - Bilan" sheetId="149" r:id="rId12"/>
    <sheet name="SAS EMB - P&amp;L" sheetId="162" r:id="rId13"/>
    <sheet name="SAS EMB - CF" sheetId="163" r:id="rId14"/>
    <sheet name="SAS EMB - Bilan" sheetId="164" r:id="rId15"/>
    <sheet name="BSB - P&amp;L" sheetId="166" r:id="rId16"/>
    <sheet name="BSB - CF" sheetId="167" r:id="rId17"/>
    <sheet name="BSB - Bilan" sheetId="168" r:id="rId18"/>
    <sheet name="Profilyss - P&amp;L" sheetId="179" r:id="rId19"/>
    <sheet name="Profilyss - CF" sheetId="181" r:id="rId20"/>
    <sheet name="Profilyss - Bilan" sheetId="180" r:id="rId21"/>
    <sheet name="SCI - P&amp;L" sheetId="175" r:id="rId22"/>
    <sheet name="SCI - CF" sheetId="177" r:id="rId23"/>
    <sheet name="SCI - Bilan" sheetId="176" r:id="rId24"/>
    <sheet name="SC des SUCS - P&amp;L" sheetId="172" r:id="rId25"/>
    <sheet name="SC des SUCS - CF" sheetId="174" r:id="rId26"/>
    <sheet name="SC des SUCS - Bilan" sheetId="173" r:id="rId27"/>
    <sheet name="BP - Forinvest" sheetId="155" r:id="rId28"/>
    <sheet name="Probois 43 - P&amp;L (2)" sheetId="187" r:id="rId29"/>
    <sheet name="Probois 43 - CF (2)" sheetId="189" r:id="rId30"/>
    <sheet name="Probois 43 - Bilan (2)" sheetId="188" r:id="rId31"/>
    <sheet name="SAS EMB - P&amp;L (2)" sheetId="190" r:id="rId32"/>
    <sheet name="SAS EMB - CF (2)" sheetId="192" r:id="rId33"/>
    <sheet name="SAS EMB - Bilan (2)" sheetId="191" r:id="rId34"/>
    <sheet name="BSB - P&amp;L (2)" sheetId="193" r:id="rId35"/>
    <sheet name="BSB - CF (2)" sheetId="195" r:id="rId36"/>
    <sheet name="BSB - Bilan (2)" sheetId="194" r:id="rId37"/>
    <sheet name="Profilyss - P&amp;L (2)" sheetId="184" r:id="rId38"/>
    <sheet name="Profilyss - CF (2)" sheetId="182" r:id="rId39"/>
    <sheet name="Profilyss - Bilan (2)" sheetId="183" r:id="rId40"/>
    <sheet name="SC des SUCS - P&amp;L (2)" sheetId="200" r:id="rId41"/>
    <sheet name="SC des SUCS - CF (2)" sheetId="201" r:id="rId42"/>
    <sheet name="SC des SUCS - Bilan (2)" sheetId="202" r:id="rId43"/>
    <sheet name="SCI - P&amp;L (2)" sheetId="198" r:id="rId44"/>
    <sheet name="SCI - CF (2)" sheetId="196" r:id="rId45"/>
    <sheet name="SCI - Bilan (2)" sheetId="199" r:id="rId46"/>
    <sheet name="Antreuil - P&amp;L (2)" sheetId="207" r:id="rId47"/>
    <sheet name="Antreuil - CF (2)" sheetId="209" r:id="rId48"/>
    <sheet name="Antreuil - Bilan (2)" sheetId="208" r:id="rId49"/>
    <sheet name="Agrégé - P&amp;L (2)" sheetId="203" r:id="rId50"/>
    <sheet name="Agrégé - CF (2)" sheetId="206" r:id="rId51"/>
    <sheet name="Agrégé - Bilan (2)" sheetId="205" r:id="rId52"/>
    <sheet name="E-R" sheetId="6" r:id="rId53"/>
    <sheet name="Autres" sheetId="151" r:id="rId54"/>
    <sheet name="Investissement" sheetId="186" r:id="rId55"/>
    <sheet name="Transfo" sheetId="204" r:id="rId5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4" i="206" l="1"/>
  <c r="J52" i="206" l="1"/>
  <c r="I52" i="206"/>
  <c r="H52" i="206"/>
  <c r="G52" i="206"/>
  <c r="F52" i="206"/>
  <c r="E52" i="206"/>
  <c r="H10" i="203" l="1"/>
  <c r="I9" i="188"/>
  <c r="D115" i="6"/>
  <c r="E115" i="6" s="1"/>
  <c r="E8" i="6"/>
  <c r="J8" i="6"/>
  <c r="I8" i="6"/>
  <c r="H8" i="6"/>
  <c r="G8" i="6"/>
  <c r="J7" i="6"/>
  <c r="D8" i="6"/>
  <c r="F8" i="6" l="1"/>
  <c r="K11" i="184" l="1"/>
  <c r="G136" i="6" l="1"/>
  <c r="G139" i="6"/>
  <c r="D132" i="6"/>
  <c r="N148" i="6"/>
  <c r="D131" i="6" s="1"/>
  <c r="BO33" i="206"/>
  <c r="BO32" i="206"/>
  <c r="BO31" i="206"/>
  <c r="BO35" i="206" s="1"/>
  <c r="BO22" i="206"/>
  <c r="BO11" i="206"/>
  <c r="BP44" i="206"/>
  <c r="BP43" i="206"/>
  <c r="BP42" i="206"/>
  <c r="BP41" i="206"/>
  <c r="BG44" i="206"/>
  <c r="BG43" i="206"/>
  <c r="BG42" i="206"/>
  <c r="BG41" i="206"/>
  <c r="BF33" i="206"/>
  <c r="BF32" i="206"/>
  <c r="BF31" i="206"/>
  <c r="BF21" i="206"/>
  <c r="BF11" i="206"/>
  <c r="AX44" i="206"/>
  <c r="AX43" i="206"/>
  <c r="AW42" i="206"/>
  <c r="AW32" i="206"/>
  <c r="AW25" i="206"/>
  <c r="AW11" i="206"/>
  <c r="AW33" i="206"/>
  <c r="AW31" i="206"/>
  <c r="AO43" i="206"/>
  <c r="AO42" i="206"/>
  <c r="AO41" i="206"/>
  <c r="AN51" i="206"/>
  <c r="AN33" i="206"/>
  <c r="AN32" i="206"/>
  <c r="AN31" i="206"/>
  <c r="AN28" i="206"/>
  <c r="BT47" i="205"/>
  <c r="BT46" i="205"/>
  <c r="BT45" i="205"/>
  <c r="BT43" i="205"/>
  <c r="BT42" i="205"/>
  <c r="BT35" i="205"/>
  <c r="BT34" i="205"/>
  <c r="BT31" i="205"/>
  <c r="BT27" i="205"/>
  <c r="BT19" i="205"/>
  <c r="BT17" i="205"/>
  <c r="BT15" i="205"/>
  <c r="BT14" i="205"/>
  <c r="BT11" i="205"/>
  <c r="BT9" i="205"/>
  <c r="BK47" i="205"/>
  <c r="BK46" i="205"/>
  <c r="BK45" i="205"/>
  <c r="BK43" i="205"/>
  <c r="BK42" i="205"/>
  <c r="BK35" i="205"/>
  <c r="BK33" i="205" s="1"/>
  <c r="BK34" i="205"/>
  <c r="BK31" i="205"/>
  <c r="BK27" i="205"/>
  <c r="BK19" i="205"/>
  <c r="BK17" i="205"/>
  <c r="BK15" i="205"/>
  <c r="BK14" i="205"/>
  <c r="BK11" i="205"/>
  <c r="BK9" i="205"/>
  <c r="BB47" i="205"/>
  <c r="BB46" i="205"/>
  <c r="BB45" i="205"/>
  <c r="BB44" i="205"/>
  <c r="BB43" i="205"/>
  <c r="BB42" i="205"/>
  <c r="BB35" i="205"/>
  <c r="BB34" i="205"/>
  <c r="BB31" i="205"/>
  <c r="BB27" i="205"/>
  <c r="BB26" i="205"/>
  <c r="BB19" i="205"/>
  <c r="BB17" i="205"/>
  <c r="BB16" i="205"/>
  <c r="BB15" i="205"/>
  <c r="BB14" i="205"/>
  <c r="BB11" i="205"/>
  <c r="BB9" i="205"/>
  <c r="BT49" i="205"/>
  <c r="BT33" i="205"/>
  <c r="BT21" i="205"/>
  <c r="BK49" i="205"/>
  <c r="BK21" i="205"/>
  <c r="BB49" i="205"/>
  <c r="BB33" i="205"/>
  <c r="BB21" i="205"/>
  <c r="AS26" i="205"/>
  <c r="AS25" i="205" s="1"/>
  <c r="AS49" i="205"/>
  <c r="AS41" i="205"/>
  <c r="AS37" i="205"/>
  <c r="AS33" i="205"/>
  <c r="AS21" i="205"/>
  <c r="AS8" i="205"/>
  <c r="BT46" i="203"/>
  <c r="BT28" i="203"/>
  <c r="BK46" i="203"/>
  <c r="BK28" i="203"/>
  <c r="BK8" i="203"/>
  <c r="BK7" i="203"/>
  <c r="BB46" i="203"/>
  <c r="BB28" i="203"/>
  <c r="BB8" i="203"/>
  <c r="BB7" i="203"/>
  <c r="BU55" i="203"/>
  <c r="BU41" i="203"/>
  <c r="BU16" i="203"/>
  <c r="BU12" i="203"/>
  <c r="BU11" i="203"/>
  <c r="BL55" i="203"/>
  <c r="BL41" i="203"/>
  <c r="BL16" i="203"/>
  <c r="BL12" i="203"/>
  <c r="BL11" i="203"/>
  <c r="BC55" i="203"/>
  <c r="BC41" i="203"/>
  <c r="BC16" i="203"/>
  <c r="BC12" i="203"/>
  <c r="BC11" i="203"/>
  <c r="AS21" i="203"/>
  <c r="AS10" i="203"/>
  <c r="AS13" i="203" s="1"/>
  <c r="AT55" i="203"/>
  <c r="L26" i="209"/>
  <c r="BO26" i="206" s="1"/>
  <c r="L25" i="209"/>
  <c r="BO25" i="206" s="1"/>
  <c r="L24" i="209"/>
  <c r="BO24" i="206" s="1"/>
  <c r="L23" i="209"/>
  <c r="BO23" i="206" s="1"/>
  <c r="L22" i="209"/>
  <c r="L21" i="209"/>
  <c r="BO21" i="206" s="1"/>
  <c r="L20" i="209"/>
  <c r="BO20" i="206" s="1"/>
  <c r="L19" i="209"/>
  <c r="BO19" i="206" s="1"/>
  <c r="L17" i="209"/>
  <c r="BO17" i="206" s="1"/>
  <c r="L16" i="209"/>
  <c r="BO16" i="206" s="1"/>
  <c r="K26" i="209"/>
  <c r="BF26" i="206" s="1"/>
  <c r="K25" i="209"/>
  <c r="BF25" i="206" s="1"/>
  <c r="K24" i="209"/>
  <c r="BF24" i="206" s="1"/>
  <c r="K22" i="209"/>
  <c r="BF22" i="206" s="1"/>
  <c r="K21" i="209"/>
  <c r="K20" i="209"/>
  <c r="K19" i="209"/>
  <c r="BF19" i="206" s="1"/>
  <c r="K17" i="209"/>
  <c r="BF17" i="206" s="1"/>
  <c r="K16" i="209"/>
  <c r="BF16" i="206" s="1"/>
  <c r="J26" i="209"/>
  <c r="AW26" i="206" s="1"/>
  <c r="J25" i="209"/>
  <c r="J24" i="209"/>
  <c r="AW24" i="206" s="1"/>
  <c r="J23" i="209"/>
  <c r="AW23" i="206" s="1"/>
  <c r="J22" i="209"/>
  <c r="AW22" i="206" s="1"/>
  <c r="J21" i="209"/>
  <c r="AW21" i="206" s="1"/>
  <c r="J20" i="209"/>
  <c r="AW20" i="206" s="1"/>
  <c r="J19" i="209"/>
  <c r="AW19" i="206" s="1"/>
  <c r="J18" i="209"/>
  <c r="AW18" i="206" s="1"/>
  <c r="J17" i="209"/>
  <c r="AW17" i="206" s="1"/>
  <c r="J16" i="209"/>
  <c r="AW16" i="206" s="1"/>
  <c r="L47" i="208"/>
  <c r="BT44" i="205" s="1"/>
  <c r="BT41" i="205" s="1"/>
  <c r="K47" i="208"/>
  <c r="K23" i="209" s="1"/>
  <c r="BF23" i="206" s="1"/>
  <c r="L16" i="208"/>
  <c r="BT16" i="205" s="1"/>
  <c r="K16" i="208"/>
  <c r="BK16" i="205" s="1"/>
  <c r="J30" i="208"/>
  <c r="J73" i="207"/>
  <c r="J10" i="209" s="1"/>
  <c r="AW10" i="206" s="1"/>
  <c r="L13" i="209"/>
  <c r="BO13" i="206" s="1"/>
  <c r="L9" i="209"/>
  <c r="BO9" i="206" s="1"/>
  <c r="K13" i="209"/>
  <c r="BF13" i="206" s="1"/>
  <c r="K9" i="209"/>
  <c r="BF9" i="206" s="1"/>
  <c r="J13" i="209"/>
  <c r="AW13" i="206" s="1"/>
  <c r="J9" i="209"/>
  <c r="AW9" i="206" s="1"/>
  <c r="L40" i="209"/>
  <c r="L39" i="209" s="1"/>
  <c r="BO39" i="206" s="1"/>
  <c r="K40" i="209"/>
  <c r="K39" i="209" s="1"/>
  <c r="BF39" i="206" s="1"/>
  <c r="J40" i="209"/>
  <c r="J39" i="209" s="1"/>
  <c r="AW39" i="206" s="1"/>
  <c r="B40" i="209"/>
  <c r="L43" i="209"/>
  <c r="L42" i="209" s="1"/>
  <c r="BO40" i="206" s="1"/>
  <c r="K43" i="209"/>
  <c r="J43" i="209"/>
  <c r="J42" i="209" s="1"/>
  <c r="AW40" i="206" s="1"/>
  <c r="J10" i="208"/>
  <c r="K10" i="208" s="1"/>
  <c r="L10" i="208" s="1"/>
  <c r="BT10" i="205" s="1"/>
  <c r="BT8" i="205" s="1"/>
  <c r="D63" i="209"/>
  <c r="D60" i="209"/>
  <c r="L45" i="209"/>
  <c r="K45" i="209"/>
  <c r="J45" i="209"/>
  <c r="I45" i="209"/>
  <c r="H45" i="209"/>
  <c r="F45" i="209"/>
  <c r="E45" i="209"/>
  <c r="D45" i="209"/>
  <c r="K42" i="209"/>
  <c r="BF40" i="206" s="1"/>
  <c r="I42" i="209"/>
  <c r="H42" i="209"/>
  <c r="F42" i="209"/>
  <c r="E42" i="209"/>
  <c r="D42" i="209"/>
  <c r="I39" i="209"/>
  <c r="H39" i="209"/>
  <c r="F39" i="209"/>
  <c r="E39" i="209"/>
  <c r="D39" i="209"/>
  <c r="L35" i="209"/>
  <c r="K35" i="209"/>
  <c r="BF35" i="206" s="1"/>
  <c r="J35" i="209"/>
  <c r="I35" i="209"/>
  <c r="H35" i="209"/>
  <c r="F35" i="209"/>
  <c r="E35" i="209"/>
  <c r="D35" i="209"/>
  <c r="D28" i="209"/>
  <c r="H15" i="209"/>
  <c r="I15" i="209"/>
  <c r="F15" i="209"/>
  <c r="E15" i="209"/>
  <c r="E12" i="209"/>
  <c r="I12" i="209"/>
  <c r="H12" i="209"/>
  <c r="F12" i="209"/>
  <c r="L3" i="209"/>
  <c r="K3" i="209"/>
  <c r="J3" i="209"/>
  <c r="I3" i="209"/>
  <c r="H3" i="209"/>
  <c r="J28" i="208"/>
  <c r="BB28" i="205" s="1"/>
  <c r="K26" i="208"/>
  <c r="L26" i="208" s="1"/>
  <c r="BT26" i="205" s="1"/>
  <c r="J26" i="208"/>
  <c r="H44" i="208"/>
  <c r="F44" i="208"/>
  <c r="E44" i="208"/>
  <c r="D44" i="208"/>
  <c r="C44" i="208"/>
  <c r="H41" i="208"/>
  <c r="F41" i="208"/>
  <c r="E41" i="208"/>
  <c r="D41" i="208"/>
  <c r="C41" i="208"/>
  <c r="L38" i="208"/>
  <c r="BT38" i="205" s="1"/>
  <c r="BT37" i="205" s="1"/>
  <c r="K38" i="208"/>
  <c r="BK38" i="205" s="1"/>
  <c r="BK37" i="205" s="1"/>
  <c r="J38" i="208"/>
  <c r="BB38" i="205" s="1"/>
  <c r="BB37" i="205" s="1"/>
  <c r="I38" i="208"/>
  <c r="H38" i="208"/>
  <c r="F38" i="208"/>
  <c r="E38" i="208"/>
  <c r="D38" i="208"/>
  <c r="C38" i="208"/>
  <c r="C37" i="208" s="1"/>
  <c r="E37" i="208"/>
  <c r="D37" i="208"/>
  <c r="L33" i="208"/>
  <c r="K33" i="208"/>
  <c r="J33" i="208"/>
  <c r="I33" i="208"/>
  <c r="H33" i="208"/>
  <c r="F33" i="208"/>
  <c r="E33" i="208"/>
  <c r="D33" i="208"/>
  <c r="C33" i="208"/>
  <c r="F25" i="208"/>
  <c r="E25" i="208"/>
  <c r="D25" i="208"/>
  <c r="C25" i="208"/>
  <c r="H13" i="208"/>
  <c r="F13" i="208"/>
  <c r="E13" i="208"/>
  <c r="D13" i="208"/>
  <c r="C13" i="208"/>
  <c r="E8" i="208"/>
  <c r="D8" i="208"/>
  <c r="C8" i="208"/>
  <c r="L3" i="208"/>
  <c r="K3" i="208"/>
  <c r="J3" i="208"/>
  <c r="I3" i="208"/>
  <c r="H3" i="208"/>
  <c r="J72" i="207"/>
  <c r="BB53" i="203" s="1"/>
  <c r="I72" i="207"/>
  <c r="H72" i="207"/>
  <c r="L59" i="207"/>
  <c r="K59" i="207"/>
  <c r="J59" i="207"/>
  <c r="L8" i="207"/>
  <c r="L13" i="207" s="1"/>
  <c r="K8" i="207"/>
  <c r="K13" i="207" s="1"/>
  <c r="K16" i="207" s="1"/>
  <c r="K22" i="207" s="1"/>
  <c r="J8" i="207"/>
  <c r="J13" i="207" s="1"/>
  <c r="I8" i="207"/>
  <c r="I13" i="207" s="1"/>
  <c r="I16" i="207" s="1"/>
  <c r="I17" i="207" s="1"/>
  <c r="H8" i="207"/>
  <c r="H13" i="207" s="1"/>
  <c r="L46" i="207"/>
  <c r="BT39" i="203" s="1"/>
  <c r="K46" i="207"/>
  <c r="BK39" i="203" s="1"/>
  <c r="J46" i="207"/>
  <c r="BB39" i="203" s="1"/>
  <c r="I46" i="207"/>
  <c r="H46" i="207"/>
  <c r="L39" i="207"/>
  <c r="BT34" i="203" s="1"/>
  <c r="K39" i="207"/>
  <c r="BK34" i="203" s="1"/>
  <c r="J39" i="207"/>
  <c r="BB34" i="203" s="1"/>
  <c r="I39" i="207"/>
  <c r="H39" i="207"/>
  <c r="L33" i="207"/>
  <c r="BT30" i="203" s="1"/>
  <c r="BT21" i="203" s="1"/>
  <c r="K33" i="207"/>
  <c r="BK30" i="203" s="1"/>
  <c r="J33" i="207"/>
  <c r="BB30" i="203" s="1"/>
  <c r="I33" i="207"/>
  <c r="H33" i="207"/>
  <c r="F76" i="207"/>
  <c r="E76" i="207"/>
  <c r="D76" i="207"/>
  <c r="C76" i="207"/>
  <c r="F74" i="207"/>
  <c r="E74" i="207"/>
  <c r="E72" i="207" s="1"/>
  <c r="D74" i="207"/>
  <c r="C74" i="207"/>
  <c r="L67" i="207"/>
  <c r="L65" i="207" s="1"/>
  <c r="BT50" i="203" s="1"/>
  <c r="K67" i="207"/>
  <c r="K65" i="207" s="1"/>
  <c r="BK50" i="203" s="1"/>
  <c r="J67" i="207"/>
  <c r="J65" i="207" s="1"/>
  <c r="BB50" i="203" s="1"/>
  <c r="I67" i="207"/>
  <c r="I65" i="207" s="1"/>
  <c r="H67" i="207"/>
  <c r="H65" i="207" s="1"/>
  <c r="F67" i="207"/>
  <c r="E67" i="207"/>
  <c r="D67" i="207"/>
  <c r="C67" i="207"/>
  <c r="F60" i="207"/>
  <c r="E60" i="207"/>
  <c r="D60" i="207"/>
  <c r="C60" i="207"/>
  <c r="F56" i="207"/>
  <c r="E56" i="207"/>
  <c r="D56" i="207"/>
  <c r="C56" i="207"/>
  <c r="F53" i="207"/>
  <c r="E53" i="207"/>
  <c r="D53" i="207"/>
  <c r="C53" i="207"/>
  <c r="F46" i="207"/>
  <c r="E46" i="207"/>
  <c r="D46" i="207"/>
  <c r="C46" i="207"/>
  <c r="F39" i="207"/>
  <c r="E39" i="207"/>
  <c r="D39" i="207"/>
  <c r="C39" i="207"/>
  <c r="F33" i="207"/>
  <c r="E33" i="207"/>
  <c r="D33" i="207"/>
  <c r="C33" i="207"/>
  <c r="F15" i="207"/>
  <c r="E15" i="207"/>
  <c r="D15" i="207"/>
  <c r="C15" i="207"/>
  <c r="F8" i="207"/>
  <c r="F13" i="207" s="1"/>
  <c r="E8" i="207"/>
  <c r="E13" i="207" s="1"/>
  <c r="D8" i="207"/>
  <c r="D13" i="207" s="1"/>
  <c r="C8" i="207"/>
  <c r="C13" i="207" s="1"/>
  <c r="D168" i="6"/>
  <c r="E168" i="6" s="1"/>
  <c r="D128" i="6"/>
  <c r="G138" i="6"/>
  <c r="G137" i="6"/>
  <c r="G135" i="6"/>
  <c r="G133" i="6"/>
  <c r="C179" i="6" s="1"/>
  <c r="G129" i="6"/>
  <c r="I129" i="6" s="1"/>
  <c r="I128" i="6"/>
  <c r="H17" i="202"/>
  <c r="H19" i="201" s="1"/>
  <c r="B60" i="201"/>
  <c r="H60" i="201"/>
  <c r="L56" i="201"/>
  <c r="K56" i="201"/>
  <c r="J56" i="201"/>
  <c r="I56" i="201"/>
  <c r="L43" i="202"/>
  <c r="BR39" i="205" s="1"/>
  <c r="K43" i="202"/>
  <c r="BI39" i="205" s="1"/>
  <c r="J43" i="202"/>
  <c r="J37" i="202" s="1"/>
  <c r="I43" i="202"/>
  <c r="H43" i="202"/>
  <c r="AH39" i="205" s="1"/>
  <c r="AH38" i="205"/>
  <c r="BR38" i="205"/>
  <c r="BI38" i="205"/>
  <c r="AZ38" i="205"/>
  <c r="AQ38" i="205"/>
  <c r="L11" i="201"/>
  <c r="BM11" i="206" s="1"/>
  <c r="K11" i="201"/>
  <c r="BD11" i="206" s="1"/>
  <c r="J11" i="201"/>
  <c r="AU11" i="206" s="1"/>
  <c r="I11" i="201"/>
  <c r="AL11" i="206" s="1"/>
  <c r="L51" i="201"/>
  <c r="BM40" i="206" s="1"/>
  <c r="K51" i="201"/>
  <c r="BD40" i="206" s="1"/>
  <c r="J51" i="201"/>
  <c r="AU40" i="206" s="1"/>
  <c r="I51" i="201"/>
  <c r="L99" i="200"/>
  <c r="K99" i="200"/>
  <c r="J99" i="200"/>
  <c r="L98" i="200"/>
  <c r="L94" i="200" s="1"/>
  <c r="L85" i="200" s="1"/>
  <c r="K98" i="200"/>
  <c r="K94" i="200" s="1"/>
  <c r="K85" i="200" s="1"/>
  <c r="J98" i="200"/>
  <c r="J94" i="200" s="1"/>
  <c r="J85" i="200" s="1"/>
  <c r="I99" i="200"/>
  <c r="I94" i="200" s="1"/>
  <c r="I85" i="200" s="1"/>
  <c r="I98" i="200"/>
  <c r="C94" i="200"/>
  <c r="H94" i="200"/>
  <c r="H85" i="200" s="1"/>
  <c r="D152" i="6"/>
  <c r="D27" i="186"/>
  <c r="L73" i="193"/>
  <c r="K73" i="193"/>
  <c r="BG18" i="203" s="1"/>
  <c r="J73" i="193"/>
  <c r="AX18" i="203" s="1"/>
  <c r="I73" i="193"/>
  <c r="AO18" i="203" s="1"/>
  <c r="AT18" i="203" s="1"/>
  <c r="BP18" i="203"/>
  <c r="BN38" i="206"/>
  <c r="BN33" i="206"/>
  <c r="BN32" i="206"/>
  <c r="BN31" i="206"/>
  <c r="BN14" i="206"/>
  <c r="BE38" i="206"/>
  <c r="BE33" i="206"/>
  <c r="BE32" i="206"/>
  <c r="BE31" i="206"/>
  <c r="BE14" i="206"/>
  <c r="AV38" i="206"/>
  <c r="AV33" i="206"/>
  <c r="AV32" i="206"/>
  <c r="AV31" i="206"/>
  <c r="AV14" i="206"/>
  <c r="AM38" i="206"/>
  <c r="AM33" i="206"/>
  <c r="AM32" i="206"/>
  <c r="AM31" i="206"/>
  <c r="AM14" i="206"/>
  <c r="AD38" i="206"/>
  <c r="AD33" i="206"/>
  <c r="AD32" i="206"/>
  <c r="AD31" i="206"/>
  <c r="AD14" i="206"/>
  <c r="BM33" i="206"/>
  <c r="BM32" i="206"/>
  <c r="BM31" i="206"/>
  <c r="BM14" i="206"/>
  <c r="BM13" i="206"/>
  <c r="BM10" i="206"/>
  <c r="BM9" i="206"/>
  <c r="BD33" i="206"/>
  <c r="BD32" i="206"/>
  <c r="BD31" i="206"/>
  <c r="BD14" i="206"/>
  <c r="BD13" i="206"/>
  <c r="BD10" i="206"/>
  <c r="BD9" i="206"/>
  <c r="AU33" i="206"/>
  <c r="AU32" i="206"/>
  <c r="AU31" i="206"/>
  <c r="AU14" i="206"/>
  <c r="AU13" i="206"/>
  <c r="AU10" i="206"/>
  <c r="AU9" i="206"/>
  <c r="AL33" i="206"/>
  <c r="AL32" i="206"/>
  <c r="AL31" i="206"/>
  <c r="AL14" i="206"/>
  <c r="AL13" i="206"/>
  <c r="AL10" i="206"/>
  <c r="AL9" i="206"/>
  <c r="AC33" i="206"/>
  <c r="AC32" i="206"/>
  <c r="AC31" i="206"/>
  <c r="AC14" i="206"/>
  <c r="AC13" i="206"/>
  <c r="AC10" i="206"/>
  <c r="AC9" i="206"/>
  <c r="BL38" i="206"/>
  <c r="BL33" i="206"/>
  <c r="BL32" i="206"/>
  <c r="BL31" i="206"/>
  <c r="BC38" i="206"/>
  <c r="BC33" i="206"/>
  <c r="BC32" i="206"/>
  <c r="BC31" i="206"/>
  <c r="AT38" i="206"/>
  <c r="AT33" i="206"/>
  <c r="AT31" i="206"/>
  <c r="AK38" i="206"/>
  <c r="AK33" i="206"/>
  <c r="AK32" i="206"/>
  <c r="AK31" i="206"/>
  <c r="AK26" i="206"/>
  <c r="AK25" i="206"/>
  <c r="AK24" i="206"/>
  <c r="AK23" i="206"/>
  <c r="AK22" i="206"/>
  <c r="AK21" i="206"/>
  <c r="AK20" i="206"/>
  <c r="AK19" i="206"/>
  <c r="AK18" i="206"/>
  <c r="AK17" i="206"/>
  <c r="AK16" i="206"/>
  <c r="AK14" i="206"/>
  <c r="AK13" i="206"/>
  <c r="AK11" i="206"/>
  <c r="AK10" i="206"/>
  <c r="AK9" i="206"/>
  <c r="AK8" i="206"/>
  <c r="BK38" i="206"/>
  <c r="BK33" i="206"/>
  <c r="BK32" i="206"/>
  <c r="BK31" i="206"/>
  <c r="BB38" i="206"/>
  <c r="BB33" i="206"/>
  <c r="BB32" i="206"/>
  <c r="BB31" i="206"/>
  <c r="AS38" i="206"/>
  <c r="AS33" i="206"/>
  <c r="AS32" i="206"/>
  <c r="AS31" i="206"/>
  <c r="AJ38" i="206"/>
  <c r="AJ33" i="206"/>
  <c r="AJ32" i="206"/>
  <c r="AJ31" i="206"/>
  <c r="AB38" i="206"/>
  <c r="BJ33" i="206"/>
  <c r="BJ32" i="206"/>
  <c r="BJ31" i="206"/>
  <c r="BJ14" i="206"/>
  <c r="BA33" i="206"/>
  <c r="BA32" i="206"/>
  <c r="BA31" i="206"/>
  <c r="BA14" i="206"/>
  <c r="AR33" i="206"/>
  <c r="AR32" i="206"/>
  <c r="AR31" i="206"/>
  <c r="AR14" i="206"/>
  <c r="AI33" i="206"/>
  <c r="AI32" i="206"/>
  <c r="AI31" i="206"/>
  <c r="AI14" i="206"/>
  <c r="AA14" i="206"/>
  <c r="C23" i="208" l="1"/>
  <c r="H37" i="208"/>
  <c r="L18" i="209"/>
  <c r="K18" i="209"/>
  <c r="BF18" i="206" s="1"/>
  <c r="BK44" i="205"/>
  <c r="BK41" i="205" s="1"/>
  <c r="K15" i="209"/>
  <c r="BF15" i="206" s="1"/>
  <c r="BK26" i="205"/>
  <c r="AN44" i="206"/>
  <c r="AN46" i="206" s="1"/>
  <c r="BB41" i="205"/>
  <c r="BF20" i="206"/>
  <c r="K73" i="207"/>
  <c r="K14" i="209" s="1"/>
  <c r="BF14" i="206" s="1"/>
  <c r="J14" i="209"/>
  <c r="AW14" i="206" s="1"/>
  <c r="BO46" i="206"/>
  <c r="D179" i="6"/>
  <c r="AW35" i="206"/>
  <c r="F28" i="209"/>
  <c r="K30" i="208"/>
  <c r="BK30" i="205" s="1"/>
  <c r="AW46" i="206"/>
  <c r="BF46" i="206"/>
  <c r="BB21" i="203"/>
  <c r="BK21" i="203"/>
  <c r="BB10" i="205"/>
  <c r="BB8" i="205" s="1"/>
  <c r="BB30" i="205"/>
  <c r="BK10" i="205"/>
  <c r="BK8" i="205" s="1"/>
  <c r="BB9" i="203"/>
  <c r="BB10" i="203" s="1"/>
  <c r="BB13" i="203" s="1"/>
  <c r="BB19" i="203" s="1"/>
  <c r="BK9" i="203"/>
  <c r="BK10" i="203" s="1"/>
  <c r="BK13" i="203" s="1"/>
  <c r="BK14" i="203" s="1"/>
  <c r="BT9" i="203"/>
  <c r="BT10" i="203" s="1"/>
  <c r="BT13" i="203" s="1"/>
  <c r="BT19" i="203" s="1"/>
  <c r="J46" i="201"/>
  <c r="K46" i="201"/>
  <c r="I46" i="201"/>
  <c r="K37" i="202"/>
  <c r="AN35" i="206"/>
  <c r="AN49" i="206" s="1"/>
  <c r="AN52" i="206" s="1"/>
  <c r="AW51" i="206" s="1"/>
  <c r="AS51" i="205"/>
  <c r="BK19" i="203"/>
  <c r="AS19" i="203"/>
  <c r="AS14" i="203"/>
  <c r="K72" i="207"/>
  <c r="BK53" i="203" s="1"/>
  <c r="K10" i="209"/>
  <c r="BF10" i="206" s="1"/>
  <c r="L73" i="207"/>
  <c r="J15" i="209"/>
  <c r="AW15" i="206" s="1"/>
  <c r="F55" i="209"/>
  <c r="D55" i="209"/>
  <c r="D58" i="209" s="1"/>
  <c r="E60" i="209"/>
  <c r="J55" i="209"/>
  <c r="K55" i="209"/>
  <c r="H55" i="209"/>
  <c r="L55" i="209"/>
  <c r="H28" i="209"/>
  <c r="I55" i="209"/>
  <c r="E28" i="209"/>
  <c r="E55" i="209"/>
  <c r="F58" i="209"/>
  <c r="I28" i="209"/>
  <c r="I58" i="209" s="1"/>
  <c r="F37" i="208"/>
  <c r="F54" i="208" s="1"/>
  <c r="E23" i="208"/>
  <c r="C54" i="208"/>
  <c r="C56" i="208" s="1"/>
  <c r="D54" i="208"/>
  <c r="D56" i="208" s="1"/>
  <c r="D23" i="208"/>
  <c r="E54" i="208"/>
  <c r="H8" i="208"/>
  <c r="H23" i="208" s="1"/>
  <c r="H25" i="208"/>
  <c r="H54" i="208" s="1"/>
  <c r="F8" i="208"/>
  <c r="F23" i="208" s="1"/>
  <c r="L24" i="207"/>
  <c r="J24" i="207"/>
  <c r="I24" i="207"/>
  <c r="F24" i="207"/>
  <c r="K24" i="207"/>
  <c r="K43" i="207" s="1"/>
  <c r="J85" i="207"/>
  <c r="E24" i="207"/>
  <c r="H24" i="207"/>
  <c r="C72" i="207"/>
  <c r="D72" i="207"/>
  <c r="F65" i="207"/>
  <c r="C65" i="207"/>
  <c r="D65" i="207"/>
  <c r="D24" i="207"/>
  <c r="F85" i="207"/>
  <c r="F72" i="207"/>
  <c r="L85" i="207"/>
  <c r="H85" i="207"/>
  <c r="I85" i="207"/>
  <c r="E65" i="207"/>
  <c r="L16" i="207"/>
  <c r="K85" i="207"/>
  <c r="J16" i="207"/>
  <c r="J17" i="207" s="1"/>
  <c r="C24" i="207"/>
  <c r="D85" i="207"/>
  <c r="D16" i="207"/>
  <c r="E85" i="207"/>
  <c r="K23" i="207"/>
  <c r="K86" i="207"/>
  <c r="C85" i="207"/>
  <c r="C16" i="207"/>
  <c r="I22" i="207"/>
  <c r="K17" i="207"/>
  <c r="E16" i="207"/>
  <c r="F16" i="207"/>
  <c r="H16" i="207"/>
  <c r="G134" i="6"/>
  <c r="C178" i="6"/>
  <c r="G130" i="6"/>
  <c r="H37" i="202"/>
  <c r="H46" i="201"/>
  <c r="L46" i="201"/>
  <c r="AZ39" i="205"/>
  <c r="AZ37" i="205" s="1"/>
  <c r="L37" i="202"/>
  <c r="I37" i="202"/>
  <c r="AQ39" i="205"/>
  <c r="AL40" i="206"/>
  <c r="BI33" i="206"/>
  <c r="BP33" i="206" s="1"/>
  <c r="BI32" i="206"/>
  <c r="BP32" i="206" s="1"/>
  <c r="BI31" i="206"/>
  <c r="BP31" i="206" s="1"/>
  <c r="BI14" i="206"/>
  <c r="AZ33" i="206"/>
  <c r="BG33" i="206" s="1"/>
  <c r="AZ32" i="206"/>
  <c r="BG32" i="206" s="1"/>
  <c r="AZ31" i="206"/>
  <c r="BG31" i="206" s="1"/>
  <c r="AZ14" i="206"/>
  <c r="AQ33" i="206"/>
  <c r="AX33" i="206" s="1"/>
  <c r="AQ32" i="206"/>
  <c r="AQ31" i="206"/>
  <c r="AX31" i="206" s="1"/>
  <c r="AQ14" i="206"/>
  <c r="AH33" i="206"/>
  <c r="AO33" i="206" s="1"/>
  <c r="AH32" i="206"/>
  <c r="AO32" i="206" s="1"/>
  <c r="AH31" i="206"/>
  <c r="AO31" i="206" s="1"/>
  <c r="AH14" i="206"/>
  <c r="BN35" i="206"/>
  <c r="BM35" i="206"/>
  <c r="BL35" i="206"/>
  <c r="BK35" i="206"/>
  <c r="BJ35" i="206"/>
  <c r="BE35" i="206"/>
  <c r="BD35" i="206"/>
  <c r="BC35" i="206"/>
  <c r="BB35" i="206"/>
  <c r="BA35" i="206"/>
  <c r="AV35" i="206"/>
  <c r="AU35" i="206"/>
  <c r="AS35" i="206"/>
  <c r="AR35" i="206"/>
  <c r="AM35" i="206"/>
  <c r="AL35" i="206"/>
  <c r="AK35" i="206"/>
  <c r="AJ35" i="206"/>
  <c r="AI35" i="206"/>
  <c r="AD35" i="206"/>
  <c r="AC35" i="206"/>
  <c r="Z14" i="206"/>
  <c r="C52" i="206"/>
  <c r="AK51" i="206"/>
  <c r="W48" i="206"/>
  <c r="V48" i="206"/>
  <c r="U48" i="206"/>
  <c r="T48" i="206"/>
  <c r="S48" i="206"/>
  <c r="P48" i="206"/>
  <c r="O48" i="206"/>
  <c r="N48" i="206"/>
  <c r="L48" i="206"/>
  <c r="G48" i="206"/>
  <c r="E48" i="206"/>
  <c r="S44" i="206"/>
  <c r="X44" i="206" s="1"/>
  <c r="J44" i="206"/>
  <c r="AE43" i="206"/>
  <c r="U43" i="206"/>
  <c r="N43" i="206"/>
  <c r="E43" i="206"/>
  <c r="J43" i="206" s="1"/>
  <c r="W38" i="206"/>
  <c r="U38" i="206"/>
  <c r="P38" i="206"/>
  <c r="N38" i="206"/>
  <c r="G38" i="206"/>
  <c r="W33" i="206"/>
  <c r="P33" i="206"/>
  <c r="V32" i="206"/>
  <c r="O32" i="206"/>
  <c r="H32" i="206"/>
  <c r="W31" i="206"/>
  <c r="V31" i="206"/>
  <c r="P31" i="206"/>
  <c r="O31" i="206"/>
  <c r="H31" i="206"/>
  <c r="W14" i="206"/>
  <c r="V14" i="206"/>
  <c r="T14" i="206"/>
  <c r="S14" i="206"/>
  <c r="P14" i="206"/>
  <c r="O14" i="206"/>
  <c r="M14" i="206"/>
  <c r="L14" i="206"/>
  <c r="H14" i="206"/>
  <c r="E14" i="206"/>
  <c r="V13" i="206"/>
  <c r="O13" i="206"/>
  <c r="H13" i="206"/>
  <c r="BS49" i="205"/>
  <c r="BS47" i="205"/>
  <c r="BS46" i="205"/>
  <c r="BS45" i="205"/>
  <c r="BS43" i="205"/>
  <c r="BS42" i="205"/>
  <c r="BS35" i="205"/>
  <c r="BS34" i="205"/>
  <c r="BS31" i="205"/>
  <c r="BS30" i="205"/>
  <c r="BS27" i="205"/>
  <c r="BS21" i="205"/>
  <c r="BS19" i="205"/>
  <c r="BS17" i="205"/>
  <c r="BS15" i="205"/>
  <c r="BS14" i="205"/>
  <c r="BS11" i="205"/>
  <c r="BS9" i="205"/>
  <c r="BJ49" i="205"/>
  <c r="BJ47" i="205"/>
  <c r="BJ46" i="205"/>
  <c r="BJ45" i="205"/>
  <c r="BJ43" i="205"/>
  <c r="BJ42" i="205"/>
  <c r="BJ35" i="205"/>
  <c r="BJ34" i="205"/>
  <c r="BJ31" i="205"/>
  <c r="BJ30" i="205"/>
  <c r="BJ27" i="205"/>
  <c r="BJ21" i="205"/>
  <c r="BJ19" i="205"/>
  <c r="BJ17" i="205"/>
  <c r="BJ15" i="205"/>
  <c r="BJ14" i="205"/>
  <c r="BJ11" i="205"/>
  <c r="BJ9" i="205"/>
  <c r="BA49" i="205"/>
  <c r="BA47" i="205"/>
  <c r="BA46" i="205"/>
  <c r="BA45" i="205"/>
  <c r="BA43" i="205"/>
  <c r="BA42" i="205"/>
  <c r="BA35" i="205"/>
  <c r="BA34" i="205"/>
  <c r="BA31" i="205"/>
  <c r="BA30" i="205"/>
  <c r="BA27" i="205"/>
  <c r="BA21" i="205"/>
  <c r="BA19" i="205"/>
  <c r="BA17" i="205"/>
  <c r="BA15" i="205"/>
  <c r="BA14" i="205"/>
  <c r="BA11" i="205"/>
  <c r="BA9" i="205"/>
  <c r="AR49" i="205"/>
  <c r="AR47" i="205"/>
  <c r="AR46" i="205"/>
  <c r="AR45" i="205"/>
  <c r="AR43" i="205"/>
  <c r="AR42" i="205"/>
  <c r="AR35" i="205"/>
  <c r="AR34" i="205"/>
  <c r="AR31" i="205"/>
  <c r="AR30" i="205"/>
  <c r="AR27" i="205"/>
  <c r="AR21" i="205"/>
  <c r="AR19" i="205"/>
  <c r="AR17" i="205"/>
  <c r="AR15" i="205"/>
  <c r="AR14" i="205"/>
  <c r="AR11" i="205"/>
  <c r="AR9" i="205"/>
  <c r="BR49" i="205"/>
  <c r="BR47" i="205"/>
  <c r="BR46" i="205"/>
  <c r="BR45" i="205"/>
  <c r="BR44" i="205"/>
  <c r="BR43" i="205"/>
  <c r="BR42" i="205"/>
  <c r="BR37" i="205"/>
  <c r="BR35" i="205"/>
  <c r="BR34" i="205"/>
  <c r="BR31" i="205"/>
  <c r="BR30" i="205"/>
  <c r="BR27" i="205"/>
  <c r="BR21" i="205"/>
  <c r="BR19" i="205"/>
  <c r="BR16" i="205"/>
  <c r="BR15" i="205"/>
  <c r="BR14" i="205"/>
  <c r="BR11" i="205"/>
  <c r="BI49" i="205"/>
  <c r="BI47" i="205"/>
  <c r="BI46" i="205"/>
  <c r="BI45" i="205"/>
  <c r="BI44" i="205"/>
  <c r="BI43" i="205"/>
  <c r="BI42" i="205"/>
  <c r="BI35" i="205"/>
  <c r="BI34" i="205"/>
  <c r="BI31" i="205"/>
  <c r="BI30" i="205"/>
  <c r="BI27" i="205"/>
  <c r="BI21" i="205"/>
  <c r="BI19" i="205"/>
  <c r="BI16" i="205"/>
  <c r="BI15" i="205"/>
  <c r="BI14" i="205"/>
  <c r="BI11" i="205"/>
  <c r="AZ49" i="205"/>
  <c r="AZ47" i="205"/>
  <c r="AZ46" i="205"/>
  <c r="AZ45" i="205"/>
  <c r="AZ44" i="205"/>
  <c r="AZ43" i="205"/>
  <c r="AZ42" i="205"/>
  <c r="AZ35" i="205"/>
  <c r="AZ34" i="205"/>
  <c r="AZ31" i="205"/>
  <c r="AZ30" i="205"/>
  <c r="AZ27" i="205"/>
  <c r="AZ21" i="205"/>
  <c r="AZ19" i="205"/>
  <c r="AZ16" i="205"/>
  <c r="AZ15" i="205"/>
  <c r="AZ14" i="205"/>
  <c r="AZ11" i="205"/>
  <c r="AZ8" i="205" s="1"/>
  <c r="AQ49" i="205"/>
  <c r="AQ47" i="205"/>
  <c r="AQ46" i="205"/>
  <c r="AQ45" i="205"/>
  <c r="AQ44" i="205"/>
  <c r="AQ43" i="205"/>
  <c r="AQ42" i="205"/>
  <c r="AQ35" i="205"/>
  <c r="AQ34" i="205"/>
  <c r="AQ31" i="205"/>
  <c r="AQ30" i="205"/>
  <c r="AQ27" i="205"/>
  <c r="AQ21" i="205"/>
  <c r="AQ19" i="205"/>
  <c r="AQ16" i="205"/>
  <c r="AQ15" i="205"/>
  <c r="AQ14" i="205"/>
  <c r="AQ11" i="205"/>
  <c r="AQ10" i="205"/>
  <c r="AQ9" i="205"/>
  <c r="BQ49" i="205"/>
  <c r="BQ47" i="205"/>
  <c r="BQ46" i="205"/>
  <c r="BQ45" i="205"/>
  <c r="BQ44" i="205"/>
  <c r="BQ42" i="205"/>
  <c r="BQ35" i="205"/>
  <c r="BQ34" i="205"/>
  <c r="BQ31" i="205"/>
  <c r="BQ27" i="205"/>
  <c r="BQ26" i="205"/>
  <c r="BQ21" i="205"/>
  <c r="BQ19" i="205"/>
  <c r="BQ17" i="205"/>
  <c r="BQ15" i="205"/>
  <c r="BQ11" i="205"/>
  <c r="BQ9" i="205"/>
  <c r="BH49" i="205"/>
  <c r="BH47" i="205"/>
  <c r="BH46" i="205"/>
  <c r="BH45" i="205"/>
  <c r="BH44" i="205"/>
  <c r="BH42" i="205"/>
  <c r="BH35" i="205"/>
  <c r="BH34" i="205"/>
  <c r="BH31" i="205"/>
  <c r="BH27" i="205"/>
  <c r="BH26" i="205"/>
  <c r="BH21" i="205"/>
  <c r="BH19" i="205"/>
  <c r="BH17" i="205"/>
  <c r="BH15" i="205"/>
  <c r="BH11" i="205"/>
  <c r="BH9" i="205"/>
  <c r="AY49" i="205"/>
  <c r="AY47" i="205"/>
  <c r="AY46" i="205"/>
  <c r="AY45" i="205"/>
  <c r="AY44" i="205"/>
  <c r="AY42" i="205"/>
  <c r="AY35" i="205"/>
  <c r="AY34" i="205"/>
  <c r="AY31" i="205"/>
  <c r="AY27" i="205"/>
  <c r="AY26" i="205"/>
  <c r="AY21" i="205"/>
  <c r="AY19" i="205"/>
  <c r="AY17" i="205"/>
  <c r="AY15" i="205"/>
  <c r="AY11" i="205"/>
  <c r="AY9" i="205"/>
  <c r="AP49" i="205"/>
  <c r="AP47" i="205"/>
  <c r="AP46" i="205"/>
  <c r="AP45" i="205"/>
  <c r="AP44" i="205"/>
  <c r="AP43" i="205"/>
  <c r="AP42" i="205"/>
  <c r="AP38" i="205"/>
  <c r="AP35" i="205"/>
  <c r="AP34" i="205"/>
  <c r="AP33" i="205" s="1"/>
  <c r="AP31" i="205"/>
  <c r="AP30" i="205"/>
  <c r="AP29" i="205"/>
  <c r="AP28" i="205"/>
  <c r="AP27" i="205"/>
  <c r="AP26" i="205"/>
  <c r="AP21" i="205"/>
  <c r="AP19" i="205"/>
  <c r="AP18" i="205"/>
  <c r="AP17" i="205"/>
  <c r="AP16" i="205"/>
  <c r="AP15" i="205"/>
  <c r="AP14" i="205"/>
  <c r="AP11" i="205"/>
  <c r="AP10" i="205"/>
  <c r="AP9" i="205"/>
  <c r="BP47" i="205"/>
  <c r="BP45" i="205"/>
  <c r="BP43" i="205"/>
  <c r="BP35" i="205"/>
  <c r="BP34" i="205"/>
  <c r="BP31" i="205"/>
  <c r="BP27" i="205"/>
  <c r="BP16" i="205"/>
  <c r="BP15" i="205"/>
  <c r="BP14" i="205"/>
  <c r="BG47" i="205"/>
  <c r="BG45" i="205"/>
  <c r="BG43" i="205"/>
  <c r="BG35" i="205"/>
  <c r="BG34" i="205"/>
  <c r="BG33" i="205" s="1"/>
  <c r="BG31" i="205"/>
  <c r="BG27" i="205"/>
  <c r="BG16" i="205"/>
  <c r="BG15" i="205"/>
  <c r="BG14" i="205"/>
  <c r="AX47" i="205"/>
  <c r="AX45" i="205"/>
  <c r="AX43" i="205"/>
  <c r="AX35" i="205"/>
  <c r="AX34" i="205"/>
  <c r="AX31" i="205"/>
  <c r="AX27" i="205"/>
  <c r="AX16" i="205"/>
  <c r="AX15" i="205"/>
  <c r="AX14" i="205"/>
  <c r="AO47" i="205"/>
  <c r="AO45" i="205"/>
  <c r="AO43" i="205"/>
  <c r="AO35" i="205"/>
  <c r="AO34" i="205"/>
  <c r="AO33" i="205" s="1"/>
  <c r="AO31" i="205"/>
  <c r="AO27" i="205"/>
  <c r="AO15" i="205"/>
  <c r="AO14" i="205"/>
  <c r="BO49" i="205"/>
  <c r="BO47" i="205"/>
  <c r="BO46" i="205"/>
  <c r="BO45" i="205"/>
  <c r="BO43" i="205"/>
  <c r="BO42" i="205"/>
  <c r="BO35" i="205"/>
  <c r="BO34" i="205"/>
  <c r="BO31" i="205"/>
  <c r="BO30" i="205"/>
  <c r="BO27" i="205"/>
  <c r="BO15" i="205"/>
  <c r="BO14" i="205"/>
  <c r="BF49" i="205"/>
  <c r="BF47" i="205"/>
  <c r="BF46" i="205"/>
  <c r="BF45" i="205"/>
  <c r="BF43" i="205"/>
  <c r="BF42" i="205"/>
  <c r="BF35" i="205"/>
  <c r="BF34" i="205"/>
  <c r="BF31" i="205"/>
  <c r="BF30" i="205"/>
  <c r="BF27" i="205"/>
  <c r="BF15" i="205"/>
  <c r="BF14" i="205"/>
  <c r="AW49" i="205"/>
  <c r="AW47" i="205"/>
  <c r="AW46" i="205"/>
  <c r="AW45" i="205"/>
  <c r="AW43" i="205"/>
  <c r="AW42" i="205"/>
  <c r="AW35" i="205"/>
  <c r="AW34" i="205"/>
  <c r="AW31" i="205"/>
  <c r="AW30" i="205"/>
  <c r="AW27" i="205"/>
  <c r="AW16" i="205"/>
  <c r="AW15" i="205"/>
  <c r="AW14" i="205"/>
  <c r="AN49" i="205"/>
  <c r="AN47" i="205"/>
  <c r="AN46" i="205"/>
  <c r="AN45" i="205"/>
  <c r="AN42" i="205"/>
  <c r="AN35" i="205"/>
  <c r="AN34" i="205"/>
  <c r="AN33" i="205" s="1"/>
  <c r="AN31" i="205"/>
  <c r="AN30" i="205"/>
  <c r="AN27" i="205"/>
  <c r="AN16" i="205"/>
  <c r="AN15" i="205"/>
  <c r="AN14" i="205"/>
  <c r="BN47" i="205"/>
  <c r="BN45" i="205"/>
  <c r="BN43" i="205"/>
  <c r="BN35" i="205"/>
  <c r="BN34" i="205"/>
  <c r="BN33" i="205" s="1"/>
  <c r="BN31" i="205"/>
  <c r="BN30" i="205"/>
  <c r="BN27" i="205"/>
  <c r="BN16" i="205"/>
  <c r="BN15" i="205"/>
  <c r="BN14" i="205"/>
  <c r="BE47" i="205"/>
  <c r="BE45" i="205"/>
  <c r="BL45" i="205" s="1"/>
  <c r="BE43" i="205"/>
  <c r="BE35" i="205"/>
  <c r="BE34" i="205"/>
  <c r="BE31" i="205"/>
  <c r="BE30" i="205"/>
  <c r="BE27" i="205"/>
  <c r="BE16" i="205"/>
  <c r="BE15" i="205"/>
  <c r="BE14" i="205"/>
  <c r="AV47" i="205"/>
  <c r="AV45" i="205"/>
  <c r="AV43" i="205"/>
  <c r="AV35" i="205"/>
  <c r="AV34" i="205"/>
  <c r="AV31" i="205"/>
  <c r="AV30" i="205"/>
  <c r="AV27" i="205"/>
  <c r="AV16" i="205"/>
  <c r="AV15" i="205"/>
  <c r="AV14" i="205"/>
  <c r="AM47" i="205"/>
  <c r="AM45" i="205"/>
  <c r="AM43" i="205"/>
  <c r="AM35" i="205"/>
  <c r="AM34" i="205"/>
  <c r="AM31" i="205"/>
  <c r="AM30" i="205"/>
  <c r="AM27" i="205"/>
  <c r="AM16" i="205"/>
  <c r="AM15" i="205"/>
  <c r="AM14" i="205"/>
  <c r="BI37" i="205"/>
  <c r="BF33" i="205"/>
  <c r="AI49" i="205"/>
  <c r="AH49" i="205"/>
  <c r="AG49" i="205"/>
  <c r="AF49" i="205"/>
  <c r="AE49" i="205"/>
  <c r="AB49" i="205"/>
  <c r="AA49" i="205"/>
  <c r="Z49" i="205"/>
  <c r="Y49" i="205"/>
  <c r="X49" i="205"/>
  <c r="U49" i="205"/>
  <c r="T49" i="205"/>
  <c r="S49" i="205"/>
  <c r="R49" i="205"/>
  <c r="Q49" i="205"/>
  <c r="N49" i="205"/>
  <c r="M49" i="205"/>
  <c r="L49" i="205"/>
  <c r="K49" i="205"/>
  <c r="J49" i="205"/>
  <c r="F49" i="205"/>
  <c r="E49" i="205"/>
  <c r="C49" i="205"/>
  <c r="AI47" i="205"/>
  <c r="AH47" i="205"/>
  <c r="AG47" i="205"/>
  <c r="AF47" i="205"/>
  <c r="AE47" i="205"/>
  <c r="AB47" i="205"/>
  <c r="AA47" i="205"/>
  <c r="Z47" i="205"/>
  <c r="Y47" i="205"/>
  <c r="X47" i="205"/>
  <c r="U47" i="205"/>
  <c r="T47" i="205"/>
  <c r="S47" i="205"/>
  <c r="R47" i="205"/>
  <c r="Q47" i="205"/>
  <c r="N47" i="205"/>
  <c r="M47" i="205"/>
  <c r="L47" i="205"/>
  <c r="K47" i="205"/>
  <c r="J47" i="205"/>
  <c r="F47" i="205"/>
  <c r="E47" i="205"/>
  <c r="C47" i="205"/>
  <c r="AI46" i="205"/>
  <c r="AH46" i="205"/>
  <c r="AG46" i="205"/>
  <c r="AF46" i="205"/>
  <c r="AE46" i="205"/>
  <c r="AB46" i="205"/>
  <c r="AA46" i="205"/>
  <c r="Z46" i="205"/>
  <c r="Y46" i="205"/>
  <c r="X46" i="205"/>
  <c r="U46" i="205"/>
  <c r="T46" i="205"/>
  <c r="S46" i="205"/>
  <c r="R46" i="205"/>
  <c r="Q46" i="205"/>
  <c r="N46" i="205"/>
  <c r="M46" i="205"/>
  <c r="L46" i="205"/>
  <c r="K46" i="205"/>
  <c r="J46" i="205"/>
  <c r="F46" i="205"/>
  <c r="E46" i="205"/>
  <c r="C46" i="205"/>
  <c r="AI45" i="205"/>
  <c r="AH45" i="205"/>
  <c r="AG45" i="205"/>
  <c r="AF45" i="205"/>
  <c r="AE45" i="205"/>
  <c r="AB45" i="205"/>
  <c r="AA45" i="205"/>
  <c r="Z45" i="205"/>
  <c r="Y45" i="205"/>
  <c r="X45" i="205"/>
  <c r="U45" i="205"/>
  <c r="T45" i="205"/>
  <c r="S45" i="205"/>
  <c r="R45" i="205"/>
  <c r="Q45" i="205"/>
  <c r="N45" i="205"/>
  <c r="M45" i="205"/>
  <c r="L45" i="205"/>
  <c r="K45" i="205"/>
  <c r="J45" i="205"/>
  <c r="F45" i="205"/>
  <c r="E45" i="205"/>
  <c r="C45" i="205"/>
  <c r="H45" i="205" s="1"/>
  <c r="AH44" i="205"/>
  <c r="AG44" i="205"/>
  <c r="AF44" i="205"/>
  <c r="AE44" i="205"/>
  <c r="AB44" i="205"/>
  <c r="AA44" i="205"/>
  <c r="Z44" i="205"/>
  <c r="Y44" i="205"/>
  <c r="X44" i="205"/>
  <c r="U44" i="205"/>
  <c r="T44" i="205"/>
  <c r="S44" i="205"/>
  <c r="R44" i="205"/>
  <c r="Q44" i="205"/>
  <c r="N44" i="205"/>
  <c r="M44" i="205"/>
  <c r="L44" i="205"/>
  <c r="K44" i="205"/>
  <c r="J44" i="205"/>
  <c r="F44" i="205"/>
  <c r="E44" i="205"/>
  <c r="C44" i="205"/>
  <c r="AI43" i="205"/>
  <c r="AH43" i="205"/>
  <c r="AG43" i="205"/>
  <c r="AF43" i="205"/>
  <c r="AE43" i="205"/>
  <c r="AB43" i="205"/>
  <c r="AA43" i="205"/>
  <c r="Z43" i="205"/>
  <c r="Y43" i="205"/>
  <c r="X43" i="205"/>
  <c r="U43" i="205"/>
  <c r="T43" i="205"/>
  <c r="S43" i="205"/>
  <c r="R43" i="205"/>
  <c r="Q43" i="205"/>
  <c r="N43" i="205"/>
  <c r="M43" i="205"/>
  <c r="L43" i="205"/>
  <c r="K43" i="205"/>
  <c r="J43" i="205"/>
  <c r="F43" i="205"/>
  <c r="E43" i="205"/>
  <c r="C43" i="205"/>
  <c r="AI42" i="205"/>
  <c r="AH42" i="205"/>
  <c r="AG42" i="205"/>
  <c r="AF42" i="205"/>
  <c r="AE42" i="205"/>
  <c r="AB42" i="205"/>
  <c r="AA42" i="205"/>
  <c r="Z42" i="205"/>
  <c r="Y42" i="205"/>
  <c r="X42" i="205"/>
  <c r="U42" i="205"/>
  <c r="T42" i="205"/>
  <c r="S42" i="205"/>
  <c r="R42" i="205"/>
  <c r="Q42" i="205"/>
  <c r="N42" i="205"/>
  <c r="M42" i="205"/>
  <c r="L42" i="205"/>
  <c r="K42" i="205"/>
  <c r="J42" i="205"/>
  <c r="F42" i="205"/>
  <c r="E42" i="205"/>
  <c r="C42" i="205"/>
  <c r="G41" i="205"/>
  <c r="D41" i="205"/>
  <c r="AH37" i="205"/>
  <c r="G37" i="205"/>
  <c r="D37" i="205"/>
  <c r="AI35" i="205"/>
  <c r="AH35" i="205"/>
  <c r="AG35" i="205"/>
  <c r="AF35" i="205"/>
  <c r="AE35" i="205"/>
  <c r="AB35" i="205"/>
  <c r="AA35" i="205"/>
  <c r="Z35" i="205"/>
  <c r="Y35" i="205"/>
  <c r="X35" i="205"/>
  <c r="U35" i="205"/>
  <c r="T35" i="205"/>
  <c r="S35" i="205"/>
  <c r="R35" i="205"/>
  <c r="Q35" i="205"/>
  <c r="N35" i="205"/>
  <c r="M35" i="205"/>
  <c r="L35" i="205"/>
  <c r="K35" i="205"/>
  <c r="F35" i="205"/>
  <c r="E35" i="205"/>
  <c r="AI34" i="205"/>
  <c r="AH34" i="205"/>
  <c r="AG34" i="205"/>
  <c r="AF34" i="205"/>
  <c r="AE34" i="205"/>
  <c r="AB34" i="205"/>
  <c r="AA34" i="205"/>
  <c r="Z34" i="205"/>
  <c r="Y34" i="205"/>
  <c r="X34" i="205"/>
  <c r="U34" i="205"/>
  <c r="T34" i="205"/>
  <c r="S34" i="205"/>
  <c r="R34" i="205"/>
  <c r="Q34" i="205"/>
  <c r="N34" i="205"/>
  <c r="M34" i="205"/>
  <c r="L34" i="205"/>
  <c r="K34" i="205"/>
  <c r="J34" i="205"/>
  <c r="F34" i="205"/>
  <c r="E34" i="205"/>
  <c r="C34" i="205"/>
  <c r="G33" i="205"/>
  <c r="D33" i="205"/>
  <c r="AI31" i="205"/>
  <c r="AH31" i="205"/>
  <c r="AG31" i="205"/>
  <c r="AF31" i="205"/>
  <c r="AE31" i="205"/>
  <c r="AB31" i="205"/>
  <c r="AA31" i="205"/>
  <c r="Z31" i="205"/>
  <c r="Y31" i="205"/>
  <c r="X31" i="205"/>
  <c r="U31" i="205"/>
  <c r="T31" i="205"/>
  <c r="S31" i="205"/>
  <c r="R31" i="205"/>
  <c r="Q31" i="205"/>
  <c r="N31" i="205"/>
  <c r="M31" i="205"/>
  <c r="L31" i="205"/>
  <c r="K31" i="205"/>
  <c r="J31" i="205"/>
  <c r="F31" i="205"/>
  <c r="E31" i="205"/>
  <c r="C31" i="205"/>
  <c r="AI30" i="205"/>
  <c r="AH30" i="205"/>
  <c r="AG30" i="205"/>
  <c r="AF30" i="205"/>
  <c r="AE30" i="205"/>
  <c r="AB30" i="205"/>
  <c r="AA30" i="205"/>
  <c r="Z30" i="205"/>
  <c r="Y30" i="205"/>
  <c r="X30" i="205"/>
  <c r="U30" i="205"/>
  <c r="T30" i="205"/>
  <c r="S30" i="205"/>
  <c r="R30" i="205"/>
  <c r="Q30" i="205"/>
  <c r="N30" i="205"/>
  <c r="M30" i="205"/>
  <c r="L30" i="205"/>
  <c r="K30" i="205"/>
  <c r="J30" i="205"/>
  <c r="F30" i="205"/>
  <c r="E30" i="205"/>
  <c r="C30" i="205"/>
  <c r="F29" i="205"/>
  <c r="Z28" i="205"/>
  <c r="Y28" i="205"/>
  <c r="X28" i="205"/>
  <c r="S28" i="205"/>
  <c r="Q28" i="205"/>
  <c r="N28" i="205"/>
  <c r="L28" i="205"/>
  <c r="K28" i="205"/>
  <c r="F28" i="205"/>
  <c r="E28" i="205"/>
  <c r="C28" i="205"/>
  <c r="AI27" i="205"/>
  <c r="AH27" i="205"/>
  <c r="AG27" i="205"/>
  <c r="AF27" i="205"/>
  <c r="AE27" i="205"/>
  <c r="AB27" i="205"/>
  <c r="AA27" i="205"/>
  <c r="Z27" i="205"/>
  <c r="Y27" i="205"/>
  <c r="X27" i="205"/>
  <c r="U27" i="205"/>
  <c r="T27" i="205"/>
  <c r="S27" i="205"/>
  <c r="R27" i="205"/>
  <c r="Q27" i="205"/>
  <c r="N27" i="205"/>
  <c r="M27" i="205"/>
  <c r="L27" i="205"/>
  <c r="K27" i="205"/>
  <c r="J27" i="205"/>
  <c r="F27" i="205"/>
  <c r="E27" i="205"/>
  <c r="C27" i="205"/>
  <c r="AB26" i="205"/>
  <c r="Z26" i="205"/>
  <c r="Y26" i="205"/>
  <c r="U26" i="205"/>
  <c r="T26" i="205"/>
  <c r="S26" i="205"/>
  <c r="R26" i="205"/>
  <c r="N26" i="205"/>
  <c r="M26" i="205"/>
  <c r="L26" i="205"/>
  <c r="K26" i="205"/>
  <c r="F26" i="205"/>
  <c r="E26" i="205"/>
  <c r="C26" i="205"/>
  <c r="G25" i="205"/>
  <c r="D25" i="205"/>
  <c r="AI21" i="205"/>
  <c r="AH21" i="205"/>
  <c r="AG21" i="205"/>
  <c r="AF21" i="205"/>
  <c r="AE21" i="205"/>
  <c r="AB21" i="205"/>
  <c r="Z21" i="205"/>
  <c r="Y21" i="205"/>
  <c r="U21" i="205"/>
  <c r="T21" i="205"/>
  <c r="S21" i="205"/>
  <c r="R21" i="205"/>
  <c r="N21" i="205"/>
  <c r="M21" i="205"/>
  <c r="L21" i="205"/>
  <c r="K21" i="205"/>
  <c r="F21" i="205"/>
  <c r="E21" i="205"/>
  <c r="AI19" i="205"/>
  <c r="AH19" i="205"/>
  <c r="AG19" i="205"/>
  <c r="AF19" i="205"/>
  <c r="AE19" i="205"/>
  <c r="AB19" i="205"/>
  <c r="AA19" i="205"/>
  <c r="Z19" i="205"/>
  <c r="Y19" i="205"/>
  <c r="X19" i="205"/>
  <c r="U19" i="205"/>
  <c r="T19" i="205"/>
  <c r="S19" i="205"/>
  <c r="R19" i="205"/>
  <c r="Q19" i="205"/>
  <c r="N19" i="205"/>
  <c r="M19" i="205"/>
  <c r="L19" i="205"/>
  <c r="K19" i="205"/>
  <c r="J19" i="205"/>
  <c r="F19" i="205"/>
  <c r="E19" i="205"/>
  <c r="C19" i="205"/>
  <c r="AG18" i="205"/>
  <c r="AF18" i="205"/>
  <c r="AE18" i="205"/>
  <c r="AB18" i="205"/>
  <c r="AA18" i="205"/>
  <c r="Z18" i="205"/>
  <c r="Y18" i="205"/>
  <c r="X18" i="205"/>
  <c r="U18" i="205"/>
  <c r="T18" i="205"/>
  <c r="S18" i="205"/>
  <c r="R18" i="205"/>
  <c r="Q18" i="205"/>
  <c r="N18" i="205"/>
  <c r="M18" i="205"/>
  <c r="L18" i="205"/>
  <c r="K18" i="205"/>
  <c r="J18" i="205"/>
  <c r="F18" i="205"/>
  <c r="E18" i="205"/>
  <c r="C18" i="205"/>
  <c r="AI17" i="205"/>
  <c r="AG17" i="205"/>
  <c r="AF17" i="205"/>
  <c r="AE17" i="205"/>
  <c r="AB17" i="205"/>
  <c r="AA17" i="205"/>
  <c r="Z17" i="205"/>
  <c r="Y17" i="205"/>
  <c r="X17" i="205"/>
  <c r="U17" i="205"/>
  <c r="T17" i="205"/>
  <c r="S17" i="205"/>
  <c r="R17" i="205"/>
  <c r="Q17" i="205"/>
  <c r="N17" i="205"/>
  <c r="M17" i="205"/>
  <c r="L17" i="205"/>
  <c r="K17" i="205"/>
  <c r="J17" i="205"/>
  <c r="F17" i="205"/>
  <c r="E17" i="205"/>
  <c r="C17" i="205"/>
  <c r="AH16" i="205"/>
  <c r="AG16" i="205"/>
  <c r="AF16" i="205"/>
  <c r="AE16" i="205"/>
  <c r="AB16" i="205"/>
  <c r="AA16" i="205"/>
  <c r="Z16" i="205"/>
  <c r="Y16" i="205"/>
  <c r="X16" i="205"/>
  <c r="U16" i="205"/>
  <c r="T16" i="205"/>
  <c r="S16" i="205"/>
  <c r="R16" i="205"/>
  <c r="Q16" i="205"/>
  <c r="N16" i="205"/>
  <c r="M16" i="205"/>
  <c r="L16" i="205"/>
  <c r="K16" i="205"/>
  <c r="J16" i="205"/>
  <c r="F16" i="205"/>
  <c r="E16" i="205"/>
  <c r="C16" i="205"/>
  <c r="AI15" i="205"/>
  <c r="AH15" i="205"/>
  <c r="AG15" i="205"/>
  <c r="AF15" i="205"/>
  <c r="AE15" i="205"/>
  <c r="AB15" i="205"/>
  <c r="AA15" i="205"/>
  <c r="Z15" i="205"/>
  <c r="Y15" i="205"/>
  <c r="X15" i="205"/>
  <c r="U15" i="205"/>
  <c r="T15" i="205"/>
  <c r="S15" i="205"/>
  <c r="R15" i="205"/>
  <c r="Q15" i="205"/>
  <c r="N15" i="205"/>
  <c r="M15" i="205"/>
  <c r="L15" i="205"/>
  <c r="K15" i="205"/>
  <c r="J15" i="205"/>
  <c r="F15" i="205"/>
  <c r="E15" i="205"/>
  <c r="C15" i="205"/>
  <c r="AI14" i="205"/>
  <c r="AH14" i="205"/>
  <c r="AG14" i="205"/>
  <c r="AF14" i="205"/>
  <c r="AE14" i="205"/>
  <c r="AB14" i="205"/>
  <c r="AA14" i="205"/>
  <c r="Z14" i="205"/>
  <c r="Y14" i="205"/>
  <c r="X14" i="205"/>
  <c r="U14" i="205"/>
  <c r="T14" i="205"/>
  <c r="S14" i="205"/>
  <c r="R14" i="205"/>
  <c r="Q14" i="205"/>
  <c r="N14" i="205"/>
  <c r="M14" i="205"/>
  <c r="L14" i="205"/>
  <c r="K14" i="205"/>
  <c r="J14" i="205"/>
  <c r="F14" i="205"/>
  <c r="E14" i="205"/>
  <c r="C14" i="205"/>
  <c r="G13" i="205"/>
  <c r="D13" i="205"/>
  <c r="AH11" i="205"/>
  <c r="AG11" i="205"/>
  <c r="AF11" i="205"/>
  <c r="AE11" i="205"/>
  <c r="AB11" i="205"/>
  <c r="AA11" i="205"/>
  <c r="Z11" i="205"/>
  <c r="Y11" i="205"/>
  <c r="X11" i="205"/>
  <c r="U11" i="205"/>
  <c r="T11" i="205"/>
  <c r="S11" i="205"/>
  <c r="R11" i="205"/>
  <c r="Q11" i="205"/>
  <c r="N11" i="205"/>
  <c r="M11" i="205"/>
  <c r="L11" i="205"/>
  <c r="K11" i="205"/>
  <c r="J11" i="205"/>
  <c r="F11" i="205"/>
  <c r="E11" i="205"/>
  <c r="C11" i="205"/>
  <c r="AG10" i="205"/>
  <c r="AF10" i="205"/>
  <c r="AE10" i="205"/>
  <c r="AB10" i="205"/>
  <c r="AA10" i="205"/>
  <c r="Z10" i="205"/>
  <c r="Y10" i="205"/>
  <c r="X10" i="205"/>
  <c r="U10" i="205"/>
  <c r="T10" i="205"/>
  <c r="S10" i="205"/>
  <c r="R10" i="205"/>
  <c r="Q10" i="205"/>
  <c r="N10" i="205"/>
  <c r="M10" i="205"/>
  <c r="L10" i="205"/>
  <c r="K10" i="205"/>
  <c r="J10" i="205"/>
  <c r="F10" i="205"/>
  <c r="E10" i="205"/>
  <c r="C10" i="205"/>
  <c r="AG9" i="205"/>
  <c r="AF9" i="205"/>
  <c r="AE9" i="205"/>
  <c r="AB9" i="205"/>
  <c r="AA9" i="205"/>
  <c r="Z9" i="205"/>
  <c r="Y9" i="205"/>
  <c r="X9" i="205"/>
  <c r="U9" i="205"/>
  <c r="T9" i="205"/>
  <c r="S9" i="205"/>
  <c r="R9" i="205"/>
  <c r="Q9" i="205"/>
  <c r="N9" i="205"/>
  <c r="M9" i="205"/>
  <c r="L9" i="205"/>
  <c r="K9" i="205"/>
  <c r="J9" i="205"/>
  <c r="F9" i="205"/>
  <c r="E9" i="205"/>
  <c r="C9" i="205"/>
  <c r="AH8" i="205"/>
  <c r="G8" i="205"/>
  <c r="D8" i="205"/>
  <c r="BR54" i="203"/>
  <c r="BR50" i="203"/>
  <c r="BR39" i="203"/>
  <c r="BR21" i="203"/>
  <c r="BR9" i="203"/>
  <c r="BI54" i="203"/>
  <c r="BI50" i="203"/>
  <c r="BI39" i="203"/>
  <c r="BI21" i="203"/>
  <c r="BI9" i="203"/>
  <c r="AZ54" i="203"/>
  <c r="AZ50" i="203"/>
  <c r="AZ39" i="203"/>
  <c r="AZ21" i="203"/>
  <c r="AZ9" i="203"/>
  <c r="AQ54" i="203"/>
  <c r="AQ50" i="203"/>
  <c r="AQ39" i="203"/>
  <c r="AQ21" i="203"/>
  <c r="AQ9" i="203"/>
  <c r="AP21" i="203"/>
  <c r="AP10" i="203"/>
  <c r="AP13" i="203" s="1"/>
  <c r="BP46" i="203"/>
  <c r="BP39" i="203"/>
  <c r="BP38" i="203"/>
  <c r="BU38" i="203" s="1"/>
  <c r="BP34" i="203"/>
  <c r="BP33" i="203"/>
  <c r="BP32" i="203"/>
  <c r="BP31" i="203"/>
  <c r="BP30" i="203"/>
  <c r="BP28" i="203"/>
  <c r="BP27" i="203"/>
  <c r="BP26" i="203"/>
  <c r="BP25" i="203"/>
  <c r="BP24" i="203"/>
  <c r="BP23" i="203"/>
  <c r="BP8" i="203"/>
  <c r="BG46" i="203"/>
  <c r="BG39" i="203"/>
  <c r="BG38" i="203"/>
  <c r="BL38" i="203" s="1"/>
  <c r="BG34" i="203"/>
  <c r="BG33" i="203"/>
  <c r="BG32" i="203"/>
  <c r="BG31" i="203"/>
  <c r="BG30" i="203"/>
  <c r="BG28" i="203"/>
  <c r="BG27" i="203"/>
  <c r="BG26" i="203"/>
  <c r="BG25" i="203"/>
  <c r="BG24" i="203"/>
  <c r="BG23" i="203"/>
  <c r="BG8" i="203"/>
  <c r="AX46" i="203"/>
  <c r="AX40" i="203"/>
  <c r="AX38" i="203"/>
  <c r="BC38" i="203" s="1"/>
  <c r="AX39" i="203"/>
  <c r="AX34" i="203"/>
  <c r="AX33" i="203"/>
  <c r="AX32" i="203"/>
  <c r="AX31" i="203"/>
  <c r="AX30" i="203"/>
  <c r="AX28" i="203"/>
  <c r="AX27" i="203"/>
  <c r="AX26" i="203"/>
  <c r="AX25" i="203"/>
  <c r="AX24" i="203"/>
  <c r="AX23" i="203"/>
  <c r="AX8" i="203"/>
  <c r="I61" i="200"/>
  <c r="AQ40" i="203" s="1"/>
  <c r="K169" i="193"/>
  <c r="L169" i="193" s="1"/>
  <c r="BP40" i="203" s="1"/>
  <c r="J169" i="193"/>
  <c r="BT14" i="203" l="1"/>
  <c r="F56" i="208"/>
  <c r="BO18" i="206"/>
  <c r="L15" i="209"/>
  <c r="BO15" i="206" s="1"/>
  <c r="BU47" i="205"/>
  <c r="BU27" i="205"/>
  <c r="BU31" i="205"/>
  <c r="BU34" i="205"/>
  <c r="BU35" i="205"/>
  <c r="BU15" i="205"/>
  <c r="BU45" i="205"/>
  <c r="BK60" i="203"/>
  <c r="BB14" i="203"/>
  <c r="BT60" i="203"/>
  <c r="BL27" i="205"/>
  <c r="BR8" i="205"/>
  <c r="C180" i="6"/>
  <c r="J180" i="6" s="1"/>
  <c r="BI35" i="206"/>
  <c r="BP35" i="206" s="1"/>
  <c r="BL34" i="205"/>
  <c r="BS33" i="205"/>
  <c r="BL31" i="205"/>
  <c r="AT27" i="205"/>
  <c r="BC15" i="205"/>
  <c r="BC31" i="205"/>
  <c r="BL35" i="205"/>
  <c r="BL47" i="205"/>
  <c r="AT14" i="205"/>
  <c r="BC34" i="205"/>
  <c r="BC45" i="205"/>
  <c r="BL15" i="205"/>
  <c r="AX33" i="205"/>
  <c r="BQ33" i="205"/>
  <c r="AR33" i="205"/>
  <c r="AT15" i="205"/>
  <c r="AT31" i="205"/>
  <c r="AT45" i="205"/>
  <c r="BC35" i="205"/>
  <c r="BP33" i="205"/>
  <c r="BO33" i="205"/>
  <c r="AA33" i="205"/>
  <c r="F33" i="205"/>
  <c r="BC47" i="205"/>
  <c r="BC27" i="205"/>
  <c r="AT34" i="205"/>
  <c r="AY33" i="205"/>
  <c r="Y8" i="205"/>
  <c r="AT35" i="205"/>
  <c r="AT47" i="205"/>
  <c r="AW33" i="205"/>
  <c r="BH33" i="205"/>
  <c r="Q33" i="205"/>
  <c r="BA33" i="205"/>
  <c r="BJ33" i="205"/>
  <c r="BI33" i="205"/>
  <c r="AP8" i="205"/>
  <c r="H18" i="205"/>
  <c r="Z33" i="205"/>
  <c r="AP41" i="205"/>
  <c r="AF13" i="205"/>
  <c r="K13" i="205"/>
  <c r="AC16" i="205"/>
  <c r="BT36" i="203"/>
  <c r="BT61" i="203"/>
  <c r="BT20" i="203"/>
  <c r="BK36" i="203"/>
  <c r="BK61" i="203"/>
  <c r="BK20" i="203"/>
  <c r="BB36" i="203"/>
  <c r="BB61" i="203"/>
  <c r="BB20" i="203"/>
  <c r="AS36" i="203"/>
  <c r="AS61" i="203"/>
  <c r="AS20" i="203"/>
  <c r="L10" i="209"/>
  <c r="BO10" i="206" s="1"/>
  <c r="L14" i="209"/>
  <c r="BO14" i="206" s="1"/>
  <c r="L72" i="207"/>
  <c r="BT53" i="203" s="1"/>
  <c r="L30" i="208"/>
  <c r="BT30" i="205" s="1"/>
  <c r="H58" i="209"/>
  <c r="E58" i="209"/>
  <c r="E61" i="209" s="1"/>
  <c r="E56" i="208"/>
  <c r="H56" i="208"/>
  <c r="I25" i="208"/>
  <c r="I8" i="208"/>
  <c r="I41" i="208"/>
  <c r="I37" i="208" s="1"/>
  <c r="I44" i="208"/>
  <c r="J22" i="207"/>
  <c r="J43" i="207" s="1"/>
  <c r="L17" i="207"/>
  <c r="L22" i="207"/>
  <c r="F17" i="207"/>
  <c r="F22" i="207"/>
  <c r="C17" i="207"/>
  <c r="C22" i="207"/>
  <c r="K51" i="207"/>
  <c r="K44" i="207"/>
  <c r="H17" i="207"/>
  <c r="H22" i="207"/>
  <c r="E22" i="207"/>
  <c r="E17" i="207"/>
  <c r="D22" i="207"/>
  <c r="D17" i="207"/>
  <c r="I86" i="207"/>
  <c r="I43" i="207"/>
  <c r="I23" i="207"/>
  <c r="G131" i="6"/>
  <c r="I130" i="6"/>
  <c r="I131" i="6" s="1"/>
  <c r="J130" i="6" s="1"/>
  <c r="BI8" i="205"/>
  <c r="AQ35" i="206"/>
  <c r="U13" i="205"/>
  <c r="AQ37" i="205"/>
  <c r="BI41" i="205"/>
  <c r="BR33" i="205"/>
  <c r="AQ8" i="205"/>
  <c r="AQ33" i="205"/>
  <c r="AQ41" i="205"/>
  <c r="AZ33" i="205"/>
  <c r="J61" i="200"/>
  <c r="BG40" i="203"/>
  <c r="AP25" i="205"/>
  <c r="AG13" i="205"/>
  <c r="E8" i="205"/>
  <c r="S41" i="205"/>
  <c r="H49" i="205"/>
  <c r="AV33" i="205"/>
  <c r="AC27" i="205"/>
  <c r="V30" i="205"/>
  <c r="AC34" i="205"/>
  <c r="M33" i="205"/>
  <c r="Y33" i="205"/>
  <c r="AP13" i="205"/>
  <c r="E33" i="205"/>
  <c r="AM33" i="205"/>
  <c r="AC10" i="205"/>
  <c r="G23" i="205"/>
  <c r="E41" i="205"/>
  <c r="R41" i="205"/>
  <c r="AB41" i="205"/>
  <c r="H11" i="205"/>
  <c r="H14" i="205"/>
  <c r="AE13" i="205"/>
  <c r="O19" i="205"/>
  <c r="AZ41" i="205"/>
  <c r="BR41" i="205"/>
  <c r="AZ35" i="206"/>
  <c r="BG35" i="206" s="1"/>
  <c r="AH35" i="206"/>
  <c r="AO35" i="206" s="1"/>
  <c r="BE33" i="205"/>
  <c r="R13" i="205"/>
  <c r="AB13" i="205"/>
  <c r="M41" i="205"/>
  <c r="V45" i="205"/>
  <c r="L8" i="205"/>
  <c r="AC18" i="205"/>
  <c r="AF8" i="205"/>
  <c r="O17" i="205"/>
  <c r="H21" i="205"/>
  <c r="AC30" i="205"/>
  <c r="H31" i="205"/>
  <c r="K33" i="205"/>
  <c r="U33" i="205"/>
  <c r="O15" i="205"/>
  <c r="AH33" i="205"/>
  <c r="O9" i="205"/>
  <c r="X13" i="205"/>
  <c r="AI33" i="205"/>
  <c r="V42" i="205"/>
  <c r="AJ42" i="205"/>
  <c r="T41" i="205"/>
  <c r="L41" i="205"/>
  <c r="AC45" i="205"/>
  <c r="O47" i="205"/>
  <c r="N8" i="205"/>
  <c r="AJ11" i="205"/>
  <c r="M13" i="205"/>
  <c r="H16" i="205"/>
  <c r="O42" i="205"/>
  <c r="AF41" i="205"/>
  <c r="K41" i="205"/>
  <c r="U41" i="205"/>
  <c r="H47" i="205"/>
  <c r="V47" i="205"/>
  <c r="L13" i="205"/>
  <c r="V9" i="205"/>
  <c r="O11" i="205"/>
  <c r="N13" i="205"/>
  <c r="R33" i="205"/>
  <c r="AC9" i="205"/>
  <c r="H10" i="205"/>
  <c r="AA8" i="205"/>
  <c r="H42" i="205"/>
  <c r="V44" i="205"/>
  <c r="AC47" i="205"/>
  <c r="F8" i="205"/>
  <c r="R8" i="205"/>
  <c r="AB8" i="205"/>
  <c r="AC17" i="205"/>
  <c r="AC19" i="205"/>
  <c r="AJ19" i="205"/>
  <c r="AJ30" i="205"/>
  <c r="AJ34" i="205"/>
  <c r="L33" i="205"/>
  <c r="AC42" i="205"/>
  <c r="F41" i="205"/>
  <c r="O44" i="205"/>
  <c r="AJ45" i="205"/>
  <c r="Z13" i="205"/>
  <c r="U8" i="205"/>
  <c r="AA13" i="205"/>
  <c r="H17" i="205"/>
  <c r="V17" i="205"/>
  <c r="H19" i="205"/>
  <c r="V19" i="205"/>
  <c r="AJ31" i="205"/>
  <c r="O34" i="205"/>
  <c r="D51" i="205"/>
  <c r="AH41" i="205"/>
  <c r="O45" i="205"/>
  <c r="H46" i="205"/>
  <c r="AJ49" i="205"/>
  <c r="S8" i="205"/>
  <c r="V14" i="205"/>
  <c r="AJ14" i="205"/>
  <c r="J13" i="205"/>
  <c r="S13" i="205"/>
  <c r="V16" i="205"/>
  <c r="O18" i="205"/>
  <c r="V18" i="205"/>
  <c r="H27" i="205"/>
  <c r="O30" i="205"/>
  <c r="V31" i="205"/>
  <c r="AJ35" i="205"/>
  <c r="G51" i="205"/>
  <c r="AE41" i="205"/>
  <c r="Z41" i="205"/>
  <c r="H44" i="205"/>
  <c r="V46" i="205"/>
  <c r="AJ46" i="205"/>
  <c r="X8" i="205"/>
  <c r="AC14" i="205"/>
  <c r="F13" i="205"/>
  <c r="H30" i="205"/>
  <c r="V34" i="205"/>
  <c r="Y41" i="205"/>
  <c r="AC46" i="205"/>
  <c r="AG8" i="205"/>
  <c r="AG23" i="205" s="1"/>
  <c r="C13" i="205"/>
  <c r="O14" i="205"/>
  <c r="O16" i="205"/>
  <c r="H28" i="205"/>
  <c r="O31" i="205"/>
  <c r="AC31" i="205"/>
  <c r="X33" i="205"/>
  <c r="T33" i="205"/>
  <c r="AF33" i="205"/>
  <c r="V43" i="205"/>
  <c r="AA41" i="205"/>
  <c r="AC44" i="205"/>
  <c r="O46" i="205"/>
  <c r="AJ47" i="205"/>
  <c r="C8" i="205"/>
  <c r="H9" i="205"/>
  <c r="H15" i="205"/>
  <c r="E13" i="205"/>
  <c r="AJ21" i="205"/>
  <c r="AC11" i="205"/>
  <c r="Z8" i="205"/>
  <c r="AJ15" i="205"/>
  <c r="O43" i="205"/>
  <c r="N41" i="205"/>
  <c r="Q8" i="205"/>
  <c r="V11" i="205"/>
  <c r="D23" i="205"/>
  <c r="AC15" i="205"/>
  <c r="Y13" i="205"/>
  <c r="AJ27" i="205"/>
  <c r="C41" i="205"/>
  <c r="H43" i="205"/>
  <c r="F25" i="205"/>
  <c r="H26" i="205"/>
  <c r="V15" i="205"/>
  <c r="Q13" i="205"/>
  <c r="V27" i="205"/>
  <c r="AG33" i="205"/>
  <c r="V35" i="205"/>
  <c r="S33" i="205"/>
  <c r="AJ43" i="205"/>
  <c r="AG41" i="205"/>
  <c r="AC49" i="205"/>
  <c r="AE8" i="205"/>
  <c r="AC21" i="205"/>
  <c r="O27" i="205"/>
  <c r="H34" i="205"/>
  <c r="J41" i="205"/>
  <c r="O21" i="205"/>
  <c r="N33" i="205"/>
  <c r="AC43" i="205"/>
  <c r="X41" i="205"/>
  <c r="V49" i="205"/>
  <c r="T8" i="205"/>
  <c r="V10" i="205"/>
  <c r="AC35" i="205"/>
  <c r="AB33" i="205"/>
  <c r="K8" i="205"/>
  <c r="K23" i="205" s="1"/>
  <c r="O10" i="205"/>
  <c r="M8" i="205"/>
  <c r="AJ9" i="205"/>
  <c r="T13" i="205"/>
  <c r="O49" i="205"/>
  <c r="J8" i="205"/>
  <c r="AE33" i="205"/>
  <c r="Q41" i="205"/>
  <c r="V21" i="205"/>
  <c r="AP14" i="203"/>
  <c r="AP19" i="203"/>
  <c r="J98" i="184"/>
  <c r="J97" i="184"/>
  <c r="K97" i="184" s="1"/>
  <c r="J95" i="184"/>
  <c r="K95" i="184" s="1"/>
  <c r="D15" i="204"/>
  <c r="D12" i="204"/>
  <c r="D6" i="204"/>
  <c r="AO46" i="203"/>
  <c r="AO40" i="203"/>
  <c r="AO39" i="203"/>
  <c r="AO38" i="203"/>
  <c r="AO34" i="203"/>
  <c r="AO33" i="203"/>
  <c r="AO32" i="203"/>
  <c r="AO31" i="203"/>
  <c r="AO30" i="203"/>
  <c r="AO28" i="203"/>
  <c r="AO27" i="203"/>
  <c r="AO26" i="203"/>
  <c r="AO25" i="203"/>
  <c r="AO24" i="203"/>
  <c r="AO23" i="203"/>
  <c r="AO8" i="203"/>
  <c r="AO7" i="203"/>
  <c r="BO50" i="203"/>
  <c r="BO46" i="203"/>
  <c r="BO44" i="203"/>
  <c r="BO39" i="203"/>
  <c r="BO34" i="203"/>
  <c r="BO33" i="203"/>
  <c r="BO32" i="203"/>
  <c r="BO31" i="203"/>
  <c r="BO30" i="203"/>
  <c r="BO28" i="203"/>
  <c r="BO27" i="203"/>
  <c r="BO25" i="203"/>
  <c r="BO24" i="203"/>
  <c r="BO23" i="203"/>
  <c r="BO8" i="203"/>
  <c r="BF50" i="203"/>
  <c r="BF46" i="203"/>
  <c r="BF44" i="203"/>
  <c r="BF39" i="203"/>
  <c r="BF34" i="203"/>
  <c r="BF33" i="203"/>
  <c r="BF32" i="203"/>
  <c r="BF31" i="203"/>
  <c r="BF30" i="203"/>
  <c r="BF28" i="203"/>
  <c r="BF27" i="203"/>
  <c r="BF25" i="203"/>
  <c r="BF24" i="203"/>
  <c r="BF23" i="203"/>
  <c r="BF8" i="203"/>
  <c r="AW50" i="203"/>
  <c r="AW46" i="203"/>
  <c r="AW44" i="203"/>
  <c r="AW39" i="203"/>
  <c r="AW34" i="203"/>
  <c r="AW33" i="203"/>
  <c r="AW32" i="203"/>
  <c r="AW31" i="203"/>
  <c r="AW30" i="203"/>
  <c r="AW28" i="203"/>
  <c r="AW27" i="203"/>
  <c r="AW25" i="203"/>
  <c r="AW24" i="203"/>
  <c r="AW23" i="203"/>
  <c r="AW8" i="203"/>
  <c r="AN50" i="203"/>
  <c r="AN46" i="203"/>
  <c r="AN44" i="203"/>
  <c r="AN40" i="203"/>
  <c r="AN39" i="203"/>
  <c r="AN34" i="203"/>
  <c r="AN33" i="203"/>
  <c r="AN32" i="203"/>
  <c r="AN31" i="203"/>
  <c r="AN30" i="203"/>
  <c r="AN28" i="203"/>
  <c r="AN27" i="203"/>
  <c r="AN25" i="203"/>
  <c r="AN24" i="203"/>
  <c r="AN23" i="203"/>
  <c r="AN8" i="203"/>
  <c r="AN7" i="203"/>
  <c r="BN44" i="203"/>
  <c r="BN40" i="203"/>
  <c r="BN39" i="203"/>
  <c r="BN34" i="203"/>
  <c r="BN33" i="203"/>
  <c r="BN31" i="203"/>
  <c r="BN30" i="203"/>
  <c r="BN29" i="203"/>
  <c r="BU29" i="203" s="1"/>
  <c r="BN28" i="203"/>
  <c r="BN27" i="203"/>
  <c r="BN26" i="203"/>
  <c r="BN25" i="203"/>
  <c r="BN24" i="203"/>
  <c r="BN23" i="203"/>
  <c r="BN7" i="203"/>
  <c r="BU7" i="203" s="1"/>
  <c r="BE44" i="203"/>
  <c r="BE40" i="203"/>
  <c r="BE39" i="203"/>
  <c r="BE34" i="203"/>
  <c r="BE33" i="203"/>
  <c r="BE31" i="203"/>
  <c r="BE30" i="203"/>
  <c r="BE29" i="203"/>
  <c r="BL29" i="203" s="1"/>
  <c r="BE28" i="203"/>
  <c r="BE27" i="203"/>
  <c r="BE26" i="203"/>
  <c r="BE25" i="203"/>
  <c r="BE24" i="203"/>
  <c r="BE23" i="203"/>
  <c r="BE7" i="203"/>
  <c r="BL7" i="203" s="1"/>
  <c r="AV44" i="203"/>
  <c r="AV40" i="203"/>
  <c r="AV39" i="203"/>
  <c r="AV34" i="203"/>
  <c r="AV33" i="203"/>
  <c r="AV31" i="203"/>
  <c r="AV30" i="203"/>
  <c r="AV29" i="203"/>
  <c r="BC29" i="203" s="1"/>
  <c r="AV28" i="203"/>
  <c r="AV27" i="203"/>
  <c r="AV26" i="203"/>
  <c r="AV25" i="203"/>
  <c r="AV24" i="203"/>
  <c r="AV23" i="203"/>
  <c r="AV7" i="203"/>
  <c r="BC7" i="203" s="1"/>
  <c r="BP21" i="203"/>
  <c r="BR10" i="203"/>
  <c r="BP10" i="203"/>
  <c r="BG21" i="203"/>
  <c r="BI10" i="203"/>
  <c r="BG10" i="203"/>
  <c r="AX21" i="203"/>
  <c r="AZ10" i="203"/>
  <c r="AX10" i="203"/>
  <c r="AM31" i="203"/>
  <c r="AM44" i="203"/>
  <c r="AM41" i="203"/>
  <c r="AT41" i="203" s="1"/>
  <c r="AM40" i="203"/>
  <c r="AM39" i="203"/>
  <c r="AM34" i="203"/>
  <c r="AM33" i="203"/>
  <c r="AM30" i="203"/>
  <c r="AM29" i="203"/>
  <c r="AT29" i="203" s="1"/>
  <c r="AM28" i="203"/>
  <c r="AM27" i="203"/>
  <c r="AM26" i="203"/>
  <c r="AM25" i="203"/>
  <c r="AM24" i="203"/>
  <c r="AM23" i="203"/>
  <c r="AM12" i="203"/>
  <c r="AT12" i="203" s="1"/>
  <c r="AM11" i="203"/>
  <c r="AT11" i="203" s="1"/>
  <c r="AM9" i="203"/>
  <c r="AM8" i="203"/>
  <c r="AM7" i="203"/>
  <c r="AQ10" i="203"/>
  <c r="AI38" i="203"/>
  <c r="AI33" i="203"/>
  <c r="AI32" i="203"/>
  <c r="AI31" i="203"/>
  <c r="AI29" i="203"/>
  <c r="AI28" i="203"/>
  <c r="AI27" i="203"/>
  <c r="AI26" i="203"/>
  <c r="AI25" i="203"/>
  <c r="AI24" i="203"/>
  <c r="AI23" i="203"/>
  <c r="AI8" i="203"/>
  <c r="AI7" i="203"/>
  <c r="AH54" i="203"/>
  <c r="AH53" i="203"/>
  <c r="AH50" i="203"/>
  <c r="AH40" i="203"/>
  <c r="AH39" i="203"/>
  <c r="AH38" i="203"/>
  <c r="AH21" i="203"/>
  <c r="AH9" i="203"/>
  <c r="AH8" i="203"/>
  <c r="AH7" i="203"/>
  <c r="AE55" i="203"/>
  <c r="AJ55" i="203" s="1"/>
  <c r="AB55" i="203"/>
  <c r="AA55" i="203"/>
  <c r="Z55" i="203"/>
  <c r="Y55" i="203"/>
  <c r="X55" i="203"/>
  <c r="U55" i="203"/>
  <c r="T55" i="203"/>
  <c r="S55" i="203"/>
  <c r="R55" i="203"/>
  <c r="Q55" i="203"/>
  <c r="M55" i="203"/>
  <c r="L55" i="203"/>
  <c r="K55" i="203"/>
  <c r="J55" i="203"/>
  <c r="E55" i="203"/>
  <c r="C55" i="203"/>
  <c r="AE54" i="203"/>
  <c r="AA46" i="203"/>
  <c r="T46" i="203"/>
  <c r="M46" i="203"/>
  <c r="F46" i="203"/>
  <c r="AJ41" i="203"/>
  <c r="AB41" i="203"/>
  <c r="AA41" i="203"/>
  <c r="U41" i="203"/>
  <c r="T41" i="203"/>
  <c r="S41" i="203"/>
  <c r="R41" i="203"/>
  <c r="Q41" i="203"/>
  <c r="N41" i="203"/>
  <c r="M41" i="203"/>
  <c r="L41" i="203"/>
  <c r="K41" i="203"/>
  <c r="J41" i="203"/>
  <c r="F41" i="203"/>
  <c r="E41" i="203"/>
  <c r="C41" i="203"/>
  <c r="AB40" i="203"/>
  <c r="U40" i="203"/>
  <c r="T40" i="203"/>
  <c r="N40" i="203"/>
  <c r="AB38" i="203"/>
  <c r="AA38" i="203"/>
  <c r="U38" i="203"/>
  <c r="T38" i="203"/>
  <c r="N38" i="203"/>
  <c r="M38" i="203"/>
  <c r="F38" i="203"/>
  <c r="AB33" i="203"/>
  <c r="AA33" i="203"/>
  <c r="U33" i="203"/>
  <c r="T33" i="203"/>
  <c r="N33" i="203"/>
  <c r="M33" i="203"/>
  <c r="F33" i="203"/>
  <c r="AB32" i="203"/>
  <c r="AA32" i="203"/>
  <c r="U32" i="203"/>
  <c r="T32" i="203"/>
  <c r="N32" i="203"/>
  <c r="M32" i="203"/>
  <c r="F32" i="203"/>
  <c r="AB31" i="203"/>
  <c r="U31" i="203"/>
  <c r="N31" i="203"/>
  <c r="F31" i="203"/>
  <c r="AB29" i="203"/>
  <c r="AA29" i="203"/>
  <c r="U29" i="203"/>
  <c r="T29" i="203"/>
  <c r="N29" i="203"/>
  <c r="M29" i="203"/>
  <c r="F29" i="203"/>
  <c r="AB28" i="203"/>
  <c r="U28" i="203"/>
  <c r="N28" i="203"/>
  <c r="AB27" i="203"/>
  <c r="AA27" i="203"/>
  <c r="U27" i="203"/>
  <c r="T27" i="203"/>
  <c r="N27" i="203"/>
  <c r="M27" i="203"/>
  <c r="F27" i="203"/>
  <c r="AB26" i="203"/>
  <c r="AA26" i="203"/>
  <c r="U26" i="203"/>
  <c r="T26" i="203"/>
  <c r="N26" i="203"/>
  <c r="M26" i="203"/>
  <c r="F26" i="203"/>
  <c r="AB25" i="203"/>
  <c r="AA25" i="203"/>
  <c r="U25" i="203"/>
  <c r="T25" i="203"/>
  <c r="N25" i="203"/>
  <c r="M25" i="203"/>
  <c r="F25" i="203"/>
  <c r="AB24" i="203"/>
  <c r="AA24" i="203"/>
  <c r="U24" i="203"/>
  <c r="T24" i="203"/>
  <c r="N24" i="203"/>
  <c r="M24" i="203"/>
  <c r="F24" i="203"/>
  <c r="AB23" i="203"/>
  <c r="AA23" i="203"/>
  <c r="U23" i="203"/>
  <c r="T23" i="203"/>
  <c r="N23" i="203"/>
  <c r="M23" i="203"/>
  <c r="F23" i="203"/>
  <c r="G21" i="203"/>
  <c r="D21" i="203"/>
  <c r="AB18" i="203"/>
  <c r="AA18" i="203"/>
  <c r="X18" i="203"/>
  <c r="U18" i="203"/>
  <c r="Q18" i="203"/>
  <c r="N18" i="203"/>
  <c r="M18" i="203"/>
  <c r="J18" i="203"/>
  <c r="F18" i="203"/>
  <c r="C18" i="203"/>
  <c r="AB17" i="203"/>
  <c r="AA17" i="203"/>
  <c r="X17" i="203"/>
  <c r="U17" i="203"/>
  <c r="T17" i="203"/>
  <c r="Q17" i="203"/>
  <c r="N17" i="203"/>
  <c r="M17" i="203"/>
  <c r="J17" i="203"/>
  <c r="F17" i="203"/>
  <c r="C17" i="203"/>
  <c r="AF16" i="203"/>
  <c r="AB16" i="203"/>
  <c r="AA16" i="203"/>
  <c r="Z16" i="203"/>
  <c r="Y16" i="203"/>
  <c r="U16" i="203"/>
  <c r="S16" i="203"/>
  <c r="R16" i="203"/>
  <c r="N16" i="203"/>
  <c r="M16" i="203"/>
  <c r="L16" i="203"/>
  <c r="K16" i="203"/>
  <c r="F16" i="203"/>
  <c r="E16" i="203"/>
  <c r="AF15" i="203"/>
  <c r="AB15" i="203"/>
  <c r="AA15" i="203"/>
  <c r="Z15" i="203"/>
  <c r="Y15" i="203"/>
  <c r="U15" i="203"/>
  <c r="T15" i="203"/>
  <c r="S15" i="203"/>
  <c r="R15" i="203"/>
  <c r="N15" i="203"/>
  <c r="M15" i="203"/>
  <c r="L15" i="203"/>
  <c r="K15" i="203"/>
  <c r="F15" i="203"/>
  <c r="E15" i="203"/>
  <c r="AF12" i="203"/>
  <c r="Y12" i="203"/>
  <c r="T12" i="203"/>
  <c r="R12" i="203"/>
  <c r="K12" i="203"/>
  <c r="AB11" i="203"/>
  <c r="AA11" i="203"/>
  <c r="U11" i="203"/>
  <c r="T11" i="203"/>
  <c r="N11" i="203"/>
  <c r="M11" i="203"/>
  <c r="F11" i="203"/>
  <c r="G10" i="203"/>
  <c r="G60" i="203" s="1"/>
  <c r="D10" i="203"/>
  <c r="D60" i="203" s="1"/>
  <c r="AG9" i="203"/>
  <c r="AF9" i="203"/>
  <c r="AE9" i="203"/>
  <c r="Z9" i="203"/>
  <c r="Y9" i="203"/>
  <c r="X9" i="203"/>
  <c r="S9" i="203"/>
  <c r="R9" i="203"/>
  <c r="Q9" i="203"/>
  <c r="L9" i="203"/>
  <c r="K9" i="203"/>
  <c r="J9" i="203"/>
  <c r="E9" i="203"/>
  <c r="C9" i="203"/>
  <c r="AB8" i="203"/>
  <c r="AA8" i="203"/>
  <c r="U8" i="203"/>
  <c r="T8" i="203"/>
  <c r="N8" i="203"/>
  <c r="M8" i="203"/>
  <c r="F8" i="203"/>
  <c r="AG7" i="203"/>
  <c r="AF7" i="203"/>
  <c r="AB7" i="203"/>
  <c r="AA7" i="203"/>
  <c r="Z7" i="203"/>
  <c r="Y7" i="203"/>
  <c r="U7" i="203"/>
  <c r="T7" i="203"/>
  <c r="S7" i="203"/>
  <c r="R7" i="203"/>
  <c r="N7" i="203"/>
  <c r="M7" i="203"/>
  <c r="L7" i="203"/>
  <c r="K7" i="203"/>
  <c r="F7" i="203"/>
  <c r="E7" i="203"/>
  <c r="F52" i="202"/>
  <c r="F49" i="202" s="1"/>
  <c r="L49" i="202"/>
  <c r="K49" i="202"/>
  <c r="J49" i="202"/>
  <c r="I49" i="202"/>
  <c r="H49" i="202"/>
  <c r="E49" i="202"/>
  <c r="D49" i="202"/>
  <c r="C49" i="202"/>
  <c r="F43" i="202"/>
  <c r="E43" i="202"/>
  <c r="D43" i="202"/>
  <c r="C43" i="202"/>
  <c r="F38" i="202"/>
  <c r="E38" i="202"/>
  <c r="D38" i="202"/>
  <c r="C38" i="202"/>
  <c r="L33" i="202"/>
  <c r="K33" i="202"/>
  <c r="J33" i="202"/>
  <c r="I33" i="202"/>
  <c r="H33" i="202"/>
  <c r="F33" i="202"/>
  <c r="E33" i="202"/>
  <c r="D33" i="202"/>
  <c r="C33" i="202"/>
  <c r="D28" i="202"/>
  <c r="F26" i="202"/>
  <c r="H26" i="202" s="1"/>
  <c r="AH26" i="205" s="1"/>
  <c r="C25" i="202"/>
  <c r="F17" i="202"/>
  <c r="E17" i="202"/>
  <c r="E13" i="202" s="1"/>
  <c r="C17" i="202"/>
  <c r="C13" i="202" s="1"/>
  <c r="F16" i="202"/>
  <c r="D13" i="202"/>
  <c r="F8" i="202"/>
  <c r="E8" i="202"/>
  <c r="D8" i="202"/>
  <c r="C8" i="202"/>
  <c r="C75" i="201"/>
  <c r="D74" i="201" s="1"/>
  <c r="L66" i="201"/>
  <c r="K66" i="201"/>
  <c r="J66" i="201"/>
  <c r="H66" i="201"/>
  <c r="AC44" i="206" s="1"/>
  <c r="AE44" i="206" s="1"/>
  <c r="E66" i="201"/>
  <c r="D66" i="201"/>
  <c r="L62" i="201"/>
  <c r="K62" i="201"/>
  <c r="J62" i="201"/>
  <c r="H62" i="201"/>
  <c r="F59" i="201"/>
  <c r="E59" i="201"/>
  <c r="D59" i="201"/>
  <c r="B59" i="201"/>
  <c r="F58" i="201"/>
  <c r="E58" i="201"/>
  <c r="D58" i="201"/>
  <c r="B58" i="201"/>
  <c r="F57" i="201"/>
  <c r="E57" i="201"/>
  <c r="D57" i="201"/>
  <c r="B57" i="201"/>
  <c r="F54" i="201"/>
  <c r="E54" i="201"/>
  <c r="D54" i="201"/>
  <c r="B54" i="201"/>
  <c r="F53" i="201"/>
  <c r="E53" i="201"/>
  <c r="D53" i="201"/>
  <c r="B53" i="201"/>
  <c r="F52" i="201"/>
  <c r="E52" i="201"/>
  <c r="D52" i="201"/>
  <c r="B52" i="201"/>
  <c r="F49" i="201"/>
  <c r="E49" i="201"/>
  <c r="D49" i="201"/>
  <c r="B49" i="201"/>
  <c r="F48" i="201"/>
  <c r="E48" i="201"/>
  <c r="D48" i="201"/>
  <c r="B48" i="201"/>
  <c r="F47" i="201"/>
  <c r="E47" i="201"/>
  <c r="D47" i="201"/>
  <c r="B47" i="201"/>
  <c r="BM39" i="206"/>
  <c r="BD39" i="206"/>
  <c r="AU39" i="206"/>
  <c r="AL39" i="206"/>
  <c r="AC39" i="206"/>
  <c r="F44" i="201"/>
  <c r="E44" i="201"/>
  <c r="D44" i="201"/>
  <c r="B44" i="201"/>
  <c r="F43" i="201"/>
  <c r="E43" i="201"/>
  <c r="D43" i="201"/>
  <c r="B43" i="201"/>
  <c r="F42" i="201"/>
  <c r="E42" i="201"/>
  <c r="D42" i="201"/>
  <c r="B42" i="201"/>
  <c r="F41" i="201"/>
  <c r="E41" i="201"/>
  <c r="D41" i="201"/>
  <c r="B41" i="201"/>
  <c r="F40" i="201"/>
  <c r="E40" i="201"/>
  <c r="D40" i="201"/>
  <c r="B40" i="201"/>
  <c r="F39" i="201"/>
  <c r="E39" i="201"/>
  <c r="D39" i="201"/>
  <c r="B39" i="201"/>
  <c r="L38" i="201"/>
  <c r="BM38" i="206" s="1"/>
  <c r="K38" i="201"/>
  <c r="BD38" i="206" s="1"/>
  <c r="J38" i="201"/>
  <c r="AU38" i="206" s="1"/>
  <c r="I38" i="201"/>
  <c r="AL38" i="206" s="1"/>
  <c r="H38" i="201"/>
  <c r="AC38" i="206" s="1"/>
  <c r="L35" i="201"/>
  <c r="K35" i="201"/>
  <c r="J35" i="201"/>
  <c r="I35" i="201"/>
  <c r="H35" i="201"/>
  <c r="F33" i="201"/>
  <c r="F35" i="201" s="1"/>
  <c r="E33" i="201"/>
  <c r="E35" i="201" s="1"/>
  <c r="D33" i="201"/>
  <c r="D35" i="201" s="1"/>
  <c r="L26" i="201"/>
  <c r="BM26" i="206" s="1"/>
  <c r="K26" i="201"/>
  <c r="BD26" i="206" s="1"/>
  <c r="J26" i="201"/>
  <c r="AU26" i="206" s="1"/>
  <c r="I26" i="201"/>
  <c r="AL26" i="206" s="1"/>
  <c r="H26" i="201"/>
  <c r="AC26" i="206" s="1"/>
  <c r="F26" i="201"/>
  <c r="E26" i="201"/>
  <c r="D26" i="201"/>
  <c r="L25" i="201"/>
  <c r="BM25" i="206" s="1"/>
  <c r="K25" i="201"/>
  <c r="BD25" i="206" s="1"/>
  <c r="J25" i="201"/>
  <c r="AU25" i="206" s="1"/>
  <c r="I25" i="201"/>
  <c r="AL25" i="206" s="1"/>
  <c r="H25" i="201"/>
  <c r="AC25" i="206" s="1"/>
  <c r="F25" i="201"/>
  <c r="E25" i="201"/>
  <c r="D25" i="201"/>
  <c r="L24" i="201"/>
  <c r="BM24" i="206" s="1"/>
  <c r="K24" i="201"/>
  <c r="BD24" i="206" s="1"/>
  <c r="J24" i="201"/>
  <c r="AU24" i="206" s="1"/>
  <c r="I24" i="201"/>
  <c r="AL24" i="206" s="1"/>
  <c r="H24" i="201"/>
  <c r="AC24" i="206" s="1"/>
  <c r="F24" i="201"/>
  <c r="E24" i="201"/>
  <c r="D24" i="201"/>
  <c r="L23" i="201"/>
  <c r="BM23" i="206" s="1"/>
  <c r="K23" i="201"/>
  <c r="BD23" i="206" s="1"/>
  <c r="J23" i="201"/>
  <c r="AU23" i="206" s="1"/>
  <c r="I23" i="201"/>
  <c r="AL23" i="206" s="1"/>
  <c r="H23" i="201"/>
  <c r="AC23" i="206" s="1"/>
  <c r="F23" i="201"/>
  <c r="E23" i="201"/>
  <c r="D23" i="201"/>
  <c r="L22" i="201"/>
  <c r="BM22" i="206" s="1"/>
  <c r="K22" i="201"/>
  <c r="BD22" i="206" s="1"/>
  <c r="J22" i="201"/>
  <c r="AU22" i="206" s="1"/>
  <c r="I22" i="201"/>
  <c r="AL22" i="206" s="1"/>
  <c r="H22" i="201"/>
  <c r="AC22" i="206" s="1"/>
  <c r="F22" i="201"/>
  <c r="E22" i="201"/>
  <c r="D22" i="201"/>
  <c r="L21" i="201"/>
  <c r="BM21" i="206" s="1"/>
  <c r="K21" i="201"/>
  <c r="BD21" i="206" s="1"/>
  <c r="J21" i="201"/>
  <c r="AU21" i="206" s="1"/>
  <c r="I21" i="201"/>
  <c r="AL21" i="206" s="1"/>
  <c r="H21" i="201"/>
  <c r="AC21" i="206" s="1"/>
  <c r="F21" i="201"/>
  <c r="E21" i="201"/>
  <c r="D21" i="201"/>
  <c r="L20" i="201"/>
  <c r="BM20" i="206" s="1"/>
  <c r="K20" i="201"/>
  <c r="BD20" i="206" s="1"/>
  <c r="J20" i="201"/>
  <c r="AU20" i="206" s="1"/>
  <c r="I20" i="201"/>
  <c r="AL20" i="206" s="1"/>
  <c r="H20" i="201"/>
  <c r="AC20" i="206" s="1"/>
  <c r="F20" i="201"/>
  <c r="E20" i="201"/>
  <c r="D20" i="201"/>
  <c r="L19" i="201"/>
  <c r="BM19" i="206" s="1"/>
  <c r="K19" i="201"/>
  <c r="BD19" i="206" s="1"/>
  <c r="J19" i="201"/>
  <c r="AU19" i="206" s="1"/>
  <c r="I19" i="201"/>
  <c r="AL19" i="206" s="1"/>
  <c r="F19" i="201"/>
  <c r="E19" i="201"/>
  <c r="D19" i="201"/>
  <c r="L18" i="201"/>
  <c r="BM18" i="206" s="1"/>
  <c r="K18" i="201"/>
  <c r="BD18" i="206" s="1"/>
  <c r="J18" i="201"/>
  <c r="AU18" i="206" s="1"/>
  <c r="I18" i="201"/>
  <c r="AL18" i="206" s="1"/>
  <c r="H18" i="201"/>
  <c r="AC18" i="206" s="1"/>
  <c r="F18" i="201"/>
  <c r="E18" i="201"/>
  <c r="D18" i="201"/>
  <c r="L17" i="201"/>
  <c r="BM17" i="206" s="1"/>
  <c r="K17" i="201"/>
  <c r="BD17" i="206" s="1"/>
  <c r="J17" i="201"/>
  <c r="AU17" i="206" s="1"/>
  <c r="I17" i="201"/>
  <c r="AL17" i="206" s="1"/>
  <c r="H17" i="201"/>
  <c r="AC17" i="206" s="1"/>
  <c r="F17" i="201"/>
  <c r="E17" i="201"/>
  <c r="D17" i="201"/>
  <c r="L16" i="201"/>
  <c r="BM16" i="206" s="1"/>
  <c r="K16" i="201"/>
  <c r="BD16" i="206" s="1"/>
  <c r="J16" i="201"/>
  <c r="AU16" i="206" s="1"/>
  <c r="I16" i="201"/>
  <c r="AL16" i="206" s="1"/>
  <c r="H16" i="201"/>
  <c r="AC16" i="206" s="1"/>
  <c r="F16" i="201"/>
  <c r="E16" i="201"/>
  <c r="D16" i="201"/>
  <c r="H11" i="201"/>
  <c r="AC11" i="206" s="1"/>
  <c r="F11" i="201"/>
  <c r="E11" i="201"/>
  <c r="D11" i="201"/>
  <c r="F111" i="200"/>
  <c r="E111" i="200"/>
  <c r="D111" i="200"/>
  <c r="C111" i="200"/>
  <c r="F108" i="200"/>
  <c r="E108" i="200"/>
  <c r="D108" i="200"/>
  <c r="C108" i="200"/>
  <c r="F104" i="200"/>
  <c r="E104" i="200"/>
  <c r="D104" i="200"/>
  <c r="C104" i="200"/>
  <c r="F94" i="200"/>
  <c r="E94" i="200"/>
  <c r="D94" i="200"/>
  <c r="F86" i="200"/>
  <c r="E86" i="200"/>
  <c r="D86" i="200"/>
  <c r="C86" i="200"/>
  <c r="F80" i="200"/>
  <c r="E80" i="200"/>
  <c r="D80" i="200"/>
  <c r="C80" i="200"/>
  <c r="F76" i="200"/>
  <c r="E76" i="200"/>
  <c r="D76" i="200"/>
  <c r="C76" i="200"/>
  <c r="F73" i="200"/>
  <c r="E73" i="200"/>
  <c r="D73" i="200"/>
  <c r="C73" i="200"/>
  <c r="F68" i="200"/>
  <c r="E68" i="200"/>
  <c r="D68" i="200"/>
  <c r="C68" i="200"/>
  <c r="F63" i="200"/>
  <c r="E63" i="200"/>
  <c r="D63" i="200"/>
  <c r="C63" i="200"/>
  <c r="F58" i="200"/>
  <c r="E58" i="200"/>
  <c r="D58" i="200"/>
  <c r="C58" i="200"/>
  <c r="F51" i="200"/>
  <c r="E51" i="200"/>
  <c r="D51" i="200"/>
  <c r="C51" i="200"/>
  <c r="F46" i="200"/>
  <c r="E46" i="200"/>
  <c r="D46" i="200"/>
  <c r="C46" i="200"/>
  <c r="F39" i="200"/>
  <c r="E39" i="200"/>
  <c r="D39" i="200"/>
  <c r="C39" i="200"/>
  <c r="F33" i="200"/>
  <c r="E33" i="200"/>
  <c r="D33" i="200"/>
  <c r="C33" i="200"/>
  <c r="F17" i="200"/>
  <c r="E17" i="200"/>
  <c r="D17" i="200"/>
  <c r="C17" i="200"/>
  <c r="L15" i="200"/>
  <c r="L18" i="200" s="1"/>
  <c r="L24" i="200" s="1"/>
  <c r="L121" i="200" s="1"/>
  <c r="K15" i="200"/>
  <c r="K18" i="200" s="1"/>
  <c r="J15" i="200"/>
  <c r="J18" i="200" s="1"/>
  <c r="I15" i="200"/>
  <c r="I18" i="200" s="1"/>
  <c r="H15" i="200"/>
  <c r="F8" i="200"/>
  <c r="F15" i="200" s="1"/>
  <c r="E8" i="200"/>
  <c r="E15" i="200" s="1"/>
  <c r="D8" i="200"/>
  <c r="D15" i="200" s="1"/>
  <c r="C8" i="200"/>
  <c r="C15" i="200" s="1"/>
  <c r="H48" i="199"/>
  <c r="I48" i="199" s="1"/>
  <c r="AR44" i="205" s="1"/>
  <c r="AR41" i="205" s="1"/>
  <c r="H45" i="199"/>
  <c r="F45" i="199"/>
  <c r="E45" i="199"/>
  <c r="D45" i="199"/>
  <c r="C45" i="199"/>
  <c r="H43" i="199"/>
  <c r="H42" i="199" s="1"/>
  <c r="F42" i="199"/>
  <c r="E42" i="199"/>
  <c r="D42" i="199"/>
  <c r="C42" i="199"/>
  <c r="C37" i="199" s="1"/>
  <c r="L38" i="199"/>
  <c r="BS38" i="205" s="1"/>
  <c r="K38" i="199"/>
  <c r="BJ38" i="205" s="1"/>
  <c r="J38" i="199"/>
  <c r="BA38" i="205" s="1"/>
  <c r="I38" i="199"/>
  <c r="AR38" i="205" s="1"/>
  <c r="H38" i="199"/>
  <c r="F38" i="199"/>
  <c r="F37" i="199" s="1"/>
  <c r="E38" i="199"/>
  <c r="E37" i="199" s="1"/>
  <c r="D38" i="199"/>
  <c r="D37" i="199" s="1"/>
  <c r="C38" i="199"/>
  <c r="L33" i="199"/>
  <c r="K33" i="199"/>
  <c r="J33" i="199"/>
  <c r="I33" i="199"/>
  <c r="H33" i="199"/>
  <c r="F33" i="199"/>
  <c r="E33" i="199"/>
  <c r="D33" i="199"/>
  <c r="C33" i="199"/>
  <c r="H26" i="199"/>
  <c r="I26" i="199" s="1"/>
  <c r="AR26" i="205" s="1"/>
  <c r="C25" i="199"/>
  <c r="H16" i="199"/>
  <c r="I16" i="199" s="1"/>
  <c r="E16" i="199"/>
  <c r="D16" i="199"/>
  <c r="F13" i="199"/>
  <c r="E13" i="199"/>
  <c r="D13" i="199"/>
  <c r="C13" i="199"/>
  <c r="C23" i="199" s="1"/>
  <c r="F10" i="199"/>
  <c r="F8" i="199"/>
  <c r="E8" i="199"/>
  <c r="D8" i="199"/>
  <c r="C8" i="199"/>
  <c r="L3" i="199"/>
  <c r="K3" i="199"/>
  <c r="J3" i="199"/>
  <c r="I3" i="199"/>
  <c r="H3" i="199"/>
  <c r="L83" i="198"/>
  <c r="K83" i="198"/>
  <c r="J83" i="198"/>
  <c r="I83" i="198"/>
  <c r="H83" i="198"/>
  <c r="F83" i="198"/>
  <c r="E83" i="198"/>
  <c r="D83" i="198"/>
  <c r="C83" i="198"/>
  <c r="L81" i="198"/>
  <c r="L79" i="198" s="1"/>
  <c r="K81" i="198"/>
  <c r="J81" i="198"/>
  <c r="J79" i="198" s="1"/>
  <c r="I81" i="198"/>
  <c r="H81" i="198"/>
  <c r="H79" i="198" s="1"/>
  <c r="F81" i="198"/>
  <c r="F79" i="198" s="1"/>
  <c r="E81" i="198"/>
  <c r="E79" i="198" s="1"/>
  <c r="D81" i="198"/>
  <c r="D79" i="198" s="1"/>
  <c r="C81" i="198"/>
  <c r="K79" i="198"/>
  <c r="I79" i="198"/>
  <c r="C79" i="198"/>
  <c r="L72" i="198"/>
  <c r="K72" i="198"/>
  <c r="K70" i="198" s="1"/>
  <c r="BJ50" i="203" s="1"/>
  <c r="J72" i="198"/>
  <c r="I72" i="198"/>
  <c r="I70" i="198" s="1"/>
  <c r="AR50" i="203" s="1"/>
  <c r="H72" i="198"/>
  <c r="H70" i="198" s="1"/>
  <c r="AI50" i="203" s="1"/>
  <c r="F72" i="198"/>
  <c r="F70" i="198" s="1"/>
  <c r="E72" i="198"/>
  <c r="E70" i="198" s="1"/>
  <c r="D72" i="198"/>
  <c r="D70" i="198" s="1"/>
  <c r="C72" i="198"/>
  <c r="C70" i="198" s="1"/>
  <c r="L70" i="198"/>
  <c r="BS50" i="203" s="1"/>
  <c r="J70" i="198"/>
  <c r="BA50" i="203" s="1"/>
  <c r="L65" i="198"/>
  <c r="BS47" i="203" s="1"/>
  <c r="BU47" i="203" s="1"/>
  <c r="K65" i="198"/>
  <c r="BJ47" i="203" s="1"/>
  <c r="BL47" i="203" s="1"/>
  <c r="J65" i="198"/>
  <c r="BA47" i="203" s="1"/>
  <c r="BC47" i="203" s="1"/>
  <c r="I65" i="198"/>
  <c r="AR47" i="203" s="1"/>
  <c r="H65" i="198"/>
  <c r="AI47" i="203" s="1"/>
  <c r="F65" i="198"/>
  <c r="E65" i="198"/>
  <c r="D65" i="198"/>
  <c r="C65" i="198"/>
  <c r="L62" i="198"/>
  <c r="BS46" i="203" s="1"/>
  <c r="K62" i="198"/>
  <c r="BJ46" i="203" s="1"/>
  <c r="J62" i="198"/>
  <c r="BA46" i="203" s="1"/>
  <c r="I62" i="198"/>
  <c r="AR46" i="203" s="1"/>
  <c r="H62" i="198"/>
  <c r="AI46" i="203" s="1"/>
  <c r="F62" i="198"/>
  <c r="E62" i="198"/>
  <c r="D62" i="198"/>
  <c r="C62" i="198"/>
  <c r="L59" i="198"/>
  <c r="BS45" i="203" s="1"/>
  <c r="BU45" i="203" s="1"/>
  <c r="K59" i="198"/>
  <c r="BJ45" i="203" s="1"/>
  <c r="BL45" i="203" s="1"/>
  <c r="J59" i="198"/>
  <c r="BA45" i="203" s="1"/>
  <c r="BC45" i="203" s="1"/>
  <c r="I59" i="198"/>
  <c r="AR45" i="203" s="1"/>
  <c r="H59" i="198"/>
  <c r="AI45" i="203" s="1"/>
  <c r="F59" i="198"/>
  <c r="E59" i="198"/>
  <c r="D59" i="198"/>
  <c r="C59" i="198"/>
  <c r="L56" i="198"/>
  <c r="K56" i="198"/>
  <c r="J56" i="198"/>
  <c r="I56" i="198"/>
  <c r="H56" i="198"/>
  <c r="AI44" i="203" s="1"/>
  <c r="F56" i="198"/>
  <c r="E56" i="198"/>
  <c r="D56" i="198"/>
  <c r="C56" i="198"/>
  <c r="L48" i="198"/>
  <c r="BS39" i="203" s="1"/>
  <c r="K48" i="198"/>
  <c r="J48" i="198"/>
  <c r="BA39" i="203" s="1"/>
  <c r="I48" i="198"/>
  <c r="H48" i="198"/>
  <c r="AI39" i="203" s="1"/>
  <c r="F48" i="198"/>
  <c r="E48" i="198"/>
  <c r="D48" i="198"/>
  <c r="C48" i="198"/>
  <c r="L41" i="198"/>
  <c r="K41" i="198"/>
  <c r="J41" i="198"/>
  <c r="I41" i="198"/>
  <c r="H41" i="198"/>
  <c r="AI34" i="203" s="1"/>
  <c r="F41" i="198"/>
  <c r="E41" i="198"/>
  <c r="D41" i="198"/>
  <c r="C41" i="198"/>
  <c r="L32" i="198"/>
  <c r="K32" i="198"/>
  <c r="J32" i="198"/>
  <c r="I32" i="198"/>
  <c r="I23" i="198" s="1"/>
  <c r="AR21" i="203" s="1"/>
  <c r="H32" i="198"/>
  <c r="AI30" i="203" s="1"/>
  <c r="F32" i="198"/>
  <c r="F23" i="198" s="1"/>
  <c r="E32" i="198"/>
  <c r="D32" i="198"/>
  <c r="C32" i="198"/>
  <c r="L14" i="198"/>
  <c r="K14" i="198"/>
  <c r="J14" i="198"/>
  <c r="I14" i="198"/>
  <c r="H14" i="198"/>
  <c r="F14" i="198"/>
  <c r="E14" i="198"/>
  <c r="D14" i="198"/>
  <c r="C14" i="198"/>
  <c r="E12" i="198"/>
  <c r="E15" i="198" s="1"/>
  <c r="E21" i="198" s="1"/>
  <c r="L8" i="198"/>
  <c r="L12" i="198" s="1"/>
  <c r="K8" i="198"/>
  <c r="K12" i="198" s="1"/>
  <c r="K15" i="198" s="1"/>
  <c r="J8" i="198"/>
  <c r="I8" i="198"/>
  <c r="H8" i="198"/>
  <c r="AI9" i="203" s="1"/>
  <c r="F8" i="198"/>
  <c r="F12" i="198" s="1"/>
  <c r="E8" i="198"/>
  <c r="D8" i="198"/>
  <c r="D12" i="198" s="1"/>
  <c r="C8" i="198"/>
  <c r="C12" i="198" s="1"/>
  <c r="D65" i="196"/>
  <c r="E64" i="196" s="1"/>
  <c r="D64" i="196"/>
  <c r="F49" i="196"/>
  <c r="F48" i="196" s="1"/>
  <c r="E49" i="196"/>
  <c r="E48" i="196" s="1"/>
  <c r="B49" i="196"/>
  <c r="D48" i="196"/>
  <c r="L46" i="196"/>
  <c r="K46" i="196"/>
  <c r="J46" i="196"/>
  <c r="I46" i="196"/>
  <c r="H46" i="196"/>
  <c r="F46" i="196"/>
  <c r="E46" i="196"/>
  <c r="B46" i="196"/>
  <c r="L45" i="196"/>
  <c r="K45" i="196"/>
  <c r="K44" i="196" s="1"/>
  <c r="BE40" i="206" s="1"/>
  <c r="J45" i="196"/>
  <c r="I45" i="196"/>
  <c r="H45" i="196"/>
  <c r="F45" i="196"/>
  <c r="F44" i="196" s="1"/>
  <c r="E45" i="196"/>
  <c r="E44" i="196" s="1"/>
  <c r="B45" i="196"/>
  <c r="L44" i="196"/>
  <c r="BN40" i="206" s="1"/>
  <c r="J44" i="196"/>
  <c r="AV40" i="206" s="1"/>
  <c r="I44" i="196"/>
  <c r="AM40" i="206" s="1"/>
  <c r="H44" i="196"/>
  <c r="AD40" i="206" s="1"/>
  <c r="D44" i="196"/>
  <c r="L42" i="196"/>
  <c r="K42" i="196"/>
  <c r="J42" i="196"/>
  <c r="I42" i="196"/>
  <c r="H42" i="196"/>
  <c r="F42" i="196"/>
  <c r="E42" i="196"/>
  <c r="B42" i="196"/>
  <c r="L41" i="196"/>
  <c r="L39" i="196" s="1"/>
  <c r="K41" i="196"/>
  <c r="J41" i="196"/>
  <c r="I41" i="196"/>
  <c r="I39" i="196" s="1"/>
  <c r="H41" i="196"/>
  <c r="F41" i="196"/>
  <c r="E41" i="196"/>
  <c r="B41" i="196"/>
  <c r="L40" i="196"/>
  <c r="K40" i="196"/>
  <c r="J40" i="196"/>
  <c r="J39" i="196" s="1"/>
  <c r="I40" i="196"/>
  <c r="H40" i="196"/>
  <c r="F40" i="196"/>
  <c r="E40" i="196"/>
  <c r="B40" i="196"/>
  <c r="K39" i="196"/>
  <c r="H39" i="196"/>
  <c r="E39" i="196"/>
  <c r="D39" i="196"/>
  <c r="L35" i="196"/>
  <c r="K35" i="196"/>
  <c r="J35" i="196"/>
  <c r="I35" i="196"/>
  <c r="H35" i="196"/>
  <c r="D35" i="196"/>
  <c r="F32" i="196"/>
  <c r="F35" i="196" s="1"/>
  <c r="E32" i="196"/>
  <c r="E35" i="196" s="1"/>
  <c r="D28" i="196"/>
  <c r="L26" i="196"/>
  <c r="BN26" i="206" s="1"/>
  <c r="K26" i="196"/>
  <c r="BE26" i="206" s="1"/>
  <c r="J26" i="196"/>
  <c r="AV26" i="206" s="1"/>
  <c r="I26" i="196"/>
  <c r="AM26" i="206" s="1"/>
  <c r="H26" i="196"/>
  <c r="AD26" i="206" s="1"/>
  <c r="F26" i="196"/>
  <c r="E26" i="196"/>
  <c r="L25" i="196"/>
  <c r="BN25" i="206" s="1"/>
  <c r="K25" i="196"/>
  <c r="BE25" i="206" s="1"/>
  <c r="J25" i="196"/>
  <c r="AV25" i="206" s="1"/>
  <c r="I25" i="196"/>
  <c r="AM25" i="206" s="1"/>
  <c r="H25" i="196"/>
  <c r="AD25" i="206" s="1"/>
  <c r="F25" i="196"/>
  <c r="E25" i="196"/>
  <c r="L24" i="196"/>
  <c r="BN24" i="206" s="1"/>
  <c r="K24" i="196"/>
  <c r="BE24" i="206" s="1"/>
  <c r="J24" i="196"/>
  <c r="AV24" i="206" s="1"/>
  <c r="I24" i="196"/>
  <c r="AM24" i="206" s="1"/>
  <c r="H24" i="196"/>
  <c r="AD24" i="206" s="1"/>
  <c r="F24" i="196"/>
  <c r="E24" i="196"/>
  <c r="F23" i="196"/>
  <c r="E23" i="196"/>
  <c r="L22" i="196"/>
  <c r="BN22" i="206" s="1"/>
  <c r="K22" i="196"/>
  <c r="BE22" i="206" s="1"/>
  <c r="J22" i="196"/>
  <c r="AV22" i="206" s="1"/>
  <c r="I22" i="196"/>
  <c r="AM22" i="206" s="1"/>
  <c r="H22" i="196"/>
  <c r="AD22" i="206" s="1"/>
  <c r="F22" i="196"/>
  <c r="E22" i="196"/>
  <c r="L21" i="196"/>
  <c r="BN21" i="206" s="1"/>
  <c r="K21" i="196"/>
  <c r="BE21" i="206" s="1"/>
  <c r="J21" i="196"/>
  <c r="AV21" i="206" s="1"/>
  <c r="I21" i="196"/>
  <c r="AM21" i="206" s="1"/>
  <c r="H21" i="196"/>
  <c r="AD21" i="206" s="1"/>
  <c r="F21" i="196"/>
  <c r="E21" i="196"/>
  <c r="H20" i="196"/>
  <c r="AD20" i="206" s="1"/>
  <c r="F20" i="196"/>
  <c r="E20" i="196"/>
  <c r="L19" i="196"/>
  <c r="BN19" i="206" s="1"/>
  <c r="K19" i="196"/>
  <c r="BE19" i="206" s="1"/>
  <c r="J19" i="196"/>
  <c r="AV19" i="206" s="1"/>
  <c r="I19" i="196"/>
  <c r="AM19" i="206" s="1"/>
  <c r="H19" i="196"/>
  <c r="AD19" i="206" s="1"/>
  <c r="F19" i="196"/>
  <c r="E19" i="196"/>
  <c r="F18" i="196"/>
  <c r="E18" i="196"/>
  <c r="H17" i="196"/>
  <c r="AD17" i="206" s="1"/>
  <c r="F17" i="196"/>
  <c r="E17" i="196"/>
  <c r="L16" i="196"/>
  <c r="BN16" i="206" s="1"/>
  <c r="K16" i="196"/>
  <c r="J16" i="196"/>
  <c r="AV16" i="206" s="1"/>
  <c r="I16" i="196"/>
  <c r="AM16" i="206" s="1"/>
  <c r="H16" i="196"/>
  <c r="F16" i="196"/>
  <c r="E16" i="196"/>
  <c r="L13" i="196"/>
  <c r="BN13" i="206" s="1"/>
  <c r="K13" i="196"/>
  <c r="BE13" i="206" s="1"/>
  <c r="J13" i="196"/>
  <c r="AV13" i="206" s="1"/>
  <c r="I13" i="196"/>
  <c r="AM13" i="206" s="1"/>
  <c r="H13" i="196"/>
  <c r="AD13" i="206" s="1"/>
  <c r="F13" i="196"/>
  <c r="E13" i="196"/>
  <c r="L10" i="196"/>
  <c r="BN10" i="206" s="1"/>
  <c r="K10" i="196"/>
  <c r="BE10" i="206" s="1"/>
  <c r="J10" i="196"/>
  <c r="AV10" i="206" s="1"/>
  <c r="I10" i="196"/>
  <c r="AM10" i="206" s="1"/>
  <c r="H10" i="196"/>
  <c r="AD10" i="206" s="1"/>
  <c r="F10" i="196"/>
  <c r="E10" i="196"/>
  <c r="L3" i="196"/>
  <c r="K3" i="196"/>
  <c r="J3" i="196"/>
  <c r="I3" i="196"/>
  <c r="H3" i="196"/>
  <c r="J48" i="194"/>
  <c r="K48" i="194" s="1"/>
  <c r="I48" i="194"/>
  <c r="I47" i="194"/>
  <c r="I60" i="195" s="1"/>
  <c r="I46" i="194"/>
  <c r="I59" i="195" s="1"/>
  <c r="I45" i="194"/>
  <c r="I58" i="195" s="1"/>
  <c r="I43" i="194"/>
  <c r="J43" i="194" s="1"/>
  <c r="K43" i="194" s="1"/>
  <c r="L43" i="194" s="1"/>
  <c r="L57" i="195"/>
  <c r="L54" i="195"/>
  <c r="L53" i="195"/>
  <c r="L52" i="195"/>
  <c r="K57" i="195"/>
  <c r="K54" i="195"/>
  <c r="K53" i="195"/>
  <c r="K52" i="195"/>
  <c r="J57" i="195"/>
  <c r="J54" i="195"/>
  <c r="J53" i="195"/>
  <c r="J52" i="195"/>
  <c r="I61" i="195"/>
  <c r="I57" i="195"/>
  <c r="I56" i="195"/>
  <c r="I54" i="195"/>
  <c r="I53" i="195"/>
  <c r="I52" i="195"/>
  <c r="I42" i="194"/>
  <c r="J55" i="195" s="1"/>
  <c r="L205" i="193"/>
  <c r="BP50" i="203" s="1"/>
  <c r="K205" i="193"/>
  <c r="BG50" i="203" s="1"/>
  <c r="J205" i="193"/>
  <c r="AX50" i="203" s="1"/>
  <c r="I205" i="193"/>
  <c r="AO50" i="203" s="1"/>
  <c r="I10" i="194"/>
  <c r="L39" i="195"/>
  <c r="BK39" i="206" s="1"/>
  <c r="K39" i="195"/>
  <c r="BB39" i="206" s="1"/>
  <c r="J39" i="195"/>
  <c r="AS39" i="206" s="1"/>
  <c r="I39" i="195"/>
  <c r="AJ39" i="206" s="1"/>
  <c r="L26" i="195"/>
  <c r="BK26" i="206" s="1"/>
  <c r="L24" i="195"/>
  <c r="BK24" i="206" s="1"/>
  <c r="L17" i="195"/>
  <c r="BK17" i="206" s="1"/>
  <c r="K26" i="195"/>
  <c r="BB26" i="206" s="1"/>
  <c r="K24" i="195"/>
  <c r="BB24" i="206" s="1"/>
  <c r="K17" i="195"/>
  <c r="BB17" i="206" s="1"/>
  <c r="J26" i="195"/>
  <c r="AS26" i="206" s="1"/>
  <c r="J24" i="195"/>
  <c r="AS24" i="206" s="1"/>
  <c r="J17" i="195"/>
  <c r="AS17" i="206" s="1"/>
  <c r="I26" i="195"/>
  <c r="AJ26" i="206" s="1"/>
  <c r="I24" i="195"/>
  <c r="AJ24" i="206" s="1"/>
  <c r="I22" i="195"/>
  <c r="AJ22" i="206" s="1"/>
  <c r="I17" i="195"/>
  <c r="AJ17" i="206" s="1"/>
  <c r="I16" i="195"/>
  <c r="AJ16" i="206" s="1"/>
  <c r="L13" i="195"/>
  <c r="BK13" i="206" s="1"/>
  <c r="K13" i="195"/>
  <c r="BB13" i="206" s="1"/>
  <c r="J13" i="195"/>
  <c r="AS13" i="206" s="1"/>
  <c r="L9" i="195"/>
  <c r="BK9" i="206" s="1"/>
  <c r="K9" i="195"/>
  <c r="BB9" i="206" s="1"/>
  <c r="J9" i="195"/>
  <c r="AS9" i="206" s="1"/>
  <c r="I13" i="195"/>
  <c r="AJ13" i="206" s="1"/>
  <c r="I9" i="195"/>
  <c r="AJ9" i="206" s="1"/>
  <c r="I35" i="195"/>
  <c r="C82" i="195"/>
  <c r="D81" i="195"/>
  <c r="L72" i="195"/>
  <c r="K72" i="195"/>
  <c r="J72" i="195"/>
  <c r="L68" i="195"/>
  <c r="K68" i="195"/>
  <c r="G68" i="195"/>
  <c r="AB42" i="206" s="1"/>
  <c r="AE42" i="206" s="1"/>
  <c r="F68" i="195"/>
  <c r="E68" i="195"/>
  <c r="D68" i="195"/>
  <c r="G66" i="195"/>
  <c r="G64" i="195" s="1"/>
  <c r="AB41" i="206" s="1"/>
  <c r="F66" i="195"/>
  <c r="E66" i="195"/>
  <c r="D66" i="195"/>
  <c r="B66" i="195"/>
  <c r="G65" i="195"/>
  <c r="F65" i="195"/>
  <c r="F64" i="195" s="1"/>
  <c r="E65" i="195"/>
  <c r="E64" i="195" s="1"/>
  <c r="D65" i="195"/>
  <c r="B65" i="195"/>
  <c r="L64" i="195"/>
  <c r="K64" i="195"/>
  <c r="J64" i="195"/>
  <c r="G62" i="195"/>
  <c r="F62" i="195"/>
  <c r="E62" i="195"/>
  <c r="D62" i="195"/>
  <c r="B62" i="195"/>
  <c r="G61" i="195"/>
  <c r="B61" i="195"/>
  <c r="G60" i="195"/>
  <c r="B60" i="195"/>
  <c r="G59" i="195"/>
  <c r="F59" i="195"/>
  <c r="E59" i="195"/>
  <c r="D59" i="195"/>
  <c r="B59" i="195"/>
  <c r="G58" i="195"/>
  <c r="F58" i="195"/>
  <c r="E58" i="195"/>
  <c r="D58" i="195"/>
  <c r="B58" i="195"/>
  <c r="G57" i="195"/>
  <c r="F57" i="195"/>
  <c r="E57" i="195"/>
  <c r="D57" i="195"/>
  <c r="B57" i="195"/>
  <c r="G56" i="195"/>
  <c r="F56" i="195"/>
  <c r="E56" i="195"/>
  <c r="D56" i="195"/>
  <c r="B56" i="195"/>
  <c r="G55" i="195"/>
  <c r="F55" i="195"/>
  <c r="E55" i="195"/>
  <c r="D55" i="195"/>
  <c r="B55" i="195"/>
  <c r="G54" i="195"/>
  <c r="F54" i="195"/>
  <c r="E54" i="195"/>
  <c r="D54" i="195"/>
  <c r="B54" i="195"/>
  <c r="G53" i="195"/>
  <c r="F53" i="195"/>
  <c r="E53" i="195"/>
  <c r="D53" i="195"/>
  <c r="B53" i="195"/>
  <c r="G52" i="195"/>
  <c r="F52" i="195"/>
  <c r="E52" i="195"/>
  <c r="D52" i="195"/>
  <c r="B52" i="195"/>
  <c r="G49" i="195"/>
  <c r="F49" i="195"/>
  <c r="E49" i="195"/>
  <c r="D49" i="195"/>
  <c r="B49" i="195"/>
  <c r="G48" i="195"/>
  <c r="F48" i="195"/>
  <c r="E48" i="195"/>
  <c r="D48" i="195"/>
  <c r="B48" i="195"/>
  <c r="G47" i="195"/>
  <c r="F47" i="195"/>
  <c r="E47" i="195"/>
  <c r="D47" i="195"/>
  <c r="B47" i="195"/>
  <c r="G46" i="195"/>
  <c r="F46" i="195"/>
  <c r="E46" i="195"/>
  <c r="D46" i="195"/>
  <c r="B46" i="195"/>
  <c r="G45" i="195"/>
  <c r="F45" i="195"/>
  <c r="E45" i="195"/>
  <c r="D45" i="195"/>
  <c r="B45" i="195"/>
  <c r="G44" i="195"/>
  <c r="F44" i="195"/>
  <c r="E44" i="195"/>
  <c r="D44" i="195"/>
  <c r="B44" i="195"/>
  <c r="G43" i="195"/>
  <c r="F43" i="195"/>
  <c r="E43" i="195"/>
  <c r="D43" i="195"/>
  <c r="B43" i="195"/>
  <c r="G42" i="195"/>
  <c r="F42" i="195"/>
  <c r="E42" i="195"/>
  <c r="D42" i="195"/>
  <c r="B42" i="195"/>
  <c r="G41" i="195"/>
  <c r="F41" i="195"/>
  <c r="E41" i="195"/>
  <c r="D41" i="195"/>
  <c r="B41" i="195"/>
  <c r="G40" i="195"/>
  <c r="B40" i="195"/>
  <c r="L35" i="195"/>
  <c r="K35" i="195"/>
  <c r="J35" i="195"/>
  <c r="G33" i="195"/>
  <c r="AB33" i="206" s="1"/>
  <c r="F33" i="195"/>
  <c r="E33" i="195"/>
  <c r="D33" i="195"/>
  <c r="G32" i="195"/>
  <c r="AB32" i="206" s="1"/>
  <c r="F32" i="195"/>
  <c r="E32" i="195"/>
  <c r="D32" i="195"/>
  <c r="G31" i="195"/>
  <c r="F31" i="195"/>
  <c r="E31" i="195"/>
  <c r="D31" i="195"/>
  <c r="G26" i="195"/>
  <c r="AB26" i="206" s="1"/>
  <c r="F26" i="195"/>
  <c r="E26" i="195"/>
  <c r="D26" i="195"/>
  <c r="G25" i="195"/>
  <c r="AB25" i="206" s="1"/>
  <c r="F25" i="195"/>
  <c r="E25" i="195"/>
  <c r="D25" i="195"/>
  <c r="G24" i="195"/>
  <c r="AB24" i="206" s="1"/>
  <c r="F24" i="195"/>
  <c r="E24" i="195"/>
  <c r="D24" i="195"/>
  <c r="G23" i="195"/>
  <c r="AB23" i="206" s="1"/>
  <c r="F23" i="195"/>
  <c r="E23" i="195"/>
  <c r="D23" i="195"/>
  <c r="G22" i="195"/>
  <c r="AB22" i="206" s="1"/>
  <c r="F22" i="195"/>
  <c r="E22" i="195"/>
  <c r="D22" i="195"/>
  <c r="G21" i="195"/>
  <c r="AB21" i="206" s="1"/>
  <c r="F21" i="195"/>
  <c r="E21" i="195"/>
  <c r="D21" i="195"/>
  <c r="G20" i="195"/>
  <c r="AB20" i="206" s="1"/>
  <c r="F20" i="195"/>
  <c r="E20" i="195"/>
  <c r="D20" i="195"/>
  <c r="G19" i="195"/>
  <c r="AB19" i="206" s="1"/>
  <c r="F19" i="195"/>
  <c r="E19" i="195"/>
  <c r="D19" i="195"/>
  <c r="G18" i="195"/>
  <c r="AB18" i="206" s="1"/>
  <c r="F18" i="195"/>
  <c r="E18" i="195"/>
  <c r="D18" i="195"/>
  <c r="G17" i="195"/>
  <c r="F17" i="195"/>
  <c r="E17" i="195"/>
  <c r="D17" i="195"/>
  <c r="G16" i="195"/>
  <c r="AB16" i="206" s="1"/>
  <c r="F16" i="195"/>
  <c r="F15" i="195" s="1"/>
  <c r="E16" i="195"/>
  <c r="D16" i="195"/>
  <c r="D15" i="195" s="1"/>
  <c r="G14" i="195"/>
  <c r="AB14" i="206" s="1"/>
  <c r="AE14" i="206" s="1"/>
  <c r="F14" i="195"/>
  <c r="E14" i="195"/>
  <c r="D14" i="195"/>
  <c r="J58" i="194"/>
  <c r="J22" i="195"/>
  <c r="AS22" i="206" s="1"/>
  <c r="J56" i="194"/>
  <c r="I63" i="194"/>
  <c r="I60" i="194"/>
  <c r="I58" i="194"/>
  <c r="I56" i="194"/>
  <c r="I53" i="194"/>
  <c r="J53" i="194" s="1"/>
  <c r="K53" i="194" s="1"/>
  <c r="L53" i="194" s="1"/>
  <c r="I52" i="194"/>
  <c r="I51" i="194" s="1"/>
  <c r="AO39" i="205" s="1"/>
  <c r="K46" i="194"/>
  <c r="K59" i="195" s="1"/>
  <c r="K42" i="194"/>
  <c r="L42" i="194" s="1"/>
  <c r="L55" i="195" s="1"/>
  <c r="K45" i="194"/>
  <c r="J59" i="195"/>
  <c r="I49" i="194"/>
  <c r="I38" i="194" s="1"/>
  <c r="I224" i="193"/>
  <c r="J224" i="193" s="1"/>
  <c r="I21" i="194"/>
  <c r="AO21" i="205" s="1"/>
  <c r="I19" i="194"/>
  <c r="AO19" i="205" s="1"/>
  <c r="I17" i="194"/>
  <c r="AO17" i="205" s="1"/>
  <c r="I16" i="194"/>
  <c r="AO16" i="205" s="1"/>
  <c r="I11" i="194"/>
  <c r="AO11" i="205" s="1"/>
  <c r="I9" i="194"/>
  <c r="AO9" i="205" s="1"/>
  <c r="I33" i="194"/>
  <c r="G55" i="194"/>
  <c r="F55" i="194"/>
  <c r="E55" i="194"/>
  <c r="D55" i="194"/>
  <c r="C55" i="194"/>
  <c r="G51" i="194"/>
  <c r="F51" i="194"/>
  <c r="E51" i="194"/>
  <c r="D51" i="194"/>
  <c r="C51" i="194"/>
  <c r="G38" i="194"/>
  <c r="F38" i="194"/>
  <c r="E38" i="194"/>
  <c r="E37" i="194" s="1"/>
  <c r="D38" i="194"/>
  <c r="C38" i="194"/>
  <c r="L33" i="194"/>
  <c r="K33" i="194"/>
  <c r="J33" i="194"/>
  <c r="G33" i="194"/>
  <c r="F33" i="194"/>
  <c r="E33" i="194"/>
  <c r="D33" i="194"/>
  <c r="C33" i="194"/>
  <c r="F28" i="194"/>
  <c r="E28" i="194"/>
  <c r="D28" i="194"/>
  <c r="C28" i="194"/>
  <c r="G26" i="194"/>
  <c r="I26" i="194" s="1"/>
  <c r="G17" i="194"/>
  <c r="G13" i="194" s="1"/>
  <c r="F17" i="194"/>
  <c r="F13" i="194" s="1"/>
  <c r="D17" i="194"/>
  <c r="D13" i="194" s="1"/>
  <c r="C17" i="194"/>
  <c r="G16" i="194"/>
  <c r="F16" i="194"/>
  <c r="G14" i="194"/>
  <c r="F14" i="194"/>
  <c r="E14" i="194"/>
  <c r="D14" i="194"/>
  <c r="C14" i="194"/>
  <c r="C13" i="194"/>
  <c r="G10" i="194"/>
  <c r="F10" i="194"/>
  <c r="E10" i="194"/>
  <c r="D10" i="194"/>
  <c r="D8" i="194" s="1"/>
  <c r="C10" i="194"/>
  <c r="G9" i="194"/>
  <c r="C9" i="194"/>
  <c r="C8" i="194" s="1"/>
  <c r="G8" i="194"/>
  <c r="F8" i="194"/>
  <c r="E8" i="194"/>
  <c r="L117" i="193"/>
  <c r="K117" i="193"/>
  <c r="J117" i="193"/>
  <c r="I117" i="193"/>
  <c r="G232" i="193"/>
  <c r="F232" i="193"/>
  <c r="E232" i="193"/>
  <c r="D232" i="193"/>
  <c r="C232" i="193"/>
  <c r="G227" i="193"/>
  <c r="F227" i="193"/>
  <c r="E227" i="193"/>
  <c r="D227" i="193"/>
  <c r="C227" i="193"/>
  <c r="G222" i="193"/>
  <c r="F222" i="193"/>
  <c r="E222" i="193"/>
  <c r="D222" i="193"/>
  <c r="C222" i="193"/>
  <c r="G207" i="193"/>
  <c r="G205" i="193" s="1"/>
  <c r="F207" i="193"/>
  <c r="F205" i="193" s="1"/>
  <c r="E207" i="193"/>
  <c r="E205" i="193" s="1"/>
  <c r="D207" i="193"/>
  <c r="D205" i="193" s="1"/>
  <c r="C207" i="193"/>
  <c r="C205" i="193" s="1"/>
  <c r="G200" i="193"/>
  <c r="F200" i="193"/>
  <c r="E200" i="193"/>
  <c r="D200" i="193"/>
  <c r="C200" i="193"/>
  <c r="G196" i="193"/>
  <c r="F196" i="193"/>
  <c r="E196" i="193"/>
  <c r="D196" i="193"/>
  <c r="C196" i="193"/>
  <c r="G193" i="193"/>
  <c r="F193" i="193"/>
  <c r="E193" i="193"/>
  <c r="D193" i="193"/>
  <c r="C193" i="193"/>
  <c r="G190" i="193"/>
  <c r="F190" i="193"/>
  <c r="E190" i="193"/>
  <c r="D190" i="193"/>
  <c r="C190" i="193"/>
  <c r="G179" i="193"/>
  <c r="F179" i="193"/>
  <c r="E179" i="193"/>
  <c r="D179" i="193"/>
  <c r="C179" i="193"/>
  <c r="G171" i="193"/>
  <c r="F171" i="193"/>
  <c r="E171" i="193"/>
  <c r="D171" i="193"/>
  <c r="C171" i="193"/>
  <c r="G162" i="193"/>
  <c r="F162" i="193"/>
  <c r="E162" i="193"/>
  <c r="D162" i="193"/>
  <c r="C162" i="193"/>
  <c r="G159" i="193"/>
  <c r="F159" i="193"/>
  <c r="E159" i="193"/>
  <c r="D159" i="193"/>
  <c r="C159" i="193"/>
  <c r="G146" i="193"/>
  <c r="F146" i="193"/>
  <c r="E146" i="193"/>
  <c r="D146" i="193"/>
  <c r="C146" i="193"/>
  <c r="G142" i="193"/>
  <c r="F142" i="193"/>
  <c r="E142" i="193"/>
  <c r="D142" i="193"/>
  <c r="C142" i="193"/>
  <c r="G139" i="193"/>
  <c r="F139" i="193"/>
  <c r="E139" i="193"/>
  <c r="D139" i="193"/>
  <c r="C139" i="193"/>
  <c r="G134" i="193"/>
  <c r="F134" i="193"/>
  <c r="E134" i="193"/>
  <c r="D134" i="193"/>
  <c r="C134" i="193"/>
  <c r="G120" i="193"/>
  <c r="F120" i="193"/>
  <c r="E120" i="193"/>
  <c r="D120" i="193"/>
  <c r="C120" i="193"/>
  <c r="G117" i="193"/>
  <c r="F117" i="193"/>
  <c r="E117" i="193"/>
  <c r="D117" i="193"/>
  <c r="C117" i="193"/>
  <c r="G110" i="193"/>
  <c r="F110" i="193"/>
  <c r="E110" i="193"/>
  <c r="D110" i="193"/>
  <c r="C110" i="193"/>
  <c r="G104" i="193"/>
  <c r="F104" i="193"/>
  <c r="E104" i="193"/>
  <c r="D104" i="193"/>
  <c r="C104" i="193"/>
  <c r="G99" i="193"/>
  <c r="F99" i="193"/>
  <c r="E99" i="193"/>
  <c r="D99" i="193"/>
  <c r="C99" i="193"/>
  <c r="G92" i="193"/>
  <c r="F92" i="193"/>
  <c r="E92" i="193"/>
  <c r="D92" i="193"/>
  <c r="C92" i="193"/>
  <c r="G89" i="193"/>
  <c r="F89" i="193"/>
  <c r="E89" i="193"/>
  <c r="D89" i="193"/>
  <c r="C89" i="193"/>
  <c r="G81" i="193"/>
  <c r="F81" i="193"/>
  <c r="E81" i="193"/>
  <c r="D81" i="193"/>
  <c r="C81" i="193"/>
  <c r="G73" i="193"/>
  <c r="F73" i="193"/>
  <c r="E73" i="193"/>
  <c r="D73" i="193"/>
  <c r="C73" i="193"/>
  <c r="G69" i="193"/>
  <c r="G61" i="193"/>
  <c r="F61" i="193"/>
  <c r="E61" i="193"/>
  <c r="D61" i="193"/>
  <c r="C61" i="193"/>
  <c r="G56" i="193"/>
  <c r="F56" i="193"/>
  <c r="E56" i="193"/>
  <c r="D56" i="193"/>
  <c r="C56" i="193"/>
  <c r="G53" i="193"/>
  <c r="F53" i="193"/>
  <c r="E53" i="193"/>
  <c r="D53" i="193"/>
  <c r="C53" i="193"/>
  <c r="L52" i="193"/>
  <c r="L57" i="193" s="1"/>
  <c r="K52" i="193"/>
  <c r="K57" i="193" s="1"/>
  <c r="J52" i="193"/>
  <c r="J57" i="193" s="1"/>
  <c r="J77" i="193" s="1"/>
  <c r="I52" i="193"/>
  <c r="G19" i="193"/>
  <c r="G14" i="193"/>
  <c r="G7" i="193" s="1"/>
  <c r="G52" i="193" s="1"/>
  <c r="F7" i="193"/>
  <c r="F52" i="193" s="1"/>
  <c r="E7" i="193"/>
  <c r="E52" i="193" s="1"/>
  <c r="D7" i="193"/>
  <c r="D52" i="193" s="1"/>
  <c r="C7" i="193"/>
  <c r="C52" i="193" s="1"/>
  <c r="K38" i="192"/>
  <c r="BJ38" i="206" s="1"/>
  <c r="BJ46" i="206" s="1"/>
  <c r="J38" i="192"/>
  <c r="BA38" i="206" s="1"/>
  <c r="BA46" i="206" s="1"/>
  <c r="I38" i="192"/>
  <c r="AR38" i="206" s="1"/>
  <c r="AR46" i="206" s="1"/>
  <c r="H38" i="192"/>
  <c r="H10" i="191"/>
  <c r="K26" i="192"/>
  <c r="BJ26" i="206" s="1"/>
  <c r="K25" i="192"/>
  <c r="BJ25" i="206" s="1"/>
  <c r="K24" i="192"/>
  <c r="BJ24" i="206" s="1"/>
  <c r="K21" i="192"/>
  <c r="BJ21" i="206" s="1"/>
  <c r="K17" i="192"/>
  <c r="BJ17" i="206" s="1"/>
  <c r="J26" i="192"/>
  <c r="BA26" i="206" s="1"/>
  <c r="J25" i="192"/>
  <c r="BA25" i="206" s="1"/>
  <c r="J24" i="192"/>
  <c r="BA24" i="206" s="1"/>
  <c r="J21" i="192"/>
  <c r="BA21" i="206" s="1"/>
  <c r="J17" i="192"/>
  <c r="BA17" i="206" s="1"/>
  <c r="I26" i="192"/>
  <c r="AR26" i="206" s="1"/>
  <c r="I25" i="192"/>
  <c r="AR25" i="206" s="1"/>
  <c r="I24" i="192"/>
  <c r="AR24" i="206" s="1"/>
  <c r="I23" i="192"/>
  <c r="AR23" i="206" s="1"/>
  <c r="I22" i="192"/>
  <c r="AR22" i="206" s="1"/>
  <c r="I21" i="192"/>
  <c r="AR21" i="206" s="1"/>
  <c r="I18" i="192"/>
  <c r="AR18" i="206" s="1"/>
  <c r="I17" i="192"/>
  <c r="AR17" i="206" s="1"/>
  <c r="H26" i="192"/>
  <c r="AI26" i="206" s="1"/>
  <c r="H25" i="192"/>
  <c r="AI25" i="206" s="1"/>
  <c r="H24" i="192"/>
  <c r="AI24" i="206" s="1"/>
  <c r="H21" i="192"/>
  <c r="AI21" i="206" s="1"/>
  <c r="H20" i="192"/>
  <c r="AI20" i="206" s="1"/>
  <c r="H18" i="192"/>
  <c r="AI18" i="206" s="1"/>
  <c r="H17" i="192"/>
  <c r="AI17" i="206" s="1"/>
  <c r="H16" i="192"/>
  <c r="AI16" i="206" s="1"/>
  <c r="K13" i="192"/>
  <c r="BJ13" i="206" s="1"/>
  <c r="K10" i="192"/>
  <c r="BJ10" i="206" s="1"/>
  <c r="K9" i="192"/>
  <c r="BJ9" i="206" s="1"/>
  <c r="J13" i="192"/>
  <c r="BA13" i="206" s="1"/>
  <c r="J10" i="192"/>
  <c r="BA10" i="206" s="1"/>
  <c r="J9" i="192"/>
  <c r="BA9" i="206" s="1"/>
  <c r="I13" i="192"/>
  <c r="AR13" i="206" s="1"/>
  <c r="I10" i="192"/>
  <c r="AR10" i="206" s="1"/>
  <c r="I9" i="192"/>
  <c r="AR9" i="206" s="1"/>
  <c r="H13" i="192"/>
  <c r="AI13" i="206" s="1"/>
  <c r="H10" i="192"/>
  <c r="AI10" i="206" s="1"/>
  <c r="H9" i="192"/>
  <c r="AI9" i="206" s="1"/>
  <c r="H35" i="192"/>
  <c r="C69" i="192"/>
  <c r="D68" i="192" s="1"/>
  <c r="F53" i="192"/>
  <c r="F52" i="192" s="1"/>
  <c r="E53" i="192"/>
  <c r="E52" i="192" s="1"/>
  <c r="D53" i="192"/>
  <c r="B53" i="192"/>
  <c r="K52" i="192"/>
  <c r="J52" i="192"/>
  <c r="I52" i="192"/>
  <c r="D52" i="192"/>
  <c r="F50" i="192"/>
  <c r="E50" i="192"/>
  <c r="D50" i="192"/>
  <c r="B50" i="192"/>
  <c r="F49" i="192"/>
  <c r="F48" i="192" s="1"/>
  <c r="E49" i="192"/>
  <c r="E48" i="192" s="1"/>
  <c r="D49" i="192"/>
  <c r="B49" i="192"/>
  <c r="K48" i="192"/>
  <c r="J48" i="192"/>
  <c r="I48" i="192"/>
  <c r="F46" i="192"/>
  <c r="E46" i="192"/>
  <c r="D46" i="192"/>
  <c r="B46" i="192"/>
  <c r="F45" i="192"/>
  <c r="E45" i="192"/>
  <c r="D45" i="192"/>
  <c r="B45" i="192"/>
  <c r="F44" i="192"/>
  <c r="E44" i="192"/>
  <c r="D44" i="192"/>
  <c r="B44" i="192"/>
  <c r="K43" i="192"/>
  <c r="J43" i="192"/>
  <c r="I43" i="192"/>
  <c r="F41" i="192"/>
  <c r="E41" i="192"/>
  <c r="D41" i="192"/>
  <c r="B41" i="192"/>
  <c r="F40" i="192"/>
  <c r="E40" i="192"/>
  <c r="D40" i="192"/>
  <c r="B40" i="192"/>
  <c r="F39" i="192"/>
  <c r="E39" i="192"/>
  <c r="D39" i="192"/>
  <c r="B39" i="192"/>
  <c r="K35" i="192"/>
  <c r="J35" i="192"/>
  <c r="I35" i="192"/>
  <c r="C35" i="192"/>
  <c r="F33" i="192"/>
  <c r="AA33" i="206" s="1"/>
  <c r="E33" i="192"/>
  <c r="D33" i="192"/>
  <c r="F32" i="192"/>
  <c r="AA32" i="206" s="1"/>
  <c r="E32" i="192"/>
  <c r="D32" i="192"/>
  <c r="F31" i="192"/>
  <c r="E31" i="192"/>
  <c r="D31" i="192"/>
  <c r="F26" i="192"/>
  <c r="AA26" i="206" s="1"/>
  <c r="E26" i="192"/>
  <c r="D26" i="192"/>
  <c r="F25" i="192"/>
  <c r="AA25" i="206" s="1"/>
  <c r="E25" i="192"/>
  <c r="D25" i="192"/>
  <c r="F24" i="192"/>
  <c r="AA24" i="206" s="1"/>
  <c r="E24" i="192"/>
  <c r="D24" i="192"/>
  <c r="F23" i="192"/>
  <c r="AA23" i="206" s="1"/>
  <c r="E23" i="192"/>
  <c r="D23" i="192"/>
  <c r="F22" i="192"/>
  <c r="AA22" i="206" s="1"/>
  <c r="E22" i="192"/>
  <c r="D22" i="192"/>
  <c r="F21" i="192"/>
  <c r="AA21" i="206" s="1"/>
  <c r="E21" i="192"/>
  <c r="D21" i="192"/>
  <c r="F20" i="192"/>
  <c r="AA20" i="206" s="1"/>
  <c r="E20" i="192"/>
  <c r="D20" i="192"/>
  <c r="F19" i="192"/>
  <c r="AA19" i="206" s="1"/>
  <c r="E19" i="192"/>
  <c r="D19" i="192"/>
  <c r="F18" i="192"/>
  <c r="AA18" i="206" s="1"/>
  <c r="E18" i="192"/>
  <c r="D18" i="192"/>
  <c r="F17" i="192"/>
  <c r="AA17" i="206" s="1"/>
  <c r="E17" i="192"/>
  <c r="D17" i="192"/>
  <c r="F16" i="192"/>
  <c r="AA16" i="206" s="1"/>
  <c r="E16" i="192"/>
  <c r="D16" i="192"/>
  <c r="C15" i="192"/>
  <c r="C12" i="192"/>
  <c r="I48" i="191"/>
  <c r="AW44" i="205" s="1"/>
  <c r="AW41" i="205" s="1"/>
  <c r="H48" i="191"/>
  <c r="AN44" i="205" s="1"/>
  <c r="H47" i="191"/>
  <c r="AN43" i="205" s="1"/>
  <c r="AN41" i="205" s="1"/>
  <c r="H38" i="191"/>
  <c r="AN38" i="205" s="1"/>
  <c r="J16" i="191"/>
  <c r="BF16" i="205" s="1"/>
  <c r="I21" i="191"/>
  <c r="AW21" i="205" s="1"/>
  <c r="I16" i="192"/>
  <c r="AR16" i="206" s="1"/>
  <c r="H21" i="191"/>
  <c r="AN21" i="205" s="1"/>
  <c r="H19" i="191"/>
  <c r="AN19" i="205" s="1"/>
  <c r="H17" i="191"/>
  <c r="AN17" i="205" s="1"/>
  <c r="H11" i="191"/>
  <c r="AN11" i="205" s="1"/>
  <c r="H9" i="191"/>
  <c r="AN9" i="205" s="1"/>
  <c r="H45" i="191"/>
  <c r="F47" i="191"/>
  <c r="E47" i="191"/>
  <c r="E45" i="191" s="1"/>
  <c r="D47" i="191"/>
  <c r="C47" i="191"/>
  <c r="C45" i="191" s="1"/>
  <c r="F45" i="191"/>
  <c r="D45" i="191"/>
  <c r="F42" i="191"/>
  <c r="H42" i="191" s="1"/>
  <c r="E42" i="191"/>
  <c r="D42" i="191"/>
  <c r="C42" i="191"/>
  <c r="C37" i="191" s="1"/>
  <c r="F38" i="191"/>
  <c r="E38" i="191"/>
  <c r="E37" i="191" s="1"/>
  <c r="D38" i="191"/>
  <c r="D37" i="191" s="1"/>
  <c r="C38" i="191"/>
  <c r="K33" i="191"/>
  <c r="J33" i="191"/>
  <c r="I33" i="191"/>
  <c r="F33" i="191"/>
  <c r="E33" i="191"/>
  <c r="D33" i="191"/>
  <c r="C33" i="191"/>
  <c r="E28" i="191"/>
  <c r="C28" i="191"/>
  <c r="F26" i="191"/>
  <c r="H26" i="191" s="1"/>
  <c r="F17" i="191"/>
  <c r="E17" i="191"/>
  <c r="D17" i="191"/>
  <c r="C17" i="191"/>
  <c r="D16" i="191"/>
  <c r="D13" i="191" s="1"/>
  <c r="C16" i="191"/>
  <c r="C13" i="191" s="1"/>
  <c r="F14" i="191"/>
  <c r="F13" i="191" s="1"/>
  <c r="E14" i="191"/>
  <c r="D14" i="191"/>
  <c r="C14" i="191"/>
  <c r="E13" i="191"/>
  <c r="F11" i="191"/>
  <c r="E11" i="191"/>
  <c r="D11" i="191"/>
  <c r="C11" i="191"/>
  <c r="F10" i="191"/>
  <c r="E10" i="191"/>
  <c r="E8" i="191" s="1"/>
  <c r="E23" i="191" s="1"/>
  <c r="E65" i="191" s="1"/>
  <c r="D10" i="191"/>
  <c r="C10" i="191"/>
  <c r="E9" i="191"/>
  <c r="D9" i="191"/>
  <c r="D8" i="191" s="1"/>
  <c r="D23" i="191" s="1"/>
  <c r="D65" i="191" s="1"/>
  <c r="C9" i="191"/>
  <c r="C8" i="191" s="1"/>
  <c r="F8" i="191"/>
  <c r="I143" i="190"/>
  <c r="J143" i="190" s="1"/>
  <c r="K143" i="190" s="1"/>
  <c r="BO40" i="203" s="1"/>
  <c r="I59" i="190"/>
  <c r="J59" i="190" s="1"/>
  <c r="K59" i="190" s="1"/>
  <c r="H64" i="190"/>
  <c r="I64" i="190" s="1"/>
  <c r="J64" i="190" s="1"/>
  <c r="K64" i="190" s="1"/>
  <c r="H63" i="190"/>
  <c r="I63" i="190" s="1"/>
  <c r="J63" i="190" s="1"/>
  <c r="K63" i="190" s="1"/>
  <c r="H62" i="190"/>
  <c r="I62" i="190" s="1"/>
  <c r="J62" i="190" s="1"/>
  <c r="K62" i="190" s="1"/>
  <c r="H61" i="190"/>
  <c r="I61" i="190" s="1"/>
  <c r="H59" i="190"/>
  <c r="K131" i="190"/>
  <c r="J131" i="190"/>
  <c r="I131" i="190"/>
  <c r="H131" i="190"/>
  <c r="AN38" i="203" s="1"/>
  <c r="F214" i="190"/>
  <c r="E214" i="190"/>
  <c r="D214" i="190"/>
  <c r="C214" i="190"/>
  <c r="F211" i="190"/>
  <c r="E211" i="190"/>
  <c r="D211" i="190"/>
  <c r="C211" i="190"/>
  <c r="F208" i="190"/>
  <c r="E208" i="190"/>
  <c r="D208" i="190"/>
  <c r="C208" i="190"/>
  <c r="K207" i="190"/>
  <c r="J207" i="190"/>
  <c r="I207" i="190"/>
  <c r="H207" i="190"/>
  <c r="F200" i="190"/>
  <c r="E200" i="190"/>
  <c r="D200" i="190"/>
  <c r="C200" i="190"/>
  <c r="F195" i="190"/>
  <c r="E195" i="190"/>
  <c r="D195" i="190"/>
  <c r="C195" i="190"/>
  <c r="F188" i="190"/>
  <c r="E188" i="190"/>
  <c r="D188" i="190"/>
  <c r="C188" i="190"/>
  <c r="F183" i="190"/>
  <c r="E183" i="190"/>
  <c r="D183" i="190"/>
  <c r="C183" i="190"/>
  <c r="F180" i="190"/>
  <c r="E180" i="190"/>
  <c r="D180" i="190"/>
  <c r="C180" i="190"/>
  <c r="F172" i="190"/>
  <c r="E172" i="190"/>
  <c r="D172" i="190"/>
  <c r="C172" i="190"/>
  <c r="F160" i="190"/>
  <c r="E160" i="190"/>
  <c r="D160" i="190"/>
  <c r="C160" i="190"/>
  <c r="F145" i="190"/>
  <c r="E145" i="190"/>
  <c r="D145" i="190"/>
  <c r="C145" i="190"/>
  <c r="F134" i="190"/>
  <c r="E134" i="190"/>
  <c r="D134" i="190"/>
  <c r="C134" i="190"/>
  <c r="F131" i="190"/>
  <c r="E131" i="190"/>
  <c r="D131" i="190"/>
  <c r="C131" i="190"/>
  <c r="F119" i="190"/>
  <c r="E119" i="190"/>
  <c r="D119" i="190"/>
  <c r="C119" i="190"/>
  <c r="F109" i="190"/>
  <c r="E109" i="190"/>
  <c r="D109" i="190"/>
  <c r="C109" i="190"/>
  <c r="F105" i="190"/>
  <c r="E105" i="190"/>
  <c r="D105" i="190"/>
  <c r="C105" i="190"/>
  <c r="F100" i="190"/>
  <c r="E100" i="190"/>
  <c r="D100" i="190"/>
  <c r="C100" i="190"/>
  <c r="F86" i="190"/>
  <c r="E86" i="190"/>
  <c r="D86" i="190"/>
  <c r="C86" i="190"/>
  <c r="F76" i="190"/>
  <c r="E76" i="190"/>
  <c r="D76" i="190"/>
  <c r="C76" i="190"/>
  <c r="F67" i="190"/>
  <c r="E67" i="190"/>
  <c r="D67" i="190"/>
  <c r="C67" i="190"/>
  <c r="F58" i="190"/>
  <c r="E58" i="190"/>
  <c r="D58" i="190"/>
  <c r="C58" i="190"/>
  <c r="F54" i="190"/>
  <c r="E54" i="190"/>
  <c r="D54" i="190"/>
  <c r="C54" i="190"/>
  <c r="F49" i="190"/>
  <c r="E49" i="190"/>
  <c r="D49" i="190"/>
  <c r="C49" i="190"/>
  <c r="F39" i="190"/>
  <c r="E39" i="190"/>
  <c r="D39" i="190"/>
  <c r="C39" i="190"/>
  <c r="F32" i="190"/>
  <c r="E32" i="190"/>
  <c r="D32" i="190"/>
  <c r="C32" i="190"/>
  <c r="F24" i="190"/>
  <c r="E24" i="190"/>
  <c r="D24" i="190"/>
  <c r="C24" i="190"/>
  <c r="F16" i="190"/>
  <c r="E16" i="190"/>
  <c r="D16" i="190"/>
  <c r="C16" i="190"/>
  <c r="K15" i="190"/>
  <c r="J15" i="190"/>
  <c r="I15" i="190"/>
  <c r="I62" i="191" s="1"/>
  <c r="H15" i="190"/>
  <c r="F7" i="190"/>
  <c r="F15" i="190" s="1"/>
  <c r="E7" i="190"/>
  <c r="E15" i="190" s="1"/>
  <c r="E20" i="190" s="1"/>
  <c r="D7" i="190"/>
  <c r="D15" i="190" s="1"/>
  <c r="C7" i="190"/>
  <c r="C15" i="190" s="1"/>
  <c r="K53" i="189"/>
  <c r="J53" i="189"/>
  <c r="J52" i="189"/>
  <c r="I53" i="189"/>
  <c r="I52" i="189"/>
  <c r="L43" i="189"/>
  <c r="BI39" i="206" s="1"/>
  <c r="K43" i="189"/>
  <c r="AZ39" i="206" s="1"/>
  <c r="J43" i="189"/>
  <c r="AQ39" i="206" s="1"/>
  <c r="I43" i="189"/>
  <c r="AH39" i="206" s="1"/>
  <c r="L38" i="189"/>
  <c r="BI38" i="206" s="1"/>
  <c r="K38" i="189"/>
  <c r="AZ38" i="206" s="1"/>
  <c r="J38" i="189"/>
  <c r="AQ38" i="206" s="1"/>
  <c r="I38" i="189"/>
  <c r="AH38" i="206" s="1"/>
  <c r="L60" i="189"/>
  <c r="K60" i="189"/>
  <c r="J60" i="189"/>
  <c r="I60" i="189"/>
  <c r="L56" i="189"/>
  <c r="K56" i="189"/>
  <c r="J56" i="189"/>
  <c r="I56" i="189"/>
  <c r="I10" i="188"/>
  <c r="I35" i="189"/>
  <c r="L26" i="189"/>
  <c r="BI26" i="206" s="1"/>
  <c r="L24" i="189"/>
  <c r="BI24" i="206" s="1"/>
  <c r="L17" i="189"/>
  <c r="BI17" i="206" s="1"/>
  <c r="K26" i="189"/>
  <c r="AZ26" i="206" s="1"/>
  <c r="K24" i="189"/>
  <c r="AZ24" i="206" s="1"/>
  <c r="K17" i="189"/>
  <c r="AZ17" i="206" s="1"/>
  <c r="J26" i="189"/>
  <c r="AQ26" i="206" s="1"/>
  <c r="J24" i="189"/>
  <c r="AQ24" i="206" s="1"/>
  <c r="J17" i="189"/>
  <c r="AQ17" i="206" s="1"/>
  <c r="J16" i="189"/>
  <c r="AQ16" i="206" s="1"/>
  <c r="I26" i="189"/>
  <c r="AH26" i="206" s="1"/>
  <c r="I24" i="189"/>
  <c r="AH24" i="206" s="1"/>
  <c r="I22" i="189"/>
  <c r="AH22" i="206" s="1"/>
  <c r="I18" i="189"/>
  <c r="AH18" i="206" s="1"/>
  <c r="I17" i="189"/>
  <c r="AH17" i="206" s="1"/>
  <c r="I16" i="189"/>
  <c r="AH16" i="206" s="1"/>
  <c r="C74" i="189"/>
  <c r="G73" i="189"/>
  <c r="F73" i="189"/>
  <c r="E73" i="189"/>
  <c r="D73" i="189"/>
  <c r="G60" i="189"/>
  <c r="F60" i="189"/>
  <c r="E60" i="189"/>
  <c r="D60" i="189"/>
  <c r="G58" i="189"/>
  <c r="G56" i="189" s="1"/>
  <c r="Z41" i="206" s="1"/>
  <c r="F58" i="189"/>
  <c r="E58" i="189"/>
  <c r="D58" i="189"/>
  <c r="B58" i="189"/>
  <c r="G57" i="189"/>
  <c r="F57" i="189"/>
  <c r="F56" i="189" s="1"/>
  <c r="E57" i="189"/>
  <c r="D57" i="189"/>
  <c r="D56" i="189" s="1"/>
  <c r="B57" i="189"/>
  <c r="G54" i="189"/>
  <c r="F54" i="189"/>
  <c r="E54" i="189"/>
  <c r="D54" i="189"/>
  <c r="B54" i="189"/>
  <c r="G53" i="189"/>
  <c r="F53" i="189"/>
  <c r="E53" i="189"/>
  <c r="D53" i="189"/>
  <c r="B53" i="189"/>
  <c r="G52" i="189"/>
  <c r="F52" i="189"/>
  <c r="E52" i="189"/>
  <c r="D52" i="189"/>
  <c r="B52" i="189"/>
  <c r="G49" i="189"/>
  <c r="F49" i="189"/>
  <c r="E49" i="189"/>
  <c r="D49" i="189"/>
  <c r="B49" i="189"/>
  <c r="G48" i="189"/>
  <c r="F48" i="189"/>
  <c r="E48" i="189"/>
  <c r="D48" i="189"/>
  <c r="B48" i="189"/>
  <c r="G47" i="189"/>
  <c r="F47" i="189"/>
  <c r="E47" i="189"/>
  <c r="D47" i="189"/>
  <c r="B47" i="189"/>
  <c r="G46" i="189"/>
  <c r="F46" i="189"/>
  <c r="E46" i="189"/>
  <c r="D46" i="189"/>
  <c r="B46" i="189"/>
  <c r="G45" i="189"/>
  <c r="F45" i="189"/>
  <c r="E45" i="189"/>
  <c r="D45" i="189"/>
  <c r="B45" i="189"/>
  <c r="G44" i="189"/>
  <c r="F44" i="189"/>
  <c r="E44" i="189"/>
  <c r="D44" i="189"/>
  <c r="B44" i="189"/>
  <c r="G41" i="189"/>
  <c r="F41" i="189"/>
  <c r="E41" i="189"/>
  <c r="D41" i="189"/>
  <c r="B41" i="189"/>
  <c r="G40" i="189"/>
  <c r="F40" i="189"/>
  <c r="E40" i="189"/>
  <c r="D40" i="189"/>
  <c r="B40" i="189"/>
  <c r="G39" i="189"/>
  <c r="F39" i="189"/>
  <c r="E39" i="189"/>
  <c r="D39" i="189"/>
  <c r="B39" i="189"/>
  <c r="L35" i="189"/>
  <c r="K35" i="189"/>
  <c r="J35" i="189"/>
  <c r="G33" i="189"/>
  <c r="Z33" i="206" s="1"/>
  <c r="F33" i="189"/>
  <c r="E33" i="189"/>
  <c r="D33" i="189"/>
  <c r="G32" i="189"/>
  <c r="F32" i="189"/>
  <c r="E32" i="189"/>
  <c r="D32" i="189"/>
  <c r="G31" i="189"/>
  <c r="Z31" i="206" s="1"/>
  <c r="F31" i="189"/>
  <c r="E31" i="189"/>
  <c r="D31" i="189"/>
  <c r="G26" i="189"/>
  <c r="Z26" i="206" s="1"/>
  <c r="F26" i="189"/>
  <c r="E26" i="189"/>
  <c r="D26" i="189"/>
  <c r="G25" i="189"/>
  <c r="Z25" i="206" s="1"/>
  <c r="F25" i="189"/>
  <c r="E25" i="189"/>
  <c r="D25" i="189"/>
  <c r="G24" i="189"/>
  <c r="Z24" i="206" s="1"/>
  <c r="F24" i="189"/>
  <c r="E24" i="189"/>
  <c r="D24" i="189"/>
  <c r="G23" i="189"/>
  <c r="Z23" i="206" s="1"/>
  <c r="F23" i="189"/>
  <c r="E23" i="189"/>
  <c r="D23" i="189"/>
  <c r="G22" i="189"/>
  <c r="Z22" i="206" s="1"/>
  <c r="F22" i="189"/>
  <c r="E22" i="189"/>
  <c r="D22" i="189"/>
  <c r="G21" i="189"/>
  <c r="Z21" i="206" s="1"/>
  <c r="F21" i="189"/>
  <c r="E21" i="189"/>
  <c r="D21" i="189"/>
  <c r="G20" i="189"/>
  <c r="Z20" i="206" s="1"/>
  <c r="F20" i="189"/>
  <c r="E20" i="189"/>
  <c r="D20" i="189"/>
  <c r="G19" i="189"/>
  <c r="Z19" i="206" s="1"/>
  <c r="F19" i="189"/>
  <c r="E19" i="189"/>
  <c r="D19" i="189"/>
  <c r="G18" i="189"/>
  <c r="Z18" i="206" s="1"/>
  <c r="F18" i="189"/>
  <c r="E18" i="189"/>
  <c r="D18" i="189"/>
  <c r="G17" i="189"/>
  <c r="Z17" i="206" s="1"/>
  <c r="F17" i="189"/>
  <c r="E17" i="189"/>
  <c r="D17" i="189"/>
  <c r="G16" i="189"/>
  <c r="F16" i="189"/>
  <c r="E16" i="189"/>
  <c r="D16" i="189"/>
  <c r="J48" i="188"/>
  <c r="I55" i="188"/>
  <c r="AM49" i="205" s="1"/>
  <c r="I52" i="188"/>
  <c r="AM46" i="205" s="1"/>
  <c r="I50" i="188"/>
  <c r="AM44" i="205" s="1"/>
  <c r="I48" i="188"/>
  <c r="K39" i="188"/>
  <c r="L39" i="188" s="1"/>
  <c r="L52" i="189" s="1"/>
  <c r="L53" i="189"/>
  <c r="L43" i="188"/>
  <c r="BN39" i="205" s="1"/>
  <c r="K43" i="188"/>
  <c r="BE39" i="205" s="1"/>
  <c r="J43" i="188"/>
  <c r="AV39" i="205" s="1"/>
  <c r="I43" i="188"/>
  <c r="AM39" i="205" s="1"/>
  <c r="I41" i="188"/>
  <c r="J41" i="188" s="1"/>
  <c r="J54" i="189" s="1"/>
  <c r="J18" i="189"/>
  <c r="AQ18" i="206" s="1"/>
  <c r="I21" i="188"/>
  <c r="I19" i="188"/>
  <c r="I17" i="188"/>
  <c r="I11" i="188"/>
  <c r="AM11" i="205" s="1"/>
  <c r="AT11" i="205" s="1"/>
  <c r="L229" i="187"/>
  <c r="BN46" i="203" s="1"/>
  <c r="K229" i="187"/>
  <c r="K13" i="189" s="1"/>
  <c r="AZ13" i="206" s="1"/>
  <c r="J229" i="187"/>
  <c r="J13" i="189" s="1"/>
  <c r="AQ13" i="206" s="1"/>
  <c r="I229" i="187"/>
  <c r="I13" i="189" s="1"/>
  <c r="AH13" i="206" s="1"/>
  <c r="F50" i="188"/>
  <c r="G49" i="188"/>
  <c r="F49" i="188"/>
  <c r="E49" i="188"/>
  <c r="E47" i="188" s="1"/>
  <c r="D49" i="188"/>
  <c r="C49" i="188"/>
  <c r="G47" i="188"/>
  <c r="F47" i="188"/>
  <c r="D47" i="188"/>
  <c r="C47" i="188"/>
  <c r="G43" i="188"/>
  <c r="F43" i="188"/>
  <c r="E43" i="188"/>
  <c r="D43" i="188"/>
  <c r="D37" i="188" s="1"/>
  <c r="C43" i="188"/>
  <c r="G38" i="188"/>
  <c r="G37" i="188" s="1"/>
  <c r="F38" i="188"/>
  <c r="E38" i="188"/>
  <c r="D38" i="188"/>
  <c r="C38" i="188"/>
  <c r="L33" i="188"/>
  <c r="K33" i="188"/>
  <c r="J33" i="188"/>
  <c r="G33" i="188"/>
  <c r="F33" i="188"/>
  <c r="E33" i="188"/>
  <c r="D33" i="188"/>
  <c r="C33" i="188"/>
  <c r="F28" i="188"/>
  <c r="E28" i="188"/>
  <c r="C28" i="188"/>
  <c r="D26" i="188"/>
  <c r="E26" i="188" s="1"/>
  <c r="G17" i="188"/>
  <c r="G13" i="188" s="1"/>
  <c r="F17" i="188"/>
  <c r="E17" i="188"/>
  <c r="E13" i="188" s="1"/>
  <c r="D17" i="188"/>
  <c r="C17" i="188"/>
  <c r="D16" i="188"/>
  <c r="C16" i="188"/>
  <c r="C14" i="188"/>
  <c r="C13" i="188" s="1"/>
  <c r="F13" i="188"/>
  <c r="D13" i="188"/>
  <c r="G11" i="188"/>
  <c r="G8" i="188" s="1"/>
  <c r="F11" i="188"/>
  <c r="E11" i="188"/>
  <c r="G10" i="188"/>
  <c r="F10" i="188"/>
  <c r="G9" i="188"/>
  <c r="F9" i="188"/>
  <c r="F8" i="188" s="1"/>
  <c r="E9" i="188"/>
  <c r="E8" i="188" s="1"/>
  <c r="D9" i="188"/>
  <c r="D8" i="188" s="1"/>
  <c r="C9" i="188"/>
  <c r="C8" i="188"/>
  <c r="K239" i="187"/>
  <c r="BE50" i="203" s="1"/>
  <c r="I239" i="187"/>
  <c r="AM50" i="203" s="1"/>
  <c r="K69" i="187"/>
  <c r="L69" i="187"/>
  <c r="J69" i="187"/>
  <c r="G265" i="187"/>
  <c r="F265" i="187"/>
  <c r="E265" i="187"/>
  <c r="D265" i="187"/>
  <c r="C265" i="187"/>
  <c r="L260" i="187"/>
  <c r="K260" i="187"/>
  <c r="K9" i="189" s="1"/>
  <c r="AZ9" i="206" s="1"/>
  <c r="J260" i="187"/>
  <c r="J9" i="189" s="1"/>
  <c r="AQ9" i="206" s="1"/>
  <c r="I260" i="187"/>
  <c r="I9" i="189" s="1"/>
  <c r="AH9" i="206" s="1"/>
  <c r="G260" i="187"/>
  <c r="F260" i="187"/>
  <c r="E260" i="187"/>
  <c r="D260" i="187"/>
  <c r="C260" i="187"/>
  <c r="L256" i="187"/>
  <c r="L10" i="189" s="1"/>
  <c r="BI10" i="206" s="1"/>
  <c r="K256" i="187"/>
  <c r="K10" i="189" s="1"/>
  <c r="AZ10" i="206" s="1"/>
  <c r="J256" i="187"/>
  <c r="J10" i="189" s="1"/>
  <c r="AQ10" i="206" s="1"/>
  <c r="I256" i="187"/>
  <c r="I10" i="189" s="1"/>
  <c r="AH10" i="206" s="1"/>
  <c r="G256" i="187"/>
  <c r="F256" i="187"/>
  <c r="E256" i="187"/>
  <c r="D256" i="187"/>
  <c r="C256" i="187"/>
  <c r="G245" i="187"/>
  <c r="F245" i="187"/>
  <c r="E245" i="187"/>
  <c r="D245" i="187"/>
  <c r="C245" i="187"/>
  <c r="G240" i="187"/>
  <c r="F240" i="187"/>
  <c r="E240" i="187"/>
  <c r="D240" i="187"/>
  <c r="C240" i="187"/>
  <c r="L239" i="187"/>
  <c r="BN50" i="203" s="1"/>
  <c r="J239" i="187"/>
  <c r="AV50" i="203" s="1"/>
  <c r="L233" i="187"/>
  <c r="K233" i="187"/>
  <c r="J233" i="187"/>
  <c r="I233" i="187"/>
  <c r="AM47" i="203" s="1"/>
  <c r="G233" i="187"/>
  <c r="F233" i="187"/>
  <c r="E233" i="187"/>
  <c r="D233" i="187"/>
  <c r="C233" i="187"/>
  <c r="G229" i="187"/>
  <c r="F229" i="187"/>
  <c r="E229" i="187"/>
  <c r="D229" i="187"/>
  <c r="C229" i="187"/>
  <c r="L226" i="187"/>
  <c r="K226" i="187"/>
  <c r="J226" i="187"/>
  <c r="I226" i="187"/>
  <c r="AM45" i="203" s="1"/>
  <c r="G226" i="187"/>
  <c r="F226" i="187"/>
  <c r="E226" i="187"/>
  <c r="D226" i="187"/>
  <c r="C226" i="187"/>
  <c r="G220" i="187"/>
  <c r="F220" i="187"/>
  <c r="E220" i="187"/>
  <c r="D220" i="187"/>
  <c r="C220" i="187"/>
  <c r="G198" i="187"/>
  <c r="F198" i="187"/>
  <c r="E198" i="187"/>
  <c r="D198" i="187"/>
  <c r="C198" i="187"/>
  <c r="G184" i="187"/>
  <c r="F184" i="187"/>
  <c r="E184" i="187"/>
  <c r="D184" i="187"/>
  <c r="C184" i="187"/>
  <c r="G174" i="187"/>
  <c r="F174" i="187"/>
  <c r="E174" i="187"/>
  <c r="D174" i="187"/>
  <c r="C174" i="187"/>
  <c r="L171" i="187"/>
  <c r="K171" i="187"/>
  <c r="J171" i="187"/>
  <c r="I171" i="187"/>
  <c r="AM38" i="203" s="1"/>
  <c r="G171" i="187"/>
  <c r="F171" i="187"/>
  <c r="E171" i="187"/>
  <c r="D171" i="187"/>
  <c r="C171" i="187"/>
  <c r="G154" i="187"/>
  <c r="F154" i="187"/>
  <c r="E154" i="187"/>
  <c r="D154" i="187"/>
  <c r="C154" i="187"/>
  <c r="G144" i="187"/>
  <c r="F144" i="187"/>
  <c r="E144" i="187"/>
  <c r="D144" i="187"/>
  <c r="C144" i="187"/>
  <c r="G137" i="187"/>
  <c r="F137" i="187"/>
  <c r="E137" i="187"/>
  <c r="D137" i="187"/>
  <c r="C137" i="187"/>
  <c r="G122" i="187"/>
  <c r="F122" i="187"/>
  <c r="E122" i="187"/>
  <c r="D122" i="187"/>
  <c r="C122" i="187"/>
  <c r="G119" i="187"/>
  <c r="F119" i="187"/>
  <c r="E119" i="187"/>
  <c r="D119" i="187"/>
  <c r="C119" i="187"/>
  <c r="G109" i="187"/>
  <c r="F109" i="187"/>
  <c r="E109" i="187"/>
  <c r="D109" i="187"/>
  <c r="C109" i="187"/>
  <c r="G99" i="187"/>
  <c r="F99" i="187"/>
  <c r="E99" i="187"/>
  <c r="D99" i="187"/>
  <c r="C99" i="187"/>
  <c r="G92" i="187"/>
  <c r="F92" i="187"/>
  <c r="E92" i="187"/>
  <c r="D92" i="187"/>
  <c r="C92" i="187"/>
  <c r="G85" i="187"/>
  <c r="F85" i="187"/>
  <c r="E85" i="187"/>
  <c r="D85" i="187"/>
  <c r="C85" i="187"/>
  <c r="G82" i="187"/>
  <c r="F82" i="187"/>
  <c r="E82" i="187"/>
  <c r="D82" i="187"/>
  <c r="C82" i="187"/>
  <c r="G71" i="187"/>
  <c r="F71" i="187"/>
  <c r="E71" i="187"/>
  <c r="D71" i="187"/>
  <c r="C71" i="187"/>
  <c r="L61" i="187"/>
  <c r="K61" i="187"/>
  <c r="J61" i="187"/>
  <c r="I61" i="187"/>
  <c r="AM16" i="203" s="1"/>
  <c r="AT16" i="203" s="1"/>
  <c r="G61" i="187"/>
  <c r="F61" i="187"/>
  <c r="E61" i="187"/>
  <c r="D61" i="187"/>
  <c r="C61" i="187"/>
  <c r="G38" i="187"/>
  <c r="F38" i="187"/>
  <c r="E38" i="187"/>
  <c r="D38" i="187"/>
  <c r="C38" i="187"/>
  <c r="G35" i="187"/>
  <c r="F35" i="187"/>
  <c r="E35" i="187"/>
  <c r="D35" i="187"/>
  <c r="C35" i="187"/>
  <c r="G34" i="187"/>
  <c r="F34" i="187"/>
  <c r="E34" i="187"/>
  <c r="D34" i="187"/>
  <c r="C34" i="187"/>
  <c r="L33" i="187"/>
  <c r="L36" i="187" s="1"/>
  <c r="K33" i="187"/>
  <c r="K36" i="187" s="1"/>
  <c r="K67" i="187" s="1"/>
  <c r="J33" i="187"/>
  <c r="J36" i="187" s="1"/>
  <c r="J67" i="187" s="1"/>
  <c r="I33" i="187"/>
  <c r="I36" i="187" s="1"/>
  <c r="I67" i="187" s="1"/>
  <c r="I38" i="187" s="1"/>
  <c r="AM15" i="203" s="1"/>
  <c r="AT15" i="203" s="1"/>
  <c r="G21" i="187"/>
  <c r="F21" i="187"/>
  <c r="E21" i="187"/>
  <c r="D21" i="187"/>
  <c r="C21" i="187"/>
  <c r="G6" i="187"/>
  <c r="F6" i="187"/>
  <c r="E6" i="187"/>
  <c r="D6" i="187"/>
  <c r="C6" i="187"/>
  <c r="K61" i="180"/>
  <c r="J61" i="180"/>
  <c r="I76" i="168"/>
  <c r="I75" i="168"/>
  <c r="H66" i="164"/>
  <c r="H65" i="164"/>
  <c r="L38" i="176"/>
  <c r="K38" i="176"/>
  <c r="J38" i="176"/>
  <c r="I38" i="176"/>
  <c r="H38" i="176"/>
  <c r="AI38" i="205" s="1"/>
  <c r="L46" i="177"/>
  <c r="L44" i="177" s="1"/>
  <c r="K46" i="177"/>
  <c r="J46" i="177"/>
  <c r="L45" i="177"/>
  <c r="K45" i="177"/>
  <c r="J45" i="177"/>
  <c r="J44" i="177" s="1"/>
  <c r="I46" i="177"/>
  <c r="I45" i="177"/>
  <c r="H46" i="177"/>
  <c r="H45" i="177"/>
  <c r="L42" i="177"/>
  <c r="K42" i="177"/>
  <c r="J42" i="177"/>
  <c r="I42" i="177"/>
  <c r="L41" i="177"/>
  <c r="K41" i="177"/>
  <c r="K39" i="177" s="1"/>
  <c r="J41" i="177"/>
  <c r="I41" i="177"/>
  <c r="L40" i="177"/>
  <c r="K40" i="177"/>
  <c r="J40" i="177"/>
  <c r="I40" i="177"/>
  <c r="H42" i="177"/>
  <c r="H41" i="177"/>
  <c r="H40" i="177"/>
  <c r="L26" i="177"/>
  <c r="K26" i="177"/>
  <c r="J26" i="177"/>
  <c r="L25" i="177"/>
  <c r="K25" i="177"/>
  <c r="J25" i="177"/>
  <c r="L24" i="177"/>
  <c r="K24" i="177"/>
  <c r="J24" i="177"/>
  <c r="L22" i="177"/>
  <c r="K22" i="177"/>
  <c r="J22" i="177"/>
  <c r="L21" i="177"/>
  <c r="K21" i="177"/>
  <c r="J21" i="177"/>
  <c r="L19" i="177"/>
  <c r="K19" i="177"/>
  <c r="J19" i="177"/>
  <c r="L16" i="177"/>
  <c r="K16" i="177"/>
  <c r="J16" i="177"/>
  <c r="I26" i="177"/>
  <c r="I25" i="177"/>
  <c r="I24" i="177"/>
  <c r="I22" i="177"/>
  <c r="I19" i="177"/>
  <c r="I16" i="177"/>
  <c r="I21" i="177"/>
  <c r="H26" i="177"/>
  <c r="H25" i="177"/>
  <c r="H24" i="177"/>
  <c r="H22" i="177"/>
  <c r="H21" i="177"/>
  <c r="H20" i="177"/>
  <c r="H19" i="177"/>
  <c r="H17" i="177"/>
  <c r="H16" i="177"/>
  <c r="L13" i="177"/>
  <c r="K13" i="177"/>
  <c r="J13" i="177"/>
  <c r="I13" i="177"/>
  <c r="L10" i="177"/>
  <c r="K10" i="177"/>
  <c r="J10" i="177"/>
  <c r="I10" i="177"/>
  <c r="H13" i="177"/>
  <c r="H10" i="177"/>
  <c r="H43" i="176"/>
  <c r="H49" i="177" s="1"/>
  <c r="H48" i="177" s="1"/>
  <c r="H48" i="176"/>
  <c r="AI44" i="205" s="1"/>
  <c r="AJ44" i="205" s="1"/>
  <c r="H26" i="176"/>
  <c r="AI26" i="205" s="1"/>
  <c r="H16" i="176"/>
  <c r="AI16" i="205" s="1"/>
  <c r="AJ16" i="205" s="1"/>
  <c r="L83" i="175"/>
  <c r="L11" i="196" s="1"/>
  <c r="BN11" i="206" s="1"/>
  <c r="K83" i="175"/>
  <c r="K11" i="177" s="1"/>
  <c r="J83" i="175"/>
  <c r="J11" i="196" s="1"/>
  <c r="AV11" i="206" s="1"/>
  <c r="I83" i="175"/>
  <c r="I11" i="196" s="1"/>
  <c r="AM11" i="206" s="1"/>
  <c r="L81" i="175"/>
  <c r="L79" i="175" s="1"/>
  <c r="K81" i="175"/>
  <c r="K79" i="175" s="1"/>
  <c r="J81" i="175"/>
  <c r="J79" i="175" s="1"/>
  <c r="I81" i="175"/>
  <c r="I79" i="175" s="1"/>
  <c r="L72" i="175"/>
  <c r="L70" i="175" s="1"/>
  <c r="K72" i="175"/>
  <c r="K70" i="175" s="1"/>
  <c r="J72" i="175"/>
  <c r="J70" i="175" s="1"/>
  <c r="I72" i="175"/>
  <c r="I70" i="175" s="1"/>
  <c r="L65" i="175"/>
  <c r="K65" i="175"/>
  <c r="J65" i="175"/>
  <c r="I65" i="175"/>
  <c r="L62" i="175"/>
  <c r="K62" i="175"/>
  <c r="J62" i="175"/>
  <c r="I62" i="175"/>
  <c r="L59" i="175"/>
  <c r="K59" i="175"/>
  <c r="J59" i="175"/>
  <c r="I59" i="175"/>
  <c r="L56" i="175"/>
  <c r="K56" i="175"/>
  <c r="J56" i="175"/>
  <c r="I56" i="175"/>
  <c r="L48" i="175"/>
  <c r="K48" i="175"/>
  <c r="J48" i="175"/>
  <c r="I48" i="175"/>
  <c r="L41" i="175"/>
  <c r="K41" i="175"/>
  <c r="J41" i="175"/>
  <c r="I41" i="175"/>
  <c r="L32" i="175"/>
  <c r="L23" i="175" s="1"/>
  <c r="K32" i="175"/>
  <c r="K23" i="175" s="1"/>
  <c r="J32" i="175"/>
  <c r="J23" i="175" s="1"/>
  <c r="I32" i="175"/>
  <c r="I23" i="175" s="1"/>
  <c r="L14" i="175"/>
  <c r="K14" i="175"/>
  <c r="J14" i="175"/>
  <c r="I14" i="175"/>
  <c r="L8" i="175"/>
  <c r="L12" i="175" s="1"/>
  <c r="K8" i="175"/>
  <c r="K12" i="175" s="1"/>
  <c r="J8" i="175"/>
  <c r="J12" i="175" s="1"/>
  <c r="I8" i="175"/>
  <c r="I12" i="175" s="1"/>
  <c r="H83" i="175"/>
  <c r="H11" i="196" s="1"/>
  <c r="AD11" i="206" s="1"/>
  <c r="H81" i="175"/>
  <c r="H79" i="175" s="1"/>
  <c r="H72" i="175"/>
  <c r="H70" i="175" s="1"/>
  <c r="H65" i="175"/>
  <c r="H62" i="175"/>
  <c r="H10" i="176" s="1"/>
  <c r="AI10" i="205" s="1"/>
  <c r="AI8" i="205" s="1"/>
  <c r="H59" i="175"/>
  <c r="H56" i="175"/>
  <c r="H48" i="175"/>
  <c r="H41" i="175"/>
  <c r="H32" i="175"/>
  <c r="H14" i="175"/>
  <c r="H8" i="175"/>
  <c r="H12" i="175" s="1"/>
  <c r="L3" i="177"/>
  <c r="K3" i="177"/>
  <c r="J3" i="177"/>
  <c r="I3" i="177"/>
  <c r="H3" i="177"/>
  <c r="L3" i="176"/>
  <c r="K3" i="176"/>
  <c r="J3" i="176"/>
  <c r="I3" i="176"/>
  <c r="H3" i="176"/>
  <c r="G61" i="167"/>
  <c r="G60" i="167"/>
  <c r="B61" i="167"/>
  <c r="B60" i="167"/>
  <c r="G40" i="167"/>
  <c r="B40" i="167"/>
  <c r="G68" i="167"/>
  <c r="G66" i="167"/>
  <c r="G65" i="167"/>
  <c r="G62" i="167"/>
  <c r="G59" i="167"/>
  <c r="G58" i="167"/>
  <c r="G57" i="167"/>
  <c r="G56" i="167"/>
  <c r="G55" i="167"/>
  <c r="G54" i="167"/>
  <c r="G53" i="167"/>
  <c r="G52" i="167"/>
  <c r="G49" i="167"/>
  <c r="G48" i="167"/>
  <c r="G47" i="167"/>
  <c r="G46" i="167"/>
  <c r="G45" i="167"/>
  <c r="G44" i="167"/>
  <c r="G43" i="167"/>
  <c r="G42" i="167"/>
  <c r="G41" i="167"/>
  <c r="G33" i="167"/>
  <c r="G26" i="167"/>
  <c r="G25" i="167"/>
  <c r="G24" i="167"/>
  <c r="G23" i="167"/>
  <c r="G22" i="167"/>
  <c r="G21" i="167"/>
  <c r="G20" i="167"/>
  <c r="G17" i="167"/>
  <c r="G14" i="167"/>
  <c r="G26" i="168"/>
  <c r="AG26" i="205" s="1"/>
  <c r="G17" i="168"/>
  <c r="G16" i="168"/>
  <c r="G14" i="168"/>
  <c r="G13" i="168" s="1"/>
  <c r="G10" i="168"/>
  <c r="G9" i="168"/>
  <c r="G8" i="168" s="1"/>
  <c r="G55" i="168"/>
  <c r="G51" i="168"/>
  <c r="AG39" i="205" s="1"/>
  <c r="G38" i="168"/>
  <c r="AG38" i="205" s="1"/>
  <c r="AG37" i="205" s="1"/>
  <c r="G33" i="168"/>
  <c r="G120" i="166"/>
  <c r="G92" i="166"/>
  <c r="G146" i="166"/>
  <c r="G104" i="166"/>
  <c r="G207" i="166"/>
  <c r="G205" i="166" s="1"/>
  <c r="F207" i="166"/>
  <c r="E207" i="166"/>
  <c r="D207" i="166"/>
  <c r="C207" i="166"/>
  <c r="G200" i="166"/>
  <c r="F104" i="166"/>
  <c r="Z27" i="203" s="1"/>
  <c r="E104" i="166"/>
  <c r="S27" i="203" s="1"/>
  <c r="D104" i="166"/>
  <c r="L27" i="203" s="1"/>
  <c r="C104" i="166"/>
  <c r="E27" i="203" s="1"/>
  <c r="G69" i="166"/>
  <c r="G61" i="166" s="1"/>
  <c r="G19" i="166"/>
  <c r="G14" i="166"/>
  <c r="G232" i="166"/>
  <c r="G227" i="166"/>
  <c r="G9" i="167" s="1"/>
  <c r="G222" i="166"/>
  <c r="G10" i="167" s="1"/>
  <c r="G196" i="166"/>
  <c r="G193" i="166"/>
  <c r="G190" i="166"/>
  <c r="G179" i="166"/>
  <c r="G171" i="166"/>
  <c r="G162" i="166"/>
  <c r="G159" i="166"/>
  <c r="G142" i="166"/>
  <c r="G139" i="166"/>
  <c r="G134" i="166"/>
  <c r="G117" i="166"/>
  <c r="G110" i="166"/>
  <c r="G99" i="166"/>
  <c r="G89" i="166"/>
  <c r="G81" i="166"/>
  <c r="G73" i="166"/>
  <c r="G56" i="166"/>
  <c r="AG12" i="203" s="1"/>
  <c r="G53" i="166"/>
  <c r="F53" i="163"/>
  <c r="F52" i="163" s="1"/>
  <c r="F50" i="163"/>
  <c r="F49" i="163"/>
  <c r="F48" i="163" s="1"/>
  <c r="F46" i="163"/>
  <c r="F45" i="163"/>
  <c r="F44" i="163"/>
  <c r="F41" i="163"/>
  <c r="F40" i="163"/>
  <c r="F39" i="163"/>
  <c r="F33" i="163"/>
  <c r="F32" i="163"/>
  <c r="F31" i="163"/>
  <c r="F26" i="163"/>
  <c r="F25" i="163"/>
  <c r="F24" i="163"/>
  <c r="F23" i="163"/>
  <c r="F22" i="163"/>
  <c r="F21" i="163"/>
  <c r="F20" i="163"/>
  <c r="F19" i="163"/>
  <c r="F18" i="163"/>
  <c r="F17" i="163"/>
  <c r="F16" i="163"/>
  <c r="F47" i="164"/>
  <c r="F26" i="164"/>
  <c r="AF26" i="205" s="1"/>
  <c r="F17" i="164"/>
  <c r="F14" i="164"/>
  <c r="F11" i="164"/>
  <c r="F10" i="164"/>
  <c r="F45" i="164"/>
  <c r="F42" i="164"/>
  <c r="AF39" i="205" s="1"/>
  <c r="F38" i="164"/>
  <c r="AF38" i="205" s="1"/>
  <c r="F33" i="164"/>
  <c r="F13" i="164"/>
  <c r="F8" i="164"/>
  <c r="F24" i="162"/>
  <c r="E24" i="162"/>
  <c r="Y17" i="203" s="1"/>
  <c r="D24" i="162"/>
  <c r="R17" i="203" s="1"/>
  <c r="C24" i="162"/>
  <c r="K17" i="203" s="1"/>
  <c r="F214" i="162"/>
  <c r="F211" i="162"/>
  <c r="F9" i="163" s="1"/>
  <c r="F208" i="162"/>
  <c r="F10" i="163" s="1"/>
  <c r="F200" i="162"/>
  <c r="F195" i="162"/>
  <c r="F188" i="162"/>
  <c r="F183" i="162"/>
  <c r="F180" i="162"/>
  <c r="F172" i="162"/>
  <c r="F160" i="162"/>
  <c r="F145" i="162"/>
  <c r="F134" i="162"/>
  <c r="F131" i="162"/>
  <c r="F119" i="162"/>
  <c r="F109" i="162"/>
  <c r="F105" i="162"/>
  <c r="F100" i="162"/>
  <c r="F86" i="162"/>
  <c r="F76" i="162"/>
  <c r="F67" i="162"/>
  <c r="F58" i="162"/>
  <c r="F54" i="162"/>
  <c r="F49" i="162"/>
  <c r="F39" i="162"/>
  <c r="F32" i="162"/>
  <c r="F16" i="162"/>
  <c r="F7" i="162"/>
  <c r="F15" i="162" s="1"/>
  <c r="F61" i="164" s="1"/>
  <c r="G73" i="148"/>
  <c r="G60" i="148"/>
  <c r="G58" i="148"/>
  <c r="G57" i="148"/>
  <c r="G54" i="148"/>
  <c r="G53" i="148"/>
  <c r="G52" i="148"/>
  <c r="G49" i="148"/>
  <c r="G48" i="148"/>
  <c r="G47" i="148"/>
  <c r="G46" i="148"/>
  <c r="G45" i="148"/>
  <c r="G44" i="148"/>
  <c r="G41" i="148"/>
  <c r="G40" i="148"/>
  <c r="G39" i="148"/>
  <c r="G26" i="148"/>
  <c r="G25" i="148"/>
  <c r="G24" i="148"/>
  <c r="G21" i="148"/>
  <c r="G20" i="148"/>
  <c r="G18" i="148"/>
  <c r="G17" i="148"/>
  <c r="G16" i="148"/>
  <c r="G49" i="149"/>
  <c r="G47" i="149" s="1"/>
  <c r="G17" i="149"/>
  <c r="G13" i="149" s="1"/>
  <c r="G11" i="149"/>
  <c r="G10" i="149"/>
  <c r="G9" i="149"/>
  <c r="G43" i="149"/>
  <c r="AE39" i="205" s="1"/>
  <c r="G38" i="149"/>
  <c r="AE38" i="205" s="1"/>
  <c r="G33" i="149"/>
  <c r="G122" i="147"/>
  <c r="F122" i="147"/>
  <c r="X30" i="203" s="1"/>
  <c r="E122" i="147"/>
  <c r="Q30" i="203" s="1"/>
  <c r="D122" i="147"/>
  <c r="J30" i="203" s="1"/>
  <c r="C122" i="147"/>
  <c r="C30" i="203" s="1"/>
  <c r="G265" i="147"/>
  <c r="G11" i="148" s="1"/>
  <c r="G260" i="147"/>
  <c r="G9" i="148" s="1"/>
  <c r="G256" i="147"/>
  <c r="G10" i="148" s="1"/>
  <c r="G245" i="147"/>
  <c r="G240" i="147"/>
  <c r="G233" i="147"/>
  <c r="G229" i="147"/>
  <c r="G13" i="148" s="1"/>
  <c r="G226" i="147"/>
  <c r="G220" i="147"/>
  <c r="G198" i="147"/>
  <c r="G184" i="147"/>
  <c r="G174" i="147"/>
  <c r="G171" i="147"/>
  <c r="G154" i="147"/>
  <c r="G144" i="147"/>
  <c r="G137" i="147"/>
  <c r="G119" i="147"/>
  <c r="G109" i="147"/>
  <c r="G99" i="147"/>
  <c r="G92" i="147"/>
  <c r="G85" i="147"/>
  <c r="G82" i="147"/>
  <c r="G71" i="147"/>
  <c r="G61" i="147"/>
  <c r="G38" i="147"/>
  <c r="G35" i="147"/>
  <c r="AE12" i="203" s="1"/>
  <c r="G34" i="147"/>
  <c r="AE11" i="203" s="1"/>
  <c r="G21" i="147"/>
  <c r="G6" i="147"/>
  <c r="J50" i="182"/>
  <c r="AT42" i="206" s="1"/>
  <c r="AX42" i="206" s="1"/>
  <c r="L46" i="182"/>
  <c r="L45" i="182"/>
  <c r="L44" i="182" s="1"/>
  <c r="BL40" i="206" s="1"/>
  <c r="K46" i="182"/>
  <c r="K45" i="182"/>
  <c r="J46" i="182"/>
  <c r="J45" i="182"/>
  <c r="I44" i="182"/>
  <c r="H44" i="182"/>
  <c r="B46" i="182"/>
  <c r="B45" i="182"/>
  <c r="L42" i="182"/>
  <c r="L41" i="182"/>
  <c r="K42" i="182"/>
  <c r="K41" i="182"/>
  <c r="J42" i="182"/>
  <c r="J41" i="182"/>
  <c r="I40" i="182"/>
  <c r="H40" i="182"/>
  <c r="B42" i="182"/>
  <c r="B41" i="182"/>
  <c r="L26" i="182"/>
  <c r="BL26" i="206" s="1"/>
  <c r="L25" i="182"/>
  <c r="BL25" i="206" s="1"/>
  <c r="L24" i="182"/>
  <c r="BL24" i="206" s="1"/>
  <c r="L23" i="182"/>
  <c r="BL23" i="206" s="1"/>
  <c r="L21" i="182"/>
  <c r="BL21" i="206" s="1"/>
  <c r="L20" i="182"/>
  <c r="BL20" i="206" s="1"/>
  <c r="L19" i="182"/>
  <c r="BL19" i="206" s="1"/>
  <c r="L17" i="182"/>
  <c r="BL17" i="206" s="1"/>
  <c r="K26" i="182"/>
  <c r="BC26" i="206" s="1"/>
  <c r="K25" i="182"/>
  <c r="BC25" i="206" s="1"/>
  <c r="K24" i="182"/>
  <c r="BC24" i="206" s="1"/>
  <c r="K23" i="182"/>
  <c r="BC23" i="206" s="1"/>
  <c r="K21" i="182"/>
  <c r="BC21" i="206" s="1"/>
  <c r="K20" i="182"/>
  <c r="BC20" i="206" s="1"/>
  <c r="K19" i="182"/>
  <c r="BC19" i="206" s="1"/>
  <c r="K17" i="182"/>
  <c r="BC17" i="206" s="1"/>
  <c r="J26" i="182"/>
  <c r="AT26" i="206" s="1"/>
  <c r="J25" i="182"/>
  <c r="AT25" i="206" s="1"/>
  <c r="J24" i="182"/>
  <c r="AT24" i="206" s="1"/>
  <c r="J23" i="182"/>
  <c r="AT23" i="206" s="1"/>
  <c r="J21" i="182"/>
  <c r="AT21" i="206" s="1"/>
  <c r="J20" i="182"/>
  <c r="AT20" i="206" s="1"/>
  <c r="J19" i="182"/>
  <c r="AT19" i="206" s="1"/>
  <c r="J17" i="182"/>
  <c r="AT17" i="206" s="1"/>
  <c r="L11" i="182"/>
  <c r="BL11" i="206" s="1"/>
  <c r="L9" i="182"/>
  <c r="BL9" i="206" s="1"/>
  <c r="K11" i="182"/>
  <c r="BC11" i="206" s="1"/>
  <c r="K9" i="182"/>
  <c r="BC9" i="206" s="1"/>
  <c r="J11" i="182"/>
  <c r="AT11" i="206" s="1"/>
  <c r="J9" i="182"/>
  <c r="AT9" i="206" s="1"/>
  <c r="J42" i="183"/>
  <c r="AY39" i="205" s="1"/>
  <c r="AY37" i="205" s="1"/>
  <c r="L38" i="183"/>
  <c r="BQ38" i="205" s="1"/>
  <c r="K38" i="183"/>
  <c r="BH38" i="205" s="1"/>
  <c r="J38" i="183"/>
  <c r="AY38" i="205" s="1"/>
  <c r="J28" i="183"/>
  <c r="AY28" i="205" s="1"/>
  <c r="I8" i="183"/>
  <c r="I145" i="184"/>
  <c r="K139" i="184"/>
  <c r="K137" i="184" s="1"/>
  <c r="BQ50" i="203" s="1"/>
  <c r="J139" i="184"/>
  <c r="J137" i="184" s="1"/>
  <c r="BH50" i="203" s="1"/>
  <c r="I139" i="184"/>
  <c r="I137" i="184" s="1"/>
  <c r="AY50" i="203" s="1"/>
  <c r="I148" i="6"/>
  <c r="S148" i="6"/>
  <c r="I149" i="6"/>
  <c r="D30" i="186"/>
  <c r="J32" i="182" s="1"/>
  <c r="AT32" i="206" s="1"/>
  <c r="AX32" i="206" s="1"/>
  <c r="D18" i="186"/>
  <c r="D11" i="186"/>
  <c r="D17" i="186"/>
  <c r="D15" i="186"/>
  <c r="D13" i="186"/>
  <c r="I38" i="188" l="1"/>
  <c r="F37" i="188"/>
  <c r="F23" i="188"/>
  <c r="F67" i="188" s="1"/>
  <c r="E15" i="192"/>
  <c r="AF37" i="205"/>
  <c r="L39" i="177"/>
  <c r="H23" i="175"/>
  <c r="F39" i="196"/>
  <c r="AT47" i="203"/>
  <c r="H12" i="198"/>
  <c r="H92" i="198" s="1"/>
  <c r="AT32" i="203"/>
  <c r="J16" i="199"/>
  <c r="BA16" i="205" s="1"/>
  <c r="AR16" i="205"/>
  <c r="AT16" i="205" s="1"/>
  <c r="E23" i="199"/>
  <c r="D59" i="196"/>
  <c r="D62" i="196" s="1"/>
  <c r="F103" i="200"/>
  <c r="K44" i="182"/>
  <c r="BC40" i="206" s="1"/>
  <c r="J11" i="194"/>
  <c r="J21" i="195"/>
  <c r="AS21" i="206" s="1"/>
  <c r="AX42" i="205"/>
  <c r="J23" i="195"/>
  <c r="AS23" i="206" s="1"/>
  <c r="AX44" i="205"/>
  <c r="J63" i="194"/>
  <c r="AO49" i="205"/>
  <c r="AT49" i="205" s="1"/>
  <c r="I37" i="194"/>
  <c r="AO38" i="205"/>
  <c r="AO37" i="205" s="1"/>
  <c r="J26" i="194"/>
  <c r="AO26" i="205"/>
  <c r="C37" i="194"/>
  <c r="I19" i="195"/>
  <c r="AJ19" i="206" s="1"/>
  <c r="J61" i="195"/>
  <c r="D37" i="194"/>
  <c r="I20" i="195"/>
  <c r="AJ20" i="206" s="1"/>
  <c r="J17" i="194"/>
  <c r="J60" i="194"/>
  <c r="AX46" i="205" s="1"/>
  <c r="AO46" i="205"/>
  <c r="AT46" i="205" s="1"/>
  <c r="F37" i="194"/>
  <c r="I55" i="194"/>
  <c r="J19" i="194"/>
  <c r="I21" i="195"/>
  <c r="AJ21" i="206" s="1"/>
  <c r="AO42" i="205"/>
  <c r="J21" i="194"/>
  <c r="I23" i="195"/>
  <c r="AJ23" i="206" s="1"/>
  <c r="AO44" i="205"/>
  <c r="AT44" i="205" s="1"/>
  <c r="I25" i="195"/>
  <c r="AJ25" i="206" s="1"/>
  <c r="I55" i="195"/>
  <c r="I242" i="193"/>
  <c r="AN39" i="205"/>
  <c r="I42" i="191"/>
  <c r="AN26" i="205"/>
  <c r="I26" i="191"/>
  <c r="AN37" i="205"/>
  <c r="F37" i="191"/>
  <c r="H22" i="192"/>
  <c r="AI22" i="206" s="1"/>
  <c r="H23" i="192"/>
  <c r="AI23" i="206" s="1"/>
  <c r="I17" i="191"/>
  <c r="I9" i="191"/>
  <c r="I19" i="191"/>
  <c r="J48" i="191"/>
  <c r="AT43" i="205"/>
  <c r="I38" i="191"/>
  <c r="BU33" i="205"/>
  <c r="I45" i="191"/>
  <c r="I11" i="191"/>
  <c r="J21" i="191"/>
  <c r="C23" i="191"/>
  <c r="C65" i="191" s="1"/>
  <c r="H19" i="192"/>
  <c r="C20" i="190"/>
  <c r="BL50" i="203"/>
  <c r="J21" i="188"/>
  <c r="AM21" i="205"/>
  <c r="AT21" i="205" s="1"/>
  <c r="I37" i="188"/>
  <c r="AM38" i="205"/>
  <c r="K48" i="188"/>
  <c r="BE42" i="205" s="1"/>
  <c r="AV42" i="205"/>
  <c r="J50" i="188"/>
  <c r="I54" i="189"/>
  <c r="I51" i="189" s="1"/>
  <c r="AH40" i="206" s="1"/>
  <c r="AH46" i="206" s="1"/>
  <c r="J52" i="188"/>
  <c r="I23" i="189"/>
  <c r="AH23" i="206" s="1"/>
  <c r="J55" i="188"/>
  <c r="C23" i="188"/>
  <c r="C67" i="188" s="1"/>
  <c r="I25" i="189"/>
  <c r="AH25" i="206" s="1"/>
  <c r="AO25" i="206" s="1"/>
  <c r="K52" i="189"/>
  <c r="D23" i="188"/>
  <c r="D67" i="188" s="1"/>
  <c r="J11" i="188"/>
  <c r="I19" i="189"/>
  <c r="AH19" i="206" s="1"/>
  <c r="AM17" i="205"/>
  <c r="C37" i="188"/>
  <c r="I20" i="189"/>
  <c r="AH20" i="206" s="1"/>
  <c r="AM19" i="205"/>
  <c r="AT19" i="205" s="1"/>
  <c r="I21" i="189"/>
  <c r="AH21" i="206" s="1"/>
  <c r="AO21" i="206" s="1"/>
  <c r="AM42" i="205"/>
  <c r="G33" i="187"/>
  <c r="G36" i="187" s="1"/>
  <c r="E15" i="201"/>
  <c r="F15" i="201"/>
  <c r="D51" i="201"/>
  <c r="M23" i="205"/>
  <c r="F46" i="201"/>
  <c r="H18" i="177"/>
  <c r="BG24" i="206"/>
  <c r="BP24" i="206"/>
  <c r="H23" i="177"/>
  <c r="BG26" i="206"/>
  <c r="E59" i="196"/>
  <c r="BP26" i="206"/>
  <c r="I26" i="176"/>
  <c r="J26" i="176" s="1"/>
  <c r="K26" i="176" s="1"/>
  <c r="L26" i="176" s="1"/>
  <c r="F59" i="196"/>
  <c r="I16" i="176"/>
  <c r="J16" i="176" s="1"/>
  <c r="K16" i="176" s="1"/>
  <c r="L16" i="176" s="1"/>
  <c r="H39" i="177"/>
  <c r="L11" i="177"/>
  <c r="I39" i="177"/>
  <c r="J39" i="177"/>
  <c r="G15" i="195"/>
  <c r="AB15" i="206" s="1"/>
  <c r="AB17" i="206"/>
  <c r="AE17" i="206" s="1"/>
  <c r="G51" i="195"/>
  <c r="AB40" i="206" s="1"/>
  <c r="E51" i="195"/>
  <c r="D64" i="195"/>
  <c r="F51" i="195"/>
  <c r="E15" i="195"/>
  <c r="D51" i="195"/>
  <c r="D48" i="192"/>
  <c r="AF23" i="205"/>
  <c r="F15" i="192"/>
  <c r="AA15" i="206" s="1"/>
  <c r="D15" i="192"/>
  <c r="F38" i="192"/>
  <c r="AA38" i="206" s="1"/>
  <c r="D51" i="189"/>
  <c r="G56" i="148"/>
  <c r="E56" i="189"/>
  <c r="F15" i="189"/>
  <c r="E15" i="189"/>
  <c r="G51" i="189"/>
  <c r="Z40" i="206" s="1"/>
  <c r="C182" i="6"/>
  <c r="H52" i="193"/>
  <c r="I222" i="193"/>
  <c r="I14" i="195" s="1"/>
  <c r="AJ14" i="206" s="1"/>
  <c r="AO14" i="206" s="1"/>
  <c r="BU44" i="203"/>
  <c r="G15" i="190"/>
  <c r="BL33" i="203"/>
  <c r="BL25" i="203"/>
  <c r="BU33" i="203"/>
  <c r="AT24" i="203"/>
  <c r="AT34" i="203"/>
  <c r="BC44" i="203"/>
  <c r="BU25" i="203"/>
  <c r="BC25" i="203"/>
  <c r="BL44" i="203"/>
  <c r="E221" i="193"/>
  <c r="F143" i="190"/>
  <c r="I60" i="191"/>
  <c r="J62" i="191"/>
  <c r="I8" i="188"/>
  <c r="BP38" i="206"/>
  <c r="BC50" i="203"/>
  <c r="BG38" i="206"/>
  <c r="F242" i="193"/>
  <c r="C221" i="193"/>
  <c r="F169" i="193"/>
  <c r="AO10" i="203"/>
  <c r="AO13" i="203" s="1"/>
  <c r="AT7" i="203"/>
  <c r="C169" i="193"/>
  <c r="BU50" i="203"/>
  <c r="AG45" i="203"/>
  <c r="F39" i="195"/>
  <c r="G10" i="195"/>
  <c r="AB10" i="206" s="1"/>
  <c r="D35" i="195"/>
  <c r="G35" i="195"/>
  <c r="AB31" i="206"/>
  <c r="AB35" i="206" s="1"/>
  <c r="G39" i="195"/>
  <c r="AB39" i="206" s="1"/>
  <c r="AG39" i="203"/>
  <c r="AG44" i="203"/>
  <c r="AG50" i="203"/>
  <c r="G11" i="167"/>
  <c r="G11" i="195"/>
  <c r="AB11" i="206" s="1"/>
  <c r="E35" i="195"/>
  <c r="F35" i="195"/>
  <c r="AG17" i="203"/>
  <c r="AG34" i="203"/>
  <c r="AG38" i="203"/>
  <c r="D39" i="195"/>
  <c r="AG47" i="203"/>
  <c r="E39" i="195"/>
  <c r="G9" i="195"/>
  <c r="AB9" i="206" s="1"/>
  <c r="AG30" i="203"/>
  <c r="AG31" i="203"/>
  <c r="AG32" i="203"/>
  <c r="AG33" i="203"/>
  <c r="G13" i="195"/>
  <c r="AB13" i="206" s="1"/>
  <c r="AG18" i="203"/>
  <c r="AG46" i="203"/>
  <c r="AG11" i="203"/>
  <c r="AG54" i="203"/>
  <c r="AG23" i="203"/>
  <c r="AG24" i="203"/>
  <c r="AG25" i="203"/>
  <c r="AG26" i="203"/>
  <c r="AG27" i="203"/>
  <c r="AG28" i="203"/>
  <c r="AG29" i="203"/>
  <c r="D43" i="192"/>
  <c r="D38" i="192"/>
  <c r="AE44" i="203"/>
  <c r="G38" i="189"/>
  <c r="Z38" i="206" s="1"/>
  <c r="AE25" i="203"/>
  <c r="AE16" i="203"/>
  <c r="E38" i="189"/>
  <c r="D35" i="189"/>
  <c r="E35" i="189"/>
  <c r="F43" i="189"/>
  <c r="F35" i="189"/>
  <c r="D35" i="192"/>
  <c r="E35" i="192"/>
  <c r="D103" i="200"/>
  <c r="E103" i="200"/>
  <c r="AX38" i="206"/>
  <c r="D23" i="202"/>
  <c r="D182" i="6"/>
  <c r="E179" i="6"/>
  <c r="K180" i="6"/>
  <c r="AO22" i="206"/>
  <c r="AO24" i="206"/>
  <c r="AO26" i="206"/>
  <c r="AX24" i="206"/>
  <c r="AX26" i="206"/>
  <c r="AO16" i="206"/>
  <c r="AO13" i="206"/>
  <c r="AL46" i="206"/>
  <c r="AE33" i="206"/>
  <c r="BL33" i="205"/>
  <c r="AP23" i="205"/>
  <c r="AJ38" i="205"/>
  <c r="E23" i="205"/>
  <c r="R23" i="205"/>
  <c r="BC33" i="205"/>
  <c r="U23" i="205"/>
  <c r="G53" i="205"/>
  <c r="L23" i="205"/>
  <c r="V41" i="205"/>
  <c r="AB23" i="205"/>
  <c r="C23" i="205"/>
  <c r="X23" i="205"/>
  <c r="O13" i="205"/>
  <c r="AA23" i="205"/>
  <c r="BT42" i="203"/>
  <c r="BT37" i="203"/>
  <c r="AT38" i="203"/>
  <c r="AT44" i="203"/>
  <c r="AT31" i="203"/>
  <c r="AT30" i="203"/>
  <c r="BK42" i="203"/>
  <c r="BK37" i="203"/>
  <c r="AT23" i="203"/>
  <c r="AT33" i="203"/>
  <c r="AT8" i="203"/>
  <c r="BB42" i="203"/>
  <c r="BB37" i="203"/>
  <c r="BN10" i="203"/>
  <c r="BN13" i="203" s="1"/>
  <c r="AW10" i="203"/>
  <c r="AW13" i="203" s="1"/>
  <c r="AW14" i="203" s="1"/>
  <c r="AT25" i="203"/>
  <c r="AT40" i="203"/>
  <c r="AT27" i="203"/>
  <c r="BO10" i="203"/>
  <c r="AT45" i="203"/>
  <c r="AT50" i="203"/>
  <c r="AT28" i="203"/>
  <c r="BF10" i="203"/>
  <c r="BF13" i="203" s="1"/>
  <c r="BF14" i="203" s="1"/>
  <c r="AS37" i="203"/>
  <c r="AS42" i="203"/>
  <c r="AN10" i="203"/>
  <c r="AN13" i="203" s="1"/>
  <c r="F60" i="209"/>
  <c r="F61" i="209" s="1"/>
  <c r="F63" i="209" s="1"/>
  <c r="E63" i="209"/>
  <c r="J44" i="208"/>
  <c r="J41" i="208"/>
  <c r="J37" i="208" s="1"/>
  <c r="J8" i="208"/>
  <c r="I54" i="208"/>
  <c r="J86" i="207"/>
  <c r="J23" i="207"/>
  <c r="L23" i="207"/>
  <c r="L86" i="207"/>
  <c r="L43" i="207"/>
  <c r="D23" i="207"/>
  <c r="D43" i="207"/>
  <c r="D86" i="207"/>
  <c r="K52" i="207"/>
  <c r="K63" i="207"/>
  <c r="K8" i="209" s="1"/>
  <c r="K87" i="207"/>
  <c r="E86" i="207"/>
  <c r="E23" i="207"/>
  <c r="E43" i="207"/>
  <c r="H43" i="207"/>
  <c r="H86" i="207"/>
  <c r="H23" i="207"/>
  <c r="C23" i="207"/>
  <c r="C86" i="207"/>
  <c r="C43" i="207"/>
  <c r="I44" i="207"/>
  <c r="I51" i="207"/>
  <c r="F86" i="207"/>
  <c r="F23" i="207"/>
  <c r="F43" i="207"/>
  <c r="J51" i="207"/>
  <c r="J44" i="207"/>
  <c r="J129" i="6"/>
  <c r="J128" i="6"/>
  <c r="G141" i="6"/>
  <c r="H130" i="6"/>
  <c r="H129" i="6"/>
  <c r="J178" i="6" s="1"/>
  <c r="H128" i="6"/>
  <c r="K42" i="183"/>
  <c r="K48" i="182" s="1"/>
  <c r="J145" i="184"/>
  <c r="K14" i="182" s="1"/>
  <c r="BC14" i="206" s="1"/>
  <c r="AY53" i="203"/>
  <c r="G239" i="187"/>
  <c r="BE10" i="203"/>
  <c r="D23" i="198"/>
  <c r="J23" i="198"/>
  <c r="BA21" i="203" s="1"/>
  <c r="I12" i="198"/>
  <c r="AR9" i="203"/>
  <c r="AR10" i="203" s="1"/>
  <c r="AR13" i="203" s="1"/>
  <c r="J12" i="198"/>
  <c r="K92" i="198" s="1"/>
  <c r="BA9" i="203"/>
  <c r="BC9" i="203" s="1"/>
  <c r="C23" i="198"/>
  <c r="L23" i="198"/>
  <c r="BS21" i="203" s="1"/>
  <c r="BS9" i="203"/>
  <c r="BU9" i="203" s="1"/>
  <c r="BJ9" i="203"/>
  <c r="BL9" i="203" s="1"/>
  <c r="BJ39" i="203"/>
  <c r="AR39" i="203"/>
  <c r="AT39" i="203" s="1"/>
  <c r="C103" i="200"/>
  <c r="K77" i="193"/>
  <c r="K61" i="193" s="1"/>
  <c r="D221" i="193"/>
  <c r="G221" i="193"/>
  <c r="J58" i="193"/>
  <c r="J61" i="193"/>
  <c r="AX17" i="203" s="1"/>
  <c r="K62" i="191"/>
  <c r="BF40" i="203"/>
  <c r="J60" i="191"/>
  <c r="I63" i="191"/>
  <c r="H224" i="190"/>
  <c r="C194" i="190"/>
  <c r="K60" i="191"/>
  <c r="J63" i="191"/>
  <c r="H60" i="191"/>
  <c r="I61" i="191"/>
  <c r="H8" i="191"/>
  <c r="AN10" i="205"/>
  <c r="AN8" i="205" s="1"/>
  <c r="H61" i="191"/>
  <c r="J61" i="191"/>
  <c r="I64" i="191"/>
  <c r="H63" i="192"/>
  <c r="AI38" i="206"/>
  <c r="AI46" i="206" s="1"/>
  <c r="H62" i="191"/>
  <c r="H63" i="191"/>
  <c r="H64" i="191"/>
  <c r="AW40" i="203"/>
  <c r="AE21" i="206"/>
  <c r="AE25" i="206"/>
  <c r="F255" i="187"/>
  <c r="F182" i="187"/>
  <c r="I62" i="188"/>
  <c r="L255" i="187"/>
  <c r="BE46" i="203"/>
  <c r="L13" i="189"/>
  <c r="BI13" i="206" s="1"/>
  <c r="J9" i="188"/>
  <c r="AV9" i="205" s="1"/>
  <c r="AM9" i="205"/>
  <c r="AT9" i="205" s="1"/>
  <c r="G255" i="187"/>
  <c r="K38" i="187"/>
  <c r="BE15" i="203" s="1"/>
  <c r="BL15" i="203" s="1"/>
  <c r="AM46" i="203"/>
  <c r="AT46" i="203" s="1"/>
  <c r="AV46" i="203"/>
  <c r="C33" i="187"/>
  <c r="C36" i="187" s="1"/>
  <c r="C67" i="187" s="1"/>
  <c r="K255" i="187"/>
  <c r="F15" i="196"/>
  <c r="AD16" i="206"/>
  <c r="H49" i="196"/>
  <c r="H48" i="196" s="1"/>
  <c r="H59" i="196" s="1"/>
  <c r="I43" i="176"/>
  <c r="H23" i="196"/>
  <c r="AD23" i="206" s="1"/>
  <c r="AE23" i="206" s="1"/>
  <c r="BE16" i="206"/>
  <c r="I48" i="176"/>
  <c r="K44" i="177"/>
  <c r="AI41" i="205"/>
  <c r="N23" i="205"/>
  <c r="E15" i="196"/>
  <c r="H18" i="196"/>
  <c r="AD18" i="206" s="1"/>
  <c r="AE18" i="206" s="1"/>
  <c r="I10" i="176"/>
  <c r="J10" i="176" s="1"/>
  <c r="K10" i="176" s="1"/>
  <c r="L10" i="176" s="1"/>
  <c r="I9" i="177"/>
  <c r="I11" i="177"/>
  <c r="I9" i="196"/>
  <c r="AM9" i="206" s="1"/>
  <c r="AO9" i="206" s="1"/>
  <c r="K11" i="196"/>
  <c r="BE11" i="206" s="1"/>
  <c r="BE39" i="206"/>
  <c r="BE46" i="206" s="1"/>
  <c r="H11" i="177"/>
  <c r="J9" i="177"/>
  <c r="J11" i="177"/>
  <c r="J9" i="196"/>
  <c r="AV9" i="206" s="1"/>
  <c r="AX9" i="206" s="1"/>
  <c r="BN39" i="206"/>
  <c r="BN46" i="206" s="1"/>
  <c r="K9" i="177"/>
  <c r="K9" i="196"/>
  <c r="BE9" i="206" s="1"/>
  <c r="BG9" i="206" s="1"/>
  <c r="L9" i="177"/>
  <c r="L9" i="196"/>
  <c r="BN9" i="206" s="1"/>
  <c r="AJ10" i="205"/>
  <c r="AJ8" i="205" s="1"/>
  <c r="AD39" i="206"/>
  <c r="AD46" i="206" s="1"/>
  <c r="AM39" i="206"/>
  <c r="AM46" i="206" s="1"/>
  <c r="H10" i="199"/>
  <c r="H8" i="199" s="1"/>
  <c r="H9" i="177"/>
  <c r="H9" i="196"/>
  <c r="AD9" i="206" s="1"/>
  <c r="AV39" i="206"/>
  <c r="AV46" i="206" s="1"/>
  <c r="F62" i="164"/>
  <c r="F10" i="192"/>
  <c r="AA10" i="206" s="1"/>
  <c r="F62" i="191"/>
  <c r="F63" i="164"/>
  <c r="F64" i="164"/>
  <c r="F60" i="191"/>
  <c r="F11" i="192"/>
  <c r="AA11" i="206" s="1"/>
  <c r="AF8" i="203"/>
  <c r="AF10" i="203" s="1"/>
  <c r="AF18" i="203"/>
  <c r="AJ18" i="203" s="1"/>
  <c r="AF30" i="203"/>
  <c r="AF31" i="203"/>
  <c r="AF32" i="203"/>
  <c r="AF33" i="203"/>
  <c r="AF34" i="203"/>
  <c r="AF38" i="203"/>
  <c r="AF39" i="203"/>
  <c r="F63" i="191"/>
  <c r="AF44" i="203"/>
  <c r="AF45" i="203"/>
  <c r="AF46" i="203"/>
  <c r="AF47" i="203"/>
  <c r="F61" i="191"/>
  <c r="F9" i="192"/>
  <c r="AA9" i="206" s="1"/>
  <c r="AF23" i="203"/>
  <c r="AF24" i="203"/>
  <c r="AF54" i="203"/>
  <c r="F60" i="164"/>
  <c r="F64" i="191"/>
  <c r="F35" i="192"/>
  <c r="AA31" i="206"/>
  <c r="AA35" i="206" s="1"/>
  <c r="E38" i="192"/>
  <c r="E43" i="192"/>
  <c r="AF25" i="203"/>
  <c r="AF26" i="203"/>
  <c r="AF27" i="203"/>
  <c r="AF28" i="203"/>
  <c r="F13" i="192"/>
  <c r="AA13" i="206" s="1"/>
  <c r="F43" i="192"/>
  <c r="AA39" i="206" s="1"/>
  <c r="AA46" i="206" s="1"/>
  <c r="AF11" i="203"/>
  <c r="AJ11" i="203" s="1"/>
  <c r="AF17" i="203"/>
  <c r="AJ17" i="203" s="1"/>
  <c r="D15" i="189"/>
  <c r="AE20" i="206"/>
  <c r="AE22" i="206"/>
  <c r="AE24" i="206"/>
  <c r="AE26" i="206"/>
  <c r="AE37" i="205"/>
  <c r="G15" i="189"/>
  <c r="Z15" i="206" s="1"/>
  <c r="Z16" i="206"/>
  <c r="AE16" i="206" s="1"/>
  <c r="E51" i="189"/>
  <c r="F51" i="189"/>
  <c r="G10" i="189"/>
  <c r="Z10" i="206" s="1"/>
  <c r="AE27" i="203"/>
  <c r="AE31" i="203"/>
  <c r="AE46" i="203"/>
  <c r="G13" i="189"/>
  <c r="Z13" i="206" s="1"/>
  <c r="AE24" i="203"/>
  <c r="AE15" i="203"/>
  <c r="AJ15" i="203" s="1"/>
  <c r="AE34" i="203"/>
  <c r="AE26" i="203"/>
  <c r="AE30" i="203"/>
  <c r="AE45" i="203"/>
  <c r="G9" i="189"/>
  <c r="Z9" i="206" s="1"/>
  <c r="G11" i="189"/>
  <c r="Z11" i="206" s="1"/>
  <c r="D43" i="189"/>
  <c r="AE8" i="203"/>
  <c r="AE23" i="203"/>
  <c r="AE39" i="203"/>
  <c r="AJ39" i="203" s="1"/>
  <c r="D38" i="189"/>
  <c r="E43" i="189"/>
  <c r="AE28" i="203"/>
  <c r="AE33" i="203"/>
  <c r="AE47" i="203"/>
  <c r="G35" i="189"/>
  <c r="Z32" i="206"/>
  <c r="F38" i="189"/>
  <c r="G43" i="189"/>
  <c r="Z39" i="206" s="1"/>
  <c r="AE7" i="203"/>
  <c r="AJ7" i="203" s="1"/>
  <c r="AE29" i="203"/>
  <c r="AE38" i="203"/>
  <c r="E46" i="201"/>
  <c r="D38" i="201"/>
  <c r="F51" i="201"/>
  <c r="AU46" i="206"/>
  <c r="H57" i="201"/>
  <c r="H56" i="201" s="1"/>
  <c r="AC41" i="206" s="1"/>
  <c r="AE41" i="206" s="1"/>
  <c r="AT33" i="205"/>
  <c r="F13" i="202"/>
  <c r="F23" i="202" s="1"/>
  <c r="I15" i="201"/>
  <c r="AL15" i="206" s="1"/>
  <c r="I69" i="201"/>
  <c r="E38" i="201"/>
  <c r="J15" i="201"/>
  <c r="AU15" i="206" s="1"/>
  <c r="D46" i="201"/>
  <c r="K15" i="201"/>
  <c r="BD15" i="206" s="1"/>
  <c r="D15" i="201"/>
  <c r="F38" i="201"/>
  <c r="BD46" i="206"/>
  <c r="D56" i="201"/>
  <c r="L15" i="201"/>
  <c r="BM15" i="206" s="1"/>
  <c r="BM46" i="206"/>
  <c r="E51" i="201"/>
  <c r="E56" i="201"/>
  <c r="F56" i="201"/>
  <c r="I17" i="202"/>
  <c r="AH17" i="205"/>
  <c r="E37" i="202"/>
  <c r="F37" i="202"/>
  <c r="H51" i="201"/>
  <c r="AC40" i="206" s="1"/>
  <c r="C37" i="202"/>
  <c r="C59" i="202" s="1"/>
  <c r="C23" i="202"/>
  <c r="D37" i="202"/>
  <c r="AZ60" i="203"/>
  <c r="C61" i="200"/>
  <c r="K61" i="200"/>
  <c r="AZ40" i="203"/>
  <c r="I132" i="184"/>
  <c r="J13" i="182" s="1"/>
  <c r="AT13" i="206" s="1"/>
  <c r="AX13" i="206" s="1"/>
  <c r="D148" i="6"/>
  <c r="D130" i="6" s="1"/>
  <c r="D141" i="6" s="1"/>
  <c r="AT35" i="206"/>
  <c r="AX35" i="206" s="1"/>
  <c r="J10" i="194"/>
  <c r="AO10" i="205"/>
  <c r="AO8" i="205" s="1"/>
  <c r="L70" i="194"/>
  <c r="K73" i="194"/>
  <c r="I70" i="194"/>
  <c r="J71" i="194"/>
  <c r="L73" i="194"/>
  <c r="I71" i="194"/>
  <c r="K71" i="194"/>
  <c r="I72" i="194"/>
  <c r="L71" i="194"/>
  <c r="D57" i="193"/>
  <c r="D58" i="193" s="1"/>
  <c r="I30" i="194"/>
  <c r="AO30" i="205" s="1"/>
  <c r="AT30" i="205" s="1"/>
  <c r="I73" i="194"/>
  <c r="J72" i="194"/>
  <c r="I74" i="194"/>
  <c r="K72" i="194"/>
  <c r="J70" i="194"/>
  <c r="L72" i="194"/>
  <c r="K70" i="194"/>
  <c r="J73" i="194"/>
  <c r="AC8" i="205"/>
  <c r="F23" i="205"/>
  <c r="AJ33" i="205"/>
  <c r="AE23" i="205"/>
  <c r="AX13" i="203"/>
  <c r="BP13" i="203"/>
  <c r="BP14" i="203" s="1"/>
  <c r="BP60" i="203"/>
  <c r="BG13" i="203"/>
  <c r="BG14" i="203" s="1"/>
  <c r="BG60" i="203"/>
  <c r="BR13" i="203"/>
  <c r="BR14" i="203" s="1"/>
  <c r="BR60" i="203"/>
  <c r="BI13" i="203"/>
  <c r="BI14" i="203" s="1"/>
  <c r="BI60" i="203"/>
  <c r="J10" i="188"/>
  <c r="AM10" i="205"/>
  <c r="AC13" i="205"/>
  <c r="H8" i="205"/>
  <c r="Z23" i="205"/>
  <c r="V8" i="205"/>
  <c r="H13" i="205"/>
  <c r="S23" i="205"/>
  <c r="AC33" i="205"/>
  <c r="AJ41" i="205"/>
  <c r="Y23" i="205"/>
  <c r="D53" i="205"/>
  <c r="T23" i="205"/>
  <c r="AC41" i="205"/>
  <c r="Q23" i="205"/>
  <c r="V13" i="205"/>
  <c r="O8" i="205"/>
  <c r="J23" i="205"/>
  <c r="V33" i="205"/>
  <c r="H41" i="205"/>
  <c r="O41" i="205"/>
  <c r="E61" i="200"/>
  <c r="E85" i="200"/>
  <c r="F61" i="200"/>
  <c r="F85" i="200"/>
  <c r="C85" i="200"/>
  <c r="D85" i="200"/>
  <c r="C120" i="200"/>
  <c r="C18" i="200"/>
  <c r="L120" i="200"/>
  <c r="L19" i="200"/>
  <c r="AO21" i="203"/>
  <c r="BE21" i="203"/>
  <c r="BN21" i="203"/>
  <c r="AP61" i="203"/>
  <c r="AP36" i="203"/>
  <c r="AP20" i="203"/>
  <c r="D169" i="193"/>
  <c r="E169" i="193"/>
  <c r="D61" i="200"/>
  <c r="G169" i="193"/>
  <c r="K98" i="184"/>
  <c r="J14" i="182"/>
  <c r="AT14" i="206" s="1"/>
  <c r="J10" i="182"/>
  <c r="AT10" i="206" s="1"/>
  <c r="J30" i="183"/>
  <c r="D23" i="204"/>
  <c r="F37" i="190"/>
  <c r="D37" i="190"/>
  <c r="H58" i="190"/>
  <c r="AN26" i="203" s="1"/>
  <c r="AN21" i="203" s="1"/>
  <c r="E37" i="190"/>
  <c r="AI10" i="203"/>
  <c r="AM21" i="203"/>
  <c r="AV21" i="203"/>
  <c r="AV10" i="203"/>
  <c r="AZ13" i="203"/>
  <c r="AZ14" i="203" s="1"/>
  <c r="H41" i="203"/>
  <c r="AM10" i="203"/>
  <c r="AJ16" i="203"/>
  <c r="V41" i="203"/>
  <c r="AQ13" i="203"/>
  <c r="AH10" i="203"/>
  <c r="V55" i="203"/>
  <c r="D13" i="203"/>
  <c r="D14" i="203" s="1"/>
  <c r="AJ12" i="203"/>
  <c r="AJ9" i="203"/>
  <c r="AC41" i="203"/>
  <c r="AI21" i="203"/>
  <c r="K23" i="198"/>
  <c r="BJ21" i="203" s="1"/>
  <c r="E23" i="198"/>
  <c r="E45" i="198" s="1"/>
  <c r="H23" i="198"/>
  <c r="C26" i="200"/>
  <c r="D26" i="200"/>
  <c r="E26" i="200"/>
  <c r="F26" i="200"/>
  <c r="H55" i="203"/>
  <c r="G13" i="203"/>
  <c r="O41" i="203"/>
  <c r="O55" i="203"/>
  <c r="AC55" i="203"/>
  <c r="E23" i="202"/>
  <c r="K24" i="200"/>
  <c r="K19" i="200"/>
  <c r="D120" i="200"/>
  <c r="D18" i="200"/>
  <c r="E120" i="200"/>
  <c r="E18" i="200"/>
  <c r="F120" i="200"/>
  <c r="F18" i="200"/>
  <c r="H120" i="200"/>
  <c r="I19" i="200"/>
  <c r="I24" i="200"/>
  <c r="J24" i="200"/>
  <c r="J19" i="200"/>
  <c r="I120" i="200"/>
  <c r="L55" i="200"/>
  <c r="J120" i="200"/>
  <c r="K120" i="200"/>
  <c r="L25" i="200"/>
  <c r="H18" i="200"/>
  <c r="F23" i="199"/>
  <c r="C55" i="199"/>
  <c r="C57" i="199" s="1"/>
  <c r="D23" i="199"/>
  <c r="H37" i="199"/>
  <c r="I43" i="199"/>
  <c r="I42" i="199" s="1"/>
  <c r="J44" i="182"/>
  <c r="AT40" i="206" s="1"/>
  <c r="I58" i="190"/>
  <c r="K16" i="199"/>
  <c r="BJ16" i="205" s="1"/>
  <c r="I45" i="199"/>
  <c r="J48" i="199"/>
  <c r="BA44" i="205" s="1"/>
  <c r="BA41" i="205" s="1"/>
  <c r="J26" i="199"/>
  <c r="BA26" i="205" s="1"/>
  <c r="J15" i="198"/>
  <c r="J92" i="198"/>
  <c r="C92" i="198"/>
  <c r="C15" i="198"/>
  <c r="L92" i="198"/>
  <c r="L15" i="198"/>
  <c r="D92" i="198"/>
  <c r="D15" i="198"/>
  <c r="E92" i="198"/>
  <c r="F92" i="198"/>
  <c r="F15" i="198"/>
  <c r="K21" i="198"/>
  <c r="K16" i="198"/>
  <c r="I15" i="198"/>
  <c r="E93" i="198"/>
  <c r="E22" i="198"/>
  <c r="E16" i="198"/>
  <c r="D67" i="196"/>
  <c r="K224" i="193"/>
  <c r="J222" i="193"/>
  <c r="L58" i="193"/>
  <c r="L77" i="193"/>
  <c r="I221" i="193"/>
  <c r="AO53" i="203" s="1"/>
  <c r="I10" i="195"/>
  <c r="AJ10" i="206" s="1"/>
  <c r="AO10" i="206" s="1"/>
  <c r="F221" i="193"/>
  <c r="I8" i="194"/>
  <c r="J25" i="195"/>
  <c r="AS25" i="206" s="1"/>
  <c r="K60" i="194"/>
  <c r="BG46" i="205" s="1"/>
  <c r="L48" i="194"/>
  <c r="K61" i="195"/>
  <c r="J18" i="195"/>
  <c r="AS18" i="206" s="1"/>
  <c r="J9" i="194"/>
  <c r="J49" i="194"/>
  <c r="K55" i="195"/>
  <c r="K19" i="194"/>
  <c r="BG19" i="205" s="1"/>
  <c r="J52" i="194"/>
  <c r="J47" i="194"/>
  <c r="J38" i="194" s="1"/>
  <c r="AX38" i="205" s="1"/>
  <c r="K56" i="194"/>
  <c r="BG42" i="205" s="1"/>
  <c r="BG41" i="205" s="1"/>
  <c r="K58" i="194"/>
  <c r="BG44" i="205" s="1"/>
  <c r="I62" i="195"/>
  <c r="I51" i="195" s="1"/>
  <c r="I18" i="195"/>
  <c r="L61" i="195"/>
  <c r="L46" i="194"/>
  <c r="L59" i="195" s="1"/>
  <c r="K58" i="195"/>
  <c r="L45" i="194"/>
  <c r="L58" i="195" s="1"/>
  <c r="J58" i="195"/>
  <c r="K56" i="195"/>
  <c r="L56" i="195"/>
  <c r="J56" i="195"/>
  <c r="J55" i="194"/>
  <c r="K18" i="195"/>
  <c r="BB18" i="206" s="1"/>
  <c r="J16" i="195"/>
  <c r="F76" i="195"/>
  <c r="G37" i="194"/>
  <c r="C23" i="194"/>
  <c r="C75" i="194" s="1"/>
  <c r="D23" i="194"/>
  <c r="D75" i="194" s="1"/>
  <c r="F23" i="194"/>
  <c r="F75" i="194" s="1"/>
  <c r="G23" i="194"/>
  <c r="G75" i="194" s="1"/>
  <c r="E13" i="194"/>
  <c r="E23" i="194" s="1"/>
  <c r="E75" i="194" s="1"/>
  <c r="K79" i="193"/>
  <c r="J79" i="193"/>
  <c r="L79" i="193"/>
  <c r="I79" i="193"/>
  <c r="E79" i="193"/>
  <c r="C79" i="193"/>
  <c r="F79" i="193"/>
  <c r="D79" i="193"/>
  <c r="G79" i="193"/>
  <c r="J242" i="193"/>
  <c r="L242" i="193"/>
  <c r="F57" i="193"/>
  <c r="F58" i="193" s="1"/>
  <c r="I57" i="193"/>
  <c r="C57" i="193"/>
  <c r="C242" i="193"/>
  <c r="K58" i="193"/>
  <c r="G242" i="193"/>
  <c r="G57" i="193"/>
  <c r="E242" i="193"/>
  <c r="E57" i="193"/>
  <c r="D77" i="193"/>
  <c r="K242" i="193"/>
  <c r="D242" i="193"/>
  <c r="F194" i="190"/>
  <c r="F207" i="190"/>
  <c r="J61" i="190"/>
  <c r="K61" i="190" s="1"/>
  <c r="K58" i="190" s="1"/>
  <c r="K224" i="190"/>
  <c r="D194" i="190"/>
  <c r="D207" i="190"/>
  <c r="E194" i="190"/>
  <c r="E207" i="190"/>
  <c r="I10" i="191"/>
  <c r="AW10" i="205" s="1"/>
  <c r="K22" i="192"/>
  <c r="BJ22" i="206" s="1"/>
  <c r="J22" i="192"/>
  <c r="BA22" i="206" s="1"/>
  <c r="J18" i="192"/>
  <c r="BA18" i="206" s="1"/>
  <c r="K16" i="191"/>
  <c r="BO16" i="205" s="1"/>
  <c r="C28" i="192"/>
  <c r="I63" i="192"/>
  <c r="J63" i="192"/>
  <c r="K63" i="192"/>
  <c r="F23" i="191"/>
  <c r="F65" i="191" s="1"/>
  <c r="D224" i="190"/>
  <c r="H20" i="190"/>
  <c r="H21" i="190" s="1"/>
  <c r="I224" i="190"/>
  <c r="I20" i="190"/>
  <c r="I21" i="190" s="1"/>
  <c r="C143" i="190"/>
  <c r="C207" i="190"/>
  <c r="J224" i="190"/>
  <c r="J20" i="190"/>
  <c r="D143" i="190"/>
  <c r="E143" i="190"/>
  <c r="C37" i="190"/>
  <c r="C35" i="190"/>
  <c r="C21" i="190"/>
  <c r="E35" i="190"/>
  <c r="E21" i="190"/>
  <c r="F20" i="190"/>
  <c r="F224" i="190"/>
  <c r="E224" i="190"/>
  <c r="K20" i="190"/>
  <c r="D20" i="190"/>
  <c r="C224" i="190"/>
  <c r="J62" i="188"/>
  <c r="D69" i="187"/>
  <c r="C182" i="187"/>
  <c r="D255" i="187"/>
  <c r="L67" i="187"/>
  <c r="L38" i="187" s="1"/>
  <c r="BN15" i="203" s="1"/>
  <c r="BU15" i="203" s="1"/>
  <c r="D239" i="187"/>
  <c r="J38" i="187"/>
  <c r="AV15" i="203" s="1"/>
  <c r="BC15" i="203" s="1"/>
  <c r="G182" i="187"/>
  <c r="F239" i="187"/>
  <c r="J255" i="187"/>
  <c r="L9" i="189"/>
  <c r="BI9" i="206" s="1"/>
  <c r="I63" i="188"/>
  <c r="F69" i="187"/>
  <c r="I64" i="188"/>
  <c r="F33" i="187"/>
  <c r="C239" i="187"/>
  <c r="C255" i="187"/>
  <c r="I65" i="188"/>
  <c r="K21" i="189"/>
  <c r="AZ21" i="206" s="1"/>
  <c r="L48" i="188"/>
  <c r="I47" i="188"/>
  <c r="J21" i="189"/>
  <c r="AQ21" i="206" s="1"/>
  <c r="K41" i="188"/>
  <c r="J25" i="189"/>
  <c r="AQ25" i="206" s="1"/>
  <c r="I66" i="188"/>
  <c r="G23" i="188"/>
  <c r="G67" i="188" s="1"/>
  <c r="J17" i="188"/>
  <c r="AV17" i="205" s="1"/>
  <c r="J19" i="188"/>
  <c r="AV19" i="205" s="1"/>
  <c r="E37" i="188"/>
  <c r="J51" i="189"/>
  <c r="AQ40" i="206" s="1"/>
  <c r="K38" i="188"/>
  <c r="J38" i="188"/>
  <c r="J63" i="188"/>
  <c r="J64" i="188"/>
  <c r="J65" i="188"/>
  <c r="J22" i="189"/>
  <c r="AQ22" i="206" s="1"/>
  <c r="K16" i="189"/>
  <c r="AZ16" i="206" s="1"/>
  <c r="K62" i="188"/>
  <c r="I68" i="189"/>
  <c r="F26" i="188"/>
  <c r="E23" i="188"/>
  <c r="E67" i="188" s="1"/>
  <c r="I69" i="187"/>
  <c r="G69" i="187"/>
  <c r="I255" i="187"/>
  <c r="AM53" i="203" s="1"/>
  <c r="D182" i="187"/>
  <c r="D33" i="187"/>
  <c r="E182" i="187"/>
  <c r="E255" i="187"/>
  <c r="E33" i="187"/>
  <c r="E69" i="187"/>
  <c r="C69" i="187"/>
  <c r="E239" i="187"/>
  <c r="I37" i="187"/>
  <c r="J37" i="187"/>
  <c r="K37" i="187"/>
  <c r="L37" i="187"/>
  <c r="J275" i="187"/>
  <c r="K275" i="187"/>
  <c r="L275" i="187"/>
  <c r="I44" i="177"/>
  <c r="H44" i="177"/>
  <c r="H15" i="177"/>
  <c r="H15" i="175"/>
  <c r="H92" i="175"/>
  <c r="J92" i="175"/>
  <c r="K92" i="175"/>
  <c r="L92" i="175"/>
  <c r="I15" i="175"/>
  <c r="I92" i="175"/>
  <c r="K15" i="175"/>
  <c r="J15" i="175"/>
  <c r="L15" i="175"/>
  <c r="G31" i="167"/>
  <c r="G13" i="167"/>
  <c r="F37" i="164"/>
  <c r="F15" i="163"/>
  <c r="F38" i="163"/>
  <c r="F11" i="163"/>
  <c r="F35" i="163"/>
  <c r="F13" i="163"/>
  <c r="F43" i="163"/>
  <c r="G51" i="148"/>
  <c r="G8" i="149"/>
  <c r="G23" i="149" s="1"/>
  <c r="G67" i="149" s="1"/>
  <c r="G43" i="148"/>
  <c r="G64" i="167"/>
  <c r="G39" i="167"/>
  <c r="G51" i="167"/>
  <c r="G37" i="168"/>
  <c r="G23" i="168"/>
  <c r="G75" i="168" s="1"/>
  <c r="G79" i="166"/>
  <c r="G221" i="166"/>
  <c r="G7" i="166"/>
  <c r="AG8" i="203" s="1"/>
  <c r="AG10" i="203" s="1"/>
  <c r="AO60" i="203" s="1"/>
  <c r="G169" i="166"/>
  <c r="F23" i="164"/>
  <c r="F65" i="164" s="1"/>
  <c r="F194" i="162"/>
  <c r="F143" i="162"/>
  <c r="F207" i="162"/>
  <c r="F37" i="162"/>
  <c r="F20" i="162"/>
  <c r="G38" i="148"/>
  <c r="G37" i="149"/>
  <c r="G255" i="147"/>
  <c r="G33" i="147"/>
  <c r="G66" i="188" s="1"/>
  <c r="G239" i="147"/>
  <c r="G182" i="147"/>
  <c r="G69" i="147"/>
  <c r="L40" i="182"/>
  <c r="BL39" i="206" s="1"/>
  <c r="J40" i="182"/>
  <c r="AT39" i="206" s="1"/>
  <c r="K40" i="182"/>
  <c r="BC39" i="206" s="1"/>
  <c r="AX21" i="206" l="1"/>
  <c r="E76" i="195"/>
  <c r="I15" i="189"/>
  <c r="AH15" i="206" s="1"/>
  <c r="I275" i="187"/>
  <c r="G275" i="187"/>
  <c r="AJ29" i="203"/>
  <c r="AX39" i="206"/>
  <c r="I92" i="198"/>
  <c r="H15" i="198"/>
  <c r="C128" i="6"/>
  <c r="C133" i="6"/>
  <c r="C132" i="6"/>
  <c r="C130" i="6"/>
  <c r="C131" i="6"/>
  <c r="I10" i="199"/>
  <c r="AR10" i="205" s="1"/>
  <c r="AR8" i="205" s="1"/>
  <c r="I37" i="199"/>
  <c r="AR39" i="205"/>
  <c r="AR37" i="205" s="1"/>
  <c r="J43" i="199"/>
  <c r="I15" i="195"/>
  <c r="AJ15" i="206" s="1"/>
  <c r="AJ18" i="206"/>
  <c r="AX25" i="206"/>
  <c r="K63" i="194"/>
  <c r="AX49" i="205"/>
  <c r="J19" i="195"/>
  <c r="AS19" i="206" s="1"/>
  <c r="AX17" i="205"/>
  <c r="J74" i="194"/>
  <c r="AS16" i="206"/>
  <c r="K21" i="194"/>
  <c r="AX21" i="205"/>
  <c r="AX41" i="205"/>
  <c r="AO41" i="205"/>
  <c r="K17" i="194"/>
  <c r="AX11" i="205"/>
  <c r="K11" i="194"/>
  <c r="K9" i="194"/>
  <c r="AX9" i="205"/>
  <c r="J20" i="195"/>
  <c r="AS20" i="206" s="1"/>
  <c r="AX19" i="205"/>
  <c r="K26" i="194"/>
  <c r="AX26" i="205"/>
  <c r="AB46" i="206"/>
  <c r="I76" i="195"/>
  <c r="AJ40" i="206"/>
  <c r="AJ46" i="206" s="1"/>
  <c r="AW9" i="205"/>
  <c r="J9" i="191"/>
  <c r="K61" i="191"/>
  <c r="AW17" i="205"/>
  <c r="I19" i="192"/>
  <c r="J17" i="191"/>
  <c r="AI19" i="206"/>
  <c r="AO19" i="206" s="1"/>
  <c r="H15" i="192"/>
  <c r="AI15" i="206" s="1"/>
  <c r="BF21" i="205"/>
  <c r="K21" i="191"/>
  <c r="BO21" i="205" s="1"/>
  <c r="AW11" i="205"/>
  <c r="AW8" i="205" s="1"/>
  <c r="J11" i="191"/>
  <c r="AW38" i="205"/>
  <c r="AW37" i="205" s="1"/>
  <c r="J38" i="191"/>
  <c r="I37" i="191"/>
  <c r="AW26" i="205"/>
  <c r="J26" i="191"/>
  <c r="BF44" i="205"/>
  <c r="BF41" i="205" s="1"/>
  <c r="J45" i="191"/>
  <c r="J23" i="192"/>
  <c r="BA23" i="206" s="1"/>
  <c r="K48" i="191"/>
  <c r="AW39" i="205"/>
  <c r="J42" i="191"/>
  <c r="K63" i="191"/>
  <c r="AW19" i="205"/>
  <c r="I20" i="192"/>
  <c r="AR20" i="206" s="1"/>
  <c r="J19" i="191"/>
  <c r="AE38" i="206"/>
  <c r="J37" i="188"/>
  <c r="AV38" i="205"/>
  <c r="L21" i="189"/>
  <c r="BI21" i="206" s="1"/>
  <c r="BN42" i="205"/>
  <c r="K55" i="188"/>
  <c r="AV49" i="205"/>
  <c r="K37" i="188"/>
  <c r="BE38" i="205"/>
  <c r="K52" i="188"/>
  <c r="AV46" i="205"/>
  <c r="BC46" i="205" s="1"/>
  <c r="K11" i="188"/>
  <c r="AV11" i="205"/>
  <c r="K50" i="188"/>
  <c r="AV44" i="205"/>
  <c r="BC44" i="205" s="1"/>
  <c r="J23" i="189"/>
  <c r="AQ23" i="206" s="1"/>
  <c r="BC42" i="205"/>
  <c r="BL42" i="205"/>
  <c r="AT38" i="205"/>
  <c r="AM37" i="205"/>
  <c r="J47" i="188"/>
  <c r="AM41" i="205"/>
  <c r="AT42" i="205"/>
  <c r="AT41" i="205" s="1"/>
  <c r="K21" i="188"/>
  <c r="AV21" i="205"/>
  <c r="BC21" i="205" s="1"/>
  <c r="AE40" i="206"/>
  <c r="BP9" i="206"/>
  <c r="AG21" i="203"/>
  <c r="G76" i="195"/>
  <c r="AJ44" i="203"/>
  <c r="D275" i="187"/>
  <c r="C275" i="187"/>
  <c r="C37" i="187"/>
  <c r="H33" i="187"/>
  <c r="H37" i="190"/>
  <c r="AX60" i="203"/>
  <c r="AJ32" i="203"/>
  <c r="AJ25" i="203"/>
  <c r="AG53" i="203"/>
  <c r="AJ54" i="203"/>
  <c r="AG40" i="203"/>
  <c r="Z46" i="206"/>
  <c r="H60" i="209"/>
  <c r="H61" i="209" s="1"/>
  <c r="H63" i="209" s="1"/>
  <c r="K12" i="209"/>
  <c r="BF8" i="206"/>
  <c r="D69" i="201"/>
  <c r="BL46" i="206"/>
  <c r="BP39" i="206"/>
  <c r="BC46" i="206"/>
  <c r="BG39" i="206"/>
  <c r="H136" i="6"/>
  <c r="H139" i="6"/>
  <c r="E182" i="6"/>
  <c r="F179" i="6"/>
  <c r="AW60" i="203"/>
  <c r="BF60" i="203"/>
  <c r="AE13" i="206"/>
  <c r="AO39" i="206"/>
  <c r="AQ46" i="206"/>
  <c r="AO38" i="206"/>
  <c r="AE11" i="206"/>
  <c r="AE10" i="206"/>
  <c r="H23" i="205"/>
  <c r="O23" i="205"/>
  <c r="AT10" i="205"/>
  <c r="AT8" i="205" s="1"/>
  <c r="AC23" i="205"/>
  <c r="BT48" i="203"/>
  <c r="BT62" i="203"/>
  <c r="BT43" i="203"/>
  <c r="AJ23" i="203"/>
  <c r="AJ8" i="203"/>
  <c r="AJ38" i="203"/>
  <c r="AJ28" i="203"/>
  <c r="AJ46" i="203"/>
  <c r="AX19" i="203"/>
  <c r="AX36" i="203" s="1"/>
  <c r="AJ27" i="203"/>
  <c r="AJ45" i="203"/>
  <c r="AJ31" i="203"/>
  <c r="BK48" i="203"/>
  <c r="BK62" i="203"/>
  <c r="BK43" i="203"/>
  <c r="BO60" i="203"/>
  <c r="AJ47" i="203"/>
  <c r="AT53" i="203"/>
  <c r="AJ30" i="203"/>
  <c r="AT26" i="203"/>
  <c r="BB48" i="203"/>
  <c r="BB62" i="203"/>
  <c r="BB43" i="203"/>
  <c r="BO13" i="203"/>
  <c r="BO14" i="203" s="1"/>
  <c r="BN60" i="203"/>
  <c r="AT9" i="203"/>
  <c r="AT10" i="203"/>
  <c r="AT21" i="203"/>
  <c r="AF21" i="203"/>
  <c r="AJ33" i="203"/>
  <c r="BN14" i="203"/>
  <c r="BI19" i="203"/>
  <c r="BI36" i="203" s="1"/>
  <c r="AS48" i="203"/>
  <c r="AS62" i="203"/>
  <c r="AS43" i="203"/>
  <c r="AJ26" i="203"/>
  <c r="AE21" i="203"/>
  <c r="AJ34" i="203"/>
  <c r="AE10" i="203"/>
  <c r="AJ10" i="203" s="1"/>
  <c r="AJ24" i="203"/>
  <c r="AX14" i="203"/>
  <c r="L8" i="208"/>
  <c r="K8" i="208"/>
  <c r="L41" i="208"/>
  <c r="L37" i="208" s="1"/>
  <c r="K41" i="208"/>
  <c r="K37" i="208" s="1"/>
  <c r="K44" i="208"/>
  <c r="L44" i="208"/>
  <c r="L44" i="207"/>
  <c r="L51" i="207"/>
  <c r="J52" i="207"/>
  <c r="J63" i="207"/>
  <c r="J8" i="209" s="1"/>
  <c r="J87" i="207"/>
  <c r="K64" i="207"/>
  <c r="K70" i="207"/>
  <c r="K71" i="207" s="1"/>
  <c r="K81" i="207"/>
  <c r="K29" i="208" s="1"/>
  <c r="BK29" i="205" s="1"/>
  <c r="K88" i="207"/>
  <c r="F44" i="207"/>
  <c r="F51" i="207"/>
  <c r="H44" i="207"/>
  <c r="H51" i="207"/>
  <c r="C51" i="207"/>
  <c r="C44" i="207"/>
  <c r="D44" i="207"/>
  <c r="D51" i="207"/>
  <c r="I52" i="207"/>
  <c r="I63" i="207"/>
  <c r="I87" i="207"/>
  <c r="E44" i="207"/>
  <c r="E51" i="207"/>
  <c r="K178" i="6"/>
  <c r="H131" i="6"/>
  <c r="H138" i="6"/>
  <c r="H134" i="6"/>
  <c r="H135" i="6"/>
  <c r="H133" i="6"/>
  <c r="H137" i="6"/>
  <c r="L42" i="183"/>
  <c r="L48" i="182" s="1"/>
  <c r="BH39" i="205"/>
  <c r="BH53" i="203"/>
  <c r="K10" i="182"/>
  <c r="BC10" i="206" s="1"/>
  <c r="K145" i="184"/>
  <c r="L10" i="182" s="1"/>
  <c r="BL10" i="206" s="1"/>
  <c r="J132" i="184"/>
  <c r="K13" i="182" s="1"/>
  <c r="BC13" i="206" s="1"/>
  <c r="BG13" i="206" s="1"/>
  <c r="J10" i="183"/>
  <c r="J8" i="183" s="1"/>
  <c r="AY46" i="203"/>
  <c r="BC46" i="203" s="1"/>
  <c r="BE13" i="203"/>
  <c r="BE60" i="203"/>
  <c r="E275" i="187"/>
  <c r="BA10" i="203"/>
  <c r="BJ10" i="203"/>
  <c r="BS10" i="203"/>
  <c r="E69" i="201"/>
  <c r="BR19" i="203"/>
  <c r="BR36" i="203" s="1"/>
  <c r="I77" i="193"/>
  <c r="I61" i="193" s="1"/>
  <c r="AO17" i="203" s="1"/>
  <c r="AO19" i="203" s="1"/>
  <c r="L61" i="193"/>
  <c r="BP17" i="203" s="1"/>
  <c r="BP19" i="203" s="1"/>
  <c r="BP20" i="203" s="1"/>
  <c r="BG17" i="203"/>
  <c r="BG19" i="203" s="1"/>
  <c r="K9" i="188"/>
  <c r="J8" i="188"/>
  <c r="F36" i="187"/>
  <c r="F37" i="187" s="1"/>
  <c r="I18" i="177"/>
  <c r="J43" i="176"/>
  <c r="I49" i="177"/>
  <c r="I48" i="177" s="1"/>
  <c r="I49" i="196"/>
  <c r="I48" i="196" s="1"/>
  <c r="I59" i="196" s="1"/>
  <c r="I18" i="196"/>
  <c r="AM18" i="206" s="1"/>
  <c r="J48" i="176"/>
  <c r="I45" i="176"/>
  <c r="I23" i="196"/>
  <c r="AM23" i="206" s="1"/>
  <c r="AO23" i="206" s="1"/>
  <c r="I23" i="177"/>
  <c r="H15" i="196"/>
  <c r="AD15" i="206" s="1"/>
  <c r="AE39" i="206"/>
  <c r="AF53" i="203"/>
  <c r="AF40" i="203"/>
  <c r="AF50" i="203"/>
  <c r="AE9" i="206"/>
  <c r="AE31" i="206"/>
  <c r="AE32" i="206"/>
  <c r="Z35" i="206"/>
  <c r="AE35" i="206" s="1"/>
  <c r="AE40" i="203"/>
  <c r="AE50" i="203"/>
  <c r="AE53" i="203"/>
  <c r="G63" i="188"/>
  <c r="G65" i="188"/>
  <c r="G62" i="188"/>
  <c r="G64" i="149"/>
  <c r="G64" i="188"/>
  <c r="G65" i="149"/>
  <c r="C61" i="202"/>
  <c r="H69" i="201"/>
  <c r="AJ17" i="205"/>
  <c r="J17" i="202"/>
  <c r="AQ17" i="205"/>
  <c r="AT17" i="205" s="1"/>
  <c r="AC46" i="206"/>
  <c r="AC19" i="206"/>
  <c r="AE19" i="206" s="1"/>
  <c r="H15" i="201"/>
  <c r="L61" i="200"/>
  <c r="BR40" i="203" s="1"/>
  <c r="BI40" i="203"/>
  <c r="K30" i="183"/>
  <c r="AY30" i="205"/>
  <c r="K10" i="194"/>
  <c r="K8" i="194" s="1"/>
  <c r="AX10" i="205"/>
  <c r="AX8" i="205" s="1"/>
  <c r="AI13" i="203"/>
  <c r="AI14" i="203" s="1"/>
  <c r="BN19" i="203"/>
  <c r="AN60" i="203"/>
  <c r="AV60" i="203"/>
  <c r="AO14" i="203"/>
  <c r="AR60" i="203"/>
  <c r="AH13" i="203"/>
  <c r="AH19" i="203" s="1"/>
  <c r="AQ60" i="203"/>
  <c r="AG13" i="203"/>
  <c r="AG19" i="203" s="1"/>
  <c r="AM8" i="205"/>
  <c r="K10" i="188"/>
  <c r="AV10" i="205"/>
  <c r="V23" i="205"/>
  <c r="C19" i="200"/>
  <c r="C24" i="200"/>
  <c r="AF13" i="203"/>
  <c r="AF14" i="203" s="1"/>
  <c r="AP42" i="203"/>
  <c r="AP37" i="203"/>
  <c r="I37" i="190"/>
  <c r="AW26" i="203"/>
  <c r="K37" i="190"/>
  <c r="BO26" i="203"/>
  <c r="AZ19" i="203"/>
  <c r="AZ36" i="203" s="1"/>
  <c r="AV13" i="203"/>
  <c r="D19" i="203"/>
  <c r="D36" i="203" s="1"/>
  <c r="AM13" i="203"/>
  <c r="AQ19" i="203"/>
  <c r="AQ14" i="203"/>
  <c r="AR19" i="203"/>
  <c r="AR14" i="203"/>
  <c r="AN14" i="203"/>
  <c r="G19" i="203"/>
  <c r="G14" i="203"/>
  <c r="I26" i="202"/>
  <c r="AQ26" i="205" s="1"/>
  <c r="L56" i="200"/>
  <c r="F24" i="200"/>
  <c r="F19" i="200"/>
  <c r="E24" i="200"/>
  <c r="E19" i="200"/>
  <c r="D24" i="200"/>
  <c r="D19" i="200"/>
  <c r="I55" i="200"/>
  <c r="I121" i="200"/>
  <c r="I25" i="200"/>
  <c r="H24" i="200"/>
  <c r="H19" i="200"/>
  <c r="J55" i="200"/>
  <c r="J121" i="200"/>
  <c r="J25" i="200"/>
  <c r="K121" i="200"/>
  <c r="K25" i="200"/>
  <c r="K55" i="200"/>
  <c r="K26" i="199"/>
  <c r="BJ26" i="205" s="1"/>
  <c r="L16" i="199"/>
  <c r="BS16" i="205" s="1"/>
  <c r="J45" i="199"/>
  <c r="K48" i="199"/>
  <c r="BJ44" i="205" s="1"/>
  <c r="BJ41" i="205" s="1"/>
  <c r="K43" i="199"/>
  <c r="J42" i="199"/>
  <c r="D21" i="198"/>
  <c r="D16" i="198"/>
  <c r="I21" i="198"/>
  <c r="I16" i="198"/>
  <c r="H21" i="198"/>
  <c r="H16" i="198"/>
  <c r="F21" i="198"/>
  <c r="F16" i="198"/>
  <c r="C21" i="198"/>
  <c r="C16" i="198"/>
  <c r="E54" i="198"/>
  <c r="E46" i="198"/>
  <c r="L21" i="198"/>
  <c r="L16" i="198"/>
  <c r="K45" i="198"/>
  <c r="K93" i="198"/>
  <c r="K22" i="198"/>
  <c r="J16" i="198"/>
  <c r="J21" i="198"/>
  <c r="J10" i="195"/>
  <c r="AS10" i="206" s="1"/>
  <c r="AX10" i="206" s="1"/>
  <c r="J30" i="194"/>
  <c r="AX30" i="205" s="1"/>
  <c r="J221" i="193"/>
  <c r="AX53" i="203" s="1"/>
  <c r="BC53" i="203" s="1"/>
  <c r="J14" i="195"/>
  <c r="AS14" i="206" s="1"/>
  <c r="AX14" i="206" s="1"/>
  <c r="F77" i="193"/>
  <c r="F78" i="193" s="1"/>
  <c r="K222" i="193"/>
  <c r="L224" i="193"/>
  <c r="L222" i="193" s="1"/>
  <c r="L17" i="194"/>
  <c r="K19" i="195"/>
  <c r="BB19" i="206" s="1"/>
  <c r="L56" i="194"/>
  <c r="K21" i="195"/>
  <c r="BB21" i="206" s="1"/>
  <c r="BG21" i="206" s="1"/>
  <c r="K47" i="194"/>
  <c r="J60" i="195"/>
  <c r="L19" i="194"/>
  <c r="K20" i="195"/>
  <c r="BB20" i="206" s="1"/>
  <c r="K25" i="195"/>
  <c r="BB25" i="206" s="1"/>
  <c r="L60" i="194"/>
  <c r="J51" i="195"/>
  <c r="AS40" i="206" s="1"/>
  <c r="AS46" i="206" s="1"/>
  <c r="J8" i="194"/>
  <c r="J51" i="194"/>
  <c r="AX39" i="205" s="1"/>
  <c r="AX37" i="205" s="1"/>
  <c r="K52" i="194"/>
  <c r="K23" i="195"/>
  <c r="BB23" i="206" s="1"/>
  <c r="L58" i="194"/>
  <c r="K49" i="194"/>
  <c r="J62" i="195"/>
  <c r="K22" i="195"/>
  <c r="BB22" i="206" s="1"/>
  <c r="K55" i="194"/>
  <c r="L18" i="195"/>
  <c r="BK18" i="206" s="1"/>
  <c r="K16" i="195"/>
  <c r="I58" i="193"/>
  <c r="J157" i="193"/>
  <c r="J243" i="193"/>
  <c r="G77" i="193"/>
  <c r="G58" i="193"/>
  <c r="D157" i="193"/>
  <c r="D243" i="193"/>
  <c r="D78" i="193"/>
  <c r="L157" i="193"/>
  <c r="L243" i="193"/>
  <c r="E77" i="193"/>
  <c r="E58" i="193"/>
  <c r="K157" i="193"/>
  <c r="K243" i="193"/>
  <c r="C58" i="193"/>
  <c r="C77" i="193"/>
  <c r="H35" i="190"/>
  <c r="H24" i="190" s="1"/>
  <c r="AN17" i="203" s="1"/>
  <c r="J35" i="190"/>
  <c r="J24" i="190" s="1"/>
  <c r="BF17" i="203" s="1"/>
  <c r="J58" i="190"/>
  <c r="K35" i="190"/>
  <c r="K24" i="190" s="1"/>
  <c r="BO17" i="203" s="1"/>
  <c r="I35" i="190"/>
  <c r="I225" i="190" s="1"/>
  <c r="I8" i="191"/>
  <c r="J10" i="191"/>
  <c r="BF10" i="205" s="1"/>
  <c r="K18" i="192"/>
  <c r="BJ18" i="206" s="1"/>
  <c r="J16" i="192"/>
  <c r="J21" i="190"/>
  <c r="D35" i="190"/>
  <c r="D21" i="190"/>
  <c r="E129" i="190"/>
  <c r="E36" i="190"/>
  <c r="E225" i="190"/>
  <c r="K21" i="190"/>
  <c r="F35" i="190"/>
  <c r="F21" i="190"/>
  <c r="C129" i="190"/>
  <c r="C36" i="190"/>
  <c r="C225" i="190"/>
  <c r="K19" i="188"/>
  <c r="BE19" i="205" s="1"/>
  <c r="J20" i="189"/>
  <c r="AQ20" i="206" s="1"/>
  <c r="J19" i="189"/>
  <c r="K17" i="188"/>
  <c r="BE17" i="205" s="1"/>
  <c r="J66" i="188"/>
  <c r="K54" i="189"/>
  <c r="K51" i="189" s="1"/>
  <c r="AZ40" i="206" s="1"/>
  <c r="L41" i="188"/>
  <c r="K65" i="188"/>
  <c r="K18" i="189"/>
  <c r="AZ18" i="206" s="1"/>
  <c r="K63" i="188"/>
  <c r="K64" i="188"/>
  <c r="K22" i="189"/>
  <c r="AZ22" i="206" s="1"/>
  <c r="L62" i="188"/>
  <c r="L16" i="189"/>
  <c r="BI16" i="206" s="1"/>
  <c r="G26" i="188"/>
  <c r="F275" i="187"/>
  <c r="E36" i="187"/>
  <c r="E37" i="187" s="1"/>
  <c r="D36" i="187"/>
  <c r="D37" i="187" s="1"/>
  <c r="C68" i="187"/>
  <c r="C169" i="187"/>
  <c r="C276" i="187"/>
  <c r="I169" i="187"/>
  <c r="I276" i="187"/>
  <c r="G37" i="187"/>
  <c r="G67" i="187"/>
  <c r="L169" i="187"/>
  <c r="L276" i="187"/>
  <c r="K169" i="187"/>
  <c r="K276" i="187"/>
  <c r="J169" i="187"/>
  <c r="J276" i="187"/>
  <c r="H21" i="175"/>
  <c r="H16" i="175"/>
  <c r="J21" i="175"/>
  <c r="J16" i="175"/>
  <c r="L16" i="175"/>
  <c r="L21" i="175"/>
  <c r="K21" i="175"/>
  <c r="K16" i="175"/>
  <c r="I16" i="175"/>
  <c r="I21" i="175"/>
  <c r="G76" i="167"/>
  <c r="G52" i="166"/>
  <c r="F35" i="162"/>
  <c r="F21" i="162"/>
  <c r="G36" i="147"/>
  <c r="G67" i="147" s="1"/>
  <c r="G66" i="149"/>
  <c r="G63" i="149"/>
  <c r="G62" i="149"/>
  <c r="AO18" i="206" l="1"/>
  <c r="AG36" i="203"/>
  <c r="J10" i="199"/>
  <c r="BA10" i="205" s="1"/>
  <c r="BA8" i="205" s="1"/>
  <c r="I8" i="199"/>
  <c r="I60" i="209"/>
  <c r="I61" i="209" s="1"/>
  <c r="J37" i="199"/>
  <c r="BA39" i="205"/>
  <c r="BA37" i="205" s="1"/>
  <c r="L26" i="194"/>
  <c r="BP26" i="205" s="1"/>
  <c r="BG26" i="205"/>
  <c r="J15" i="195"/>
  <c r="AS15" i="206" s="1"/>
  <c r="L19" i="195"/>
  <c r="BK19" i="206" s="1"/>
  <c r="BP17" i="205"/>
  <c r="L74" i="194"/>
  <c r="K15" i="195"/>
  <c r="BB15" i="206" s="1"/>
  <c r="BB16" i="206"/>
  <c r="L21" i="194"/>
  <c r="BP21" i="205" s="1"/>
  <c r="BG21" i="205"/>
  <c r="L25" i="195"/>
  <c r="BK25" i="206" s="1"/>
  <c r="BP46" i="205"/>
  <c r="L20" i="195"/>
  <c r="BK20" i="206" s="1"/>
  <c r="BP19" i="205"/>
  <c r="L9" i="194"/>
  <c r="BP9" i="205" s="1"/>
  <c r="BG9" i="205"/>
  <c r="BG11" i="205"/>
  <c r="L11" i="194"/>
  <c r="BP11" i="205" s="1"/>
  <c r="L63" i="194"/>
  <c r="BP49" i="205" s="1"/>
  <c r="BG49" i="205"/>
  <c r="L23" i="195"/>
  <c r="BK23" i="206" s="1"/>
  <c r="BP44" i="205"/>
  <c r="J37" i="194"/>
  <c r="BC19" i="205"/>
  <c r="BC9" i="205"/>
  <c r="BG17" i="205"/>
  <c r="K74" i="194"/>
  <c r="L21" i="195"/>
  <c r="BK21" i="206" s="1"/>
  <c r="BP21" i="206" s="1"/>
  <c r="BP42" i="205"/>
  <c r="BC49" i="205"/>
  <c r="BC39" i="205"/>
  <c r="AX40" i="206"/>
  <c r="AO40" i="206"/>
  <c r="AT17" i="203"/>
  <c r="BF26" i="205"/>
  <c r="K26" i="191"/>
  <c r="BO26" i="205" s="1"/>
  <c r="BC11" i="205"/>
  <c r="BF17" i="205"/>
  <c r="K17" i="191"/>
  <c r="J19" i="192"/>
  <c r="BA19" i="206" s="1"/>
  <c r="J64" i="191"/>
  <c r="BF38" i="205"/>
  <c r="BF37" i="205" s="1"/>
  <c r="J37" i="191"/>
  <c r="K38" i="191"/>
  <c r="AR19" i="206"/>
  <c r="I15" i="192"/>
  <c r="AR15" i="206" s="1"/>
  <c r="BL19" i="205"/>
  <c r="BF39" i="205"/>
  <c r="K42" i="191"/>
  <c r="BO39" i="205" s="1"/>
  <c r="BF19" i="205"/>
  <c r="J20" i="192"/>
  <c r="BA20" i="206" s="1"/>
  <c r="K19" i="191"/>
  <c r="J15" i="192"/>
  <c r="BA15" i="206" s="1"/>
  <c r="BA16" i="206"/>
  <c r="BF9" i="205"/>
  <c r="BF8" i="205" s="1"/>
  <c r="K9" i="191"/>
  <c r="BO9" i="205" s="1"/>
  <c r="BO44" i="205"/>
  <c r="BO41" i="205" s="1"/>
  <c r="K23" i="192"/>
  <c r="BJ23" i="206" s="1"/>
  <c r="K45" i="191"/>
  <c r="BF11" i="205"/>
  <c r="K11" i="191"/>
  <c r="BO11" i="205" s="1"/>
  <c r="BE46" i="205"/>
  <c r="BL46" i="205" s="1"/>
  <c r="K25" i="189"/>
  <c r="AZ25" i="206" s="1"/>
  <c r="BG25" i="206" s="1"/>
  <c r="L52" i="188"/>
  <c r="L47" i="188" s="1"/>
  <c r="BE37" i="205"/>
  <c r="L11" i="188"/>
  <c r="BN11" i="205" s="1"/>
  <c r="BU11" i="205" s="1"/>
  <c r="BE11" i="205"/>
  <c r="BL11" i="205" s="1"/>
  <c r="AV41" i="205"/>
  <c r="J15" i="189"/>
  <c r="AQ15" i="206" s="1"/>
  <c r="AQ19" i="206"/>
  <c r="L55" i="188"/>
  <c r="BN49" i="205" s="1"/>
  <c r="BE49" i="205"/>
  <c r="BU42" i="205"/>
  <c r="L21" i="188"/>
  <c r="BN21" i="205" s="1"/>
  <c r="BE21" i="205"/>
  <c r="BE44" i="205"/>
  <c r="K47" i="188"/>
  <c r="K23" i="189"/>
  <c r="AZ23" i="206" s="1"/>
  <c r="L50" i="188"/>
  <c r="AV37" i="205"/>
  <c r="BC38" i="205"/>
  <c r="BC37" i="205" s="1"/>
  <c r="AE46" i="206"/>
  <c r="BC30" i="205"/>
  <c r="H225" i="190"/>
  <c r="J225" i="190"/>
  <c r="I129" i="190"/>
  <c r="I170" i="190" s="1"/>
  <c r="I24" i="190"/>
  <c r="AW17" i="203" s="1"/>
  <c r="AW19" i="203" s="1"/>
  <c r="AW61" i="203" s="1"/>
  <c r="E67" i="187"/>
  <c r="E68" i="187" s="1"/>
  <c r="G70" i="194"/>
  <c r="G72" i="194"/>
  <c r="G71" i="194"/>
  <c r="G74" i="194"/>
  <c r="G73" i="194"/>
  <c r="AM60" i="203"/>
  <c r="AJ53" i="203"/>
  <c r="J12" i="209"/>
  <c r="AW8" i="206"/>
  <c r="K28" i="209"/>
  <c r="BF12" i="206"/>
  <c r="AX61" i="203"/>
  <c r="AX20" i="203"/>
  <c r="G179" i="6"/>
  <c r="F182" i="6"/>
  <c r="BH37" i="205"/>
  <c r="BT49" i="203"/>
  <c r="BT56" i="203"/>
  <c r="BT63" i="203"/>
  <c r="BT51" i="203"/>
  <c r="BI20" i="203"/>
  <c r="AJ21" i="203"/>
  <c r="BI61" i="203"/>
  <c r="BK49" i="203"/>
  <c r="BK63" i="203"/>
  <c r="BK56" i="203"/>
  <c r="BK51" i="203"/>
  <c r="AI19" i="203"/>
  <c r="AI36" i="203" s="1"/>
  <c r="AJ40" i="203"/>
  <c r="BB49" i="203"/>
  <c r="BB63" i="203"/>
  <c r="BB56" i="203"/>
  <c r="BB51" i="203"/>
  <c r="AV14" i="203"/>
  <c r="BO19" i="203"/>
  <c r="BO20" i="203" s="1"/>
  <c r="BN36" i="203"/>
  <c r="BF19" i="203"/>
  <c r="BF20" i="203" s="1"/>
  <c r="AS49" i="203"/>
  <c r="AS63" i="203"/>
  <c r="AS56" i="203"/>
  <c r="AS51" i="203"/>
  <c r="AT13" i="203"/>
  <c r="AT14" i="203" s="1"/>
  <c r="AE13" i="203"/>
  <c r="AE19" i="203" s="1"/>
  <c r="AE61" i="203" s="1"/>
  <c r="AF19" i="203"/>
  <c r="AF36" i="203" s="1"/>
  <c r="I18" i="208"/>
  <c r="J60" i="209"/>
  <c r="L63" i="207"/>
  <c r="L8" i="209" s="1"/>
  <c r="L87" i="207"/>
  <c r="L52" i="207"/>
  <c r="K89" i="207"/>
  <c r="K82" i="207"/>
  <c r="E87" i="207"/>
  <c r="E63" i="207"/>
  <c r="E52" i="207"/>
  <c r="I70" i="207"/>
  <c r="I71" i="207" s="1"/>
  <c r="I81" i="207"/>
  <c r="I64" i="207"/>
  <c r="I88" i="207"/>
  <c r="D87" i="207"/>
  <c r="D63" i="207"/>
  <c r="D52" i="207"/>
  <c r="H87" i="207"/>
  <c r="H52" i="207"/>
  <c r="H63" i="207"/>
  <c r="C63" i="207"/>
  <c r="C87" i="207"/>
  <c r="C52" i="207"/>
  <c r="J81" i="207"/>
  <c r="J29" i="208" s="1"/>
  <c r="BB29" i="205" s="1"/>
  <c r="BB25" i="205" s="1"/>
  <c r="BB51" i="205" s="1"/>
  <c r="J88" i="207"/>
  <c r="J64" i="207"/>
  <c r="J70" i="207"/>
  <c r="J71" i="207" s="1"/>
  <c r="F87" i="207"/>
  <c r="F52" i="207"/>
  <c r="F63" i="207"/>
  <c r="BQ39" i="205"/>
  <c r="H141" i="6"/>
  <c r="L14" i="182"/>
  <c r="BL14" i="206" s="1"/>
  <c r="BQ53" i="203"/>
  <c r="K132" i="184"/>
  <c r="L13" i="182" s="1"/>
  <c r="BL13" i="206" s="1"/>
  <c r="BP13" i="206" s="1"/>
  <c r="BH46" i="203"/>
  <c r="BL46" i="203" s="1"/>
  <c r="K10" i="183"/>
  <c r="BH10" i="205" s="1"/>
  <c r="BH8" i="205" s="1"/>
  <c r="AY10" i="205"/>
  <c r="AY8" i="205" s="1"/>
  <c r="F67" i="187"/>
  <c r="BE19" i="203"/>
  <c r="BE14" i="203"/>
  <c r="BR61" i="203"/>
  <c r="BR20" i="203"/>
  <c r="BJ60" i="203"/>
  <c r="BJ13" i="203"/>
  <c r="BS60" i="203"/>
  <c r="BS13" i="203"/>
  <c r="BA60" i="203"/>
  <c r="BA13" i="203"/>
  <c r="L71" i="200"/>
  <c r="BG36" i="203"/>
  <c r="BG42" i="203" s="1"/>
  <c r="BG20" i="203"/>
  <c r="BG61" i="203"/>
  <c r="AO61" i="203"/>
  <c r="AO36" i="203"/>
  <c r="AO42" i="203" s="1"/>
  <c r="AO20" i="203"/>
  <c r="F243" i="193"/>
  <c r="AN19" i="203"/>
  <c r="AN36" i="203" s="1"/>
  <c r="H129" i="190"/>
  <c r="AZ46" i="206"/>
  <c r="BN61" i="203"/>
  <c r="BN20" i="203"/>
  <c r="D67" i="187"/>
  <c r="D169" i="187" s="1"/>
  <c r="L9" i="188"/>
  <c r="BN9" i="205" s="1"/>
  <c r="BU9" i="205" s="1"/>
  <c r="BE9" i="205"/>
  <c r="BL9" i="205" s="1"/>
  <c r="J23" i="177"/>
  <c r="K48" i="176"/>
  <c r="J23" i="196"/>
  <c r="AV23" i="206" s="1"/>
  <c r="AX23" i="206" s="1"/>
  <c r="K43" i="176"/>
  <c r="J49" i="177"/>
  <c r="J48" i="177" s="1"/>
  <c r="J49" i="196"/>
  <c r="J48" i="196" s="1"/>
  <c r="J59" i="196" s="1"/>
  <c r="J18" i="177"/>
  <c r="J18" i="196"/>
  <c r="AJ50" i="203"/>
  <c r="K17" i="202"/>
  <c r="AZ17" i="205"/>
  <c r="BC17" i="205" s="1"/>
  <c r="AC15" i="206"/>
  <c r="AH14" i="203"/>
  <c r="BP36" i="203"/>
  <c r="BP42" i="203" s="1"/>
  <c r="BP61" i="203"/>
  <c r="L30" i="183"/>
  <c r="BQ30" i="205" s="1"/>
  <c r="BH30" i="205"/>
  <c r="L10" i="194"/>
  <c r="BG10" i="205"/>
  <c r="BG8" i="205" s="1"/>
  <c r="F157" i="193"/>
  <c r="F188" i="193" s="1"/>
  <c r="AG61" i="203"/>
  <c r="AG20" i="203"/>
  <c r="AG14" i="203"/>
  <c r="AV8" i="205"/>
  <c r="L10" i="188"/>
  <c r="BE10" i="205"/>
  <c r="K8" i="188"/>
  <c r="C121" i="200"/>
  <c r="C55" i="200"/>
  <c r="C25" i="200"/>
  <c r="AZ61" i="203"/>
  <c r="AT60" i="203"/>
  <c r="AZ20" i="203"/>
  <c r="AP48" i="203"/>
  <c r="AP43" i="203"/>
  <c r="AP62" i="203"/>
  <c r="BO21" i="203"/>
  <c r="AW21" i="203"/>
  <c r="J37" i="190"/>
  <c r="J129" i="190" s="1"/>
  <c r="J170" i="190" s="1"/>
  <c r="J226" i="190" s="1"/>
  <c r="BF26" i="203"/>
  <c r="BR42" i="203"/>
  <c r="BR37" i="203"/>
  <c r="BI42" i="203"/>
  <c r="BI37" i="203"/>
  <c r="AV19" i="203"/>
  <c r="D61" i="203"/>
  <c r="AZ42" i="203"/>
  <c r="AZ37" i="203"/>
  <c r="AX42" i="203"/>
  <c r="AX37" i="203"/>
  <c r="AM19" i="203"/>
  <c r="AM14" i="203"/>
  <c r="D20" i="203"/>
  <c r="AR61" i="203"/>
  <c r="AR36" i="203"/>
  <c r="AR20" i="203"/>
  <c r="AQ61" i="203"/>
  <c r="AQ36" i="203"/>
  <c r="AQ20" i="203"/>
  <c r="AH36" i="203"/>
  <c r="AH61" i="203"/>
  <c r="AH20" i="203"/>
  <c r="D42" i="203"/>
  <c r="D37" i="203"/>
  <c r="AG42" i="203"/>
  <c r="AG37" i="203"/>
  <c r="G36" i="203"/>
  <c r="G61" i="203"/>
  <c r="G20" i="203"/>
  <c r="J26" i="202"/>
  <c r="AZ26" i="205" s="1"/>
  <c r="E121" i="200"/>
  <c r="E25" i="200"/>
  <c r="E55" i="200"/>
  <c r="F121" i="200"/>
  <c r="F25" i="200"/>
  <c r="F55" i="200"/>
  <c r="K71" i="200"/>
  <c r="K56" i="200"/>
  <c r="D121" i="200"/>
  <c r="D25" i="200"/>
  <c r="D55" i="200"/>
  <c r="J71" i="200"/>
  <c r="J56" i="200"/>
  <c r="H55" i="200"/>
  <c r="H121" i="200"/>
  <c r="H25" i="200"/>
  <c r="I56" i="200"/>
  <c r="I71" i="200"/>
  <c r="L122" i="200"/>
  <c r="L72" i="200"/>
  <c r="L83" i="200"/>
  <c r="L8" i="201" s="1"/>
  <c r="K45" i="199"/>
  <c r="L48" i="199"/>
  <c r="J8" i="199"/>
  <c r="K10" i="199"/>
  <c r="BJ10" i="205" s="1"/>
  <c r="BJ8" i="205" s="1"/>
  <c r="L43" i="199"/>
  <c r="L42" i="199" s="1"/>
  <c r="K42" i="199"/>
  <c r="L26" i="199"/>
  <c r="BS26" i="205" s="1"/>
  <c r="K46" i="198"/>
  <c r="K54" i="198"/>
  <c r="F93" i="198"/>
  <c r="F22" i="198"/>
  <c r="F45" i="198"/>
  <c r="J45" i="198"/>
  <c r="J93" i="198"/>
  <c r="J22" i="198"/>
  <c r="E94" i="198"/>
  <c r="E55" i="198"/>
  <c r="E68" i="198"/>
  <c r="I45" i="198"/>
  <c r="I93" i="198"/>
  <c r="I22" i="198"/>
  <c r="L45" i="198"/>
  <c r="L93" i="198"/>
  <c r="L22" i="198"/>
  <c r="H22" i="198"/>
  <c r="H45" i="198"/>
  <c r="H93" i="198"/>
  <c r="C45" i="198"/>
  <c r="C93" i="198"/>
  <c r="C22" i="198"/>
  <c r="D93" i="198"/>
  <c r="D22" i="198"/>
  <c r="D45" i="198"/>
  <c r="L10" i="195"/>
  <c r="BK10" i="206" s="1"/>
  <c r="BP10" i="206" s="1"/>
  <c r="L221" i="193"/>
  <c r="BP53" i="203" s="1"/>
  <c r="L14" i="195"/>
  <c r="BK14" i="206" s="1"/>
  <c r="K10" i="195"/>
  <c r="BB10" i="206" s="1"/>
  <c r="BG10" i="206" s="1"/>
  <c r="K221" i="193"/>
  <c r="BG53" i="203" s="1"/>
  <c r="BL53" i="203" s="1"/>
  <c r="K14" i="195"/>
  <c r="BB14" i="206" s="1"/>
  <c r="BG14" i="206" s="1"/>
  <c r="K30" i="194"/>
  <c r="L47" i="194"/>
  <c r="K38" i="194"/>
  <c r="BG38" i="205" s="1"/>
  <c r="BG37" i="205" s="1"/>
  <c r="K60" i="195"/>
  <c r="L49" i="194"/>
  <c r="L62" i="195" s="1"/>
  <c r="K62" i="195"/>
  <c r="L52" i="194"/>
  <c r="L51" i="194" s="1"/>
  <c r="BP39" i="205" s="1"/>
  <c r="K51" i="194"/>
  <c r="BG39" i="205" s="1"/>
  <c r="L55" i="194"/>
  <c r="L22" i="195"/>
  <c r="BK22" i="206" s="1"/>
  <c r="L16" i="195"/>
  <c r="I157" i="193"/>
  <c r="I243" i="193"/>
  <c r="L158" i="193"/>
  <c r="L188" i="193"/>
  <c r="E243" i="193"/>
  <c r="E78" i="193"/>
  <c r="E157" i="193"/>
  <c r="C157" i="193"/>
  <c r="C243" i="193"/>
  <c r="C78" i="193"/>
  <c r="D188" i="193"/>
  <c r="D158" i="193"/>
  <c r="G157" i="193"/>
  <c r="G243" i="193"/>
  <c r="G78" i="193"/>
  <c r="K158" i="193"/>
  <c r="K188" i="193"/>
  <c r="J188" i="193"/>
  <c r="J158" i="193"/>
  <c r="J8" i="191"/>
  <c r="K10" i="191"/>
  <c r="K16" i="192"/>
  <c r="I130" i="190"/>
  <c r="K225" i="190"/>
  <c r="K129" i="190"/>
  <c r="C130" i="190"/>
  <c r="C170" i="190"/>
  <c r="F129" i="190"/>
  <c r="F36" i="190"/>
  <c r="F225" i="190"/>
  <c r="I226" i="190"/>
  <c r="I192" i="190"/>
  <c r="I8" i="192" s="1"/>
  <c r="AR8" i="206" s="1"/>
  <c r="I171" i="190"/>
  <c r="E130" i="190"/>
  <c r="E170" i="190"/>
  <c r="D225" i="190"/>
  <c r="D129" i="190"/>
  <c r="D36" i="190"/>
  <c r="L54" i="189"/>
  <c r="L51" i="189" s="1"/>
  <c r="BI40" i="206" s="1"/>
  <c r="L38" i="188"/>
  <c r="K19" i="189"/>
  <c r="AZ19" i="206" s="1"/>
  <c r="BG19" i="206" s="1"/>
  <c r="L17" i="188"/>
  <c r="BN17" i="205" s="1"/>
  <c r="I26" i="188"/>
  <c r="AM26" i="205" s="1"/>
  <c r="AT26" i="205" s="1"/>
  <c r="K66" i="188"/>
  <c r="L19" i="188"/>
  <c r="K20" i="189"/>
  <c r="AZ20" i="206" s="1"/>
  <c r="L65" i="188"/>
  <c r="L63" i="188"/>
  <c r="L18" i="189"/>
  <c r="BI18" i="206" s="1"/>
  <c r="L64" i="188"/>
  <c r="L22" i="189"/>
  <c r="BI22" i="206" s="1"/>
  <c r="G57" i="166"/>
  <c r="G73" i="168"/>
  <c r="G71" i="168"/>
  <c r="G74" i="168"/>
  <c r="G72" i="168"/>
  <c r="G70" i="168"/>
  <c r="J170" i="187"/>
  <c r="J218" i="187"/>
  <c r="I170" i="187"/>
  <c r="I218" i="187"/>
  <c r="F276" i="187"/>
  <c r="F68" i="187"/>
  <c r="F169" i="187"/>
  <c r="C170" i="187"/>
  <c r="C218" i="187"/>
  <c r="L170" i="187"/>
  <c r="L218" i="187"/>
  <c r="G276" i="187"/>
  <c r="G68" i="187"/>
  <c r="G169" i="187"/>
  <c r="E169" i="187"/>
  <c r="E276" i="187"/>
  <c r="K170" i="187"/>
  <c r="K218" i="187"/>
  <c r="H45" i="175"/>
  <c r="H22" i="175"/>
  <c r="H93" i="175"/>
  <c r="I45" i="175"/>
  <c r="I93" i="175"/>
  <c r="I22" i="175"/>
  <c r="K93" i="175"/>
  <c r="K45" i="175"/>
  <c r="K22" i="175"/>
  <c r="L45" i="175"/>
  <c r="L22" i="175"/>
  <c r="L93" i="175"/>
  <c r="J45" i="175"/>
  <c r="J22" i="175"/>
  <c r="J93" i="175"/>
  <c r="F36" i="162"/>
  <c r="F129" i="162"/>
  <c r="F225" i="162"/>
  <c r="G37" i="147"/>
  <c r="G68" i="147"/>
  <c r="G169" i="147"/>
  <c r="G276" i="147"/>
  <c r="J125" i="184"/>
  <c r="K125" i="184"/>
  <c r="I84" i="184"/>
  <c r="AY30" i="203" s="1"/>
  <c r="BC30" i="203" s="1"/>
  <c r="K15" i="189" l="1"/>
  <c r="AZ15" i="206" s="1"/>
  <c r="AI20" i="203"/>
  <c r="AI61" i="203"/>
  <c r="BO61" i="203"/>
  <c r="L37" i="199"/>
  <c r="BS39" i="205"/>
  <c r="BS37" i="205" s="1"/>
  <c r="L45" i="199"/>
  <c r="BS44" i="205"/>
  <c r="BS41" i="205" s="1"/>
  <c r="K37" i="199"/>
  <c r="BJ39" i="205"/>
  <c r="L15" i="195"/>
  <c r="BK15" i="206" s="1"/>
  <c r="BK16" i="206"/>
  <c r="BL38" i="205"/>
  <c r="BP41" i="205"/>
  <c r="BL21" i="205"/>
  <c r="BU21" i="205"/>
  <c r="BL49" i="205"/>
  <c r="BU49" i="205"/>
  <c r="BO38" i="205"/>
  <c r="BO37" i="205" s="1"/>
  <c r="K37" i="191"/>
  <c r="BJ16" i="206"/>
  <c r="BO19" i="205"/>
  <c r="K20" i="192"/>
  <c r="BJ20" i="206" s="1"/>
  <c r="BO17" i="205"/>
  <c r="K19" i="192"/>
  <c r="BJ19" i="206" s="1"/>
  <c r="K64" i="191"/>
  <c r="AX19" i="206"/>
  <c r="L23" i="189"/>
  <c r="BI23" i="206" s="1"/>
  <c r="BN44" i="205"/>
  <c r="L20" i="189"/>
  <c r="BI20" i="206" s="1"/>
  <c r="BN19" i="205"/>
  <c r="BU19" i="205" s="1"/>
  <c r="BL44" i="205"/>
  <c r="BE41" i="205"/>
  <c r="L25" i="189"/>
  <c r="BI25" i="206" s="1"/>
  <c r="BP25" i="206" s="1"/>
  <c r="BN46" i="205"/>
  <c r="BU46" i="205" s="1"/>
  <c r="L37" i="188"/>
  <c r="BN38" i="205"/>
  <c r="F158" i="193"/>
  <c r="BU53" i="203"/>
  <c r="BP14" i="206"/>
  <c r="I13" i="208"/>
  <c r="I23" i="208" s="1"/>
  <c r="I56" i="208" s="1"/>
  <c r="AS18" i="205"/>
  <c r="AS13" i="205" s="1"/>
  <c r="AS23" i="205" s="1"/>
  <c r="AS53" i="205" s="1"/>
  <c r="L12" i="209"/>
  <c r="BO8" i="206"/>
  <c r="K58" i="209"/>
  <c r="BF28" i="206"/>
  <c r="BF49" i="206" s="1"/>
  <c r="J28" i="209"/>
  <c r="J58" i="209" s="1"/>
  <c r="J61" i="209" s="1"/>
  <c r="AW12" i="206"/>
  <c r="AW28" i="206" s="1"/>
  <c r="AW49" i="206" s="1"/>
  <c r="AW52" i="206" s="1"/>
  <c r="BF51" i="206" s="1"/>
  <c r="BQ37" i="205"/>
  <c r="BU39" i="205"/>
  <c r="H179" i="6"/>
  <c r="G182" i="6"/>
  <c r="AE36" i="203"/>
  <c r="AJ36" i="203" s="1"/>
  <c r="AE14" i="203"/>
  <c r="BN42" i="203"/>
  <c r="AW20" i="203"/>
  <c r="BL10" i="205"/>
  <c r="BL8" i="205" s="1"/>
  <c r="BC10" i="205"/>
  <c r="BC8" i="205" s="1"/>
  <c r="BT52" i="203"/>
  <c r="BK52" i="203"/>
  <c r="BB52" i="203"/>
  <c r="BT64" i="203"/>
  <c r="BT57" i="203"/>
  <c r="BK64" i="203"/>
  <c r="BK57" i="203"/>
  <c r="AF20" i="203"/>
  <c r="BB64" i="203"/>
  <c r="BB57" i="203"/>
  <c r="AN61" i="203"/>
  <c r="AM20" i="203"/>
  <c r="AT19" i="203"/>
  <c r="AT61" i="203" s="1"/>
  <c r="BF61" i="203"/>
  <c r="BN37" i="203"/>
  <c r="AN20" i="203"/>
  <c r="AE20" i="203"/>
  <c r="AV61" i="203"/>
  <c r="AJ13" i="203"/>
  <c r="AJ14" i="203" s="1"/>
  <c r="AS52" i="203"/>
  <c r="AS64" i="203"/>
  <c r="AS57" i="203"/>
  <c r="AJ19" i="203"/>
  <c r="AF61" i="203"/>
  <c r="BP37" i="203"/>
  <c r="BG37" i="203"/>
  <c r="K28" i="208"/>
  <c r="BK28" i="205" s="1"/>
  <c r="BK25" i="205" s="1"/>
  <c r="BK51" i="205" s="1"/>
  <c r="J25" i="208"/>
  <c r="J54" i="208" s="1"/>
  <c r="I63" i="209"/>
  <c r="L88" i="207"/>
  <c r="L81" i="207"/>
  <c r="L29" i="208" s="1"/>
  <c r="BT29" i="205" s="1"/>
  <c r="L64" i="207"/>
  <c r="L70" i="207"/>
  <c r="L71" i="207" s="1"/>
  <c r="E70" i="207"/>
  <c r="E71" i="207" s="1"/>
  <c r="E88" i="207"/>
  <c r="E81" i="207"/>
  <c r="E64" i="207"/>
  <c r="F81" i="207"/>
  <c r="F88" i="207"/>
  <c r="F64" i="207"/>
  <c r="F70" i="207"/>
  <c r="F71" i="207" s="1"/>
  <c r="D88" i="207"/>
  <c r="D70" i="207"/>
  <c r="D71" i="207" s="1"/>
  <c r="D64" i="207"/>
  <c r="D81" i="207"/>
  <c r="C70" i="207"/>
  <c r="C71" i="207" s="1"/>
  <c r="C81" i="207"/>
  <c r="C64" i="207"/>
  <c r="C88" i="207"/>
  <c r="J82" i="207"/>
  <c r="J89" i="207"/>
  <c r="H64" i="207"/>
  <c r="H81" i="207"/>
  <c r="H70" i="207"/>
  <c r="H71" i="207" s="1"/>
  <c r="H88" i="207"/>
  <c r="I82" i="207"/>
  <c r="I89" i="207"/>
  <c r="BQ46" i="203"/>
  <c r="BU46" i="203" s="1"/>
  <c r="K8" i="183"/>
  <c r="L10" i="183"/>
  <c r="BQ10" i="205" s="1"/>
  <c r="D68" i="187"/>
  <c r="BE61" i="203"/>
  <c r="BE36" i="203"/>
  <c r="BE20" i="203"/>
  <c r="D276" i="187"/>
  <c r="BA14" i="203"/>
  <c r="BA19" i="203"/>
  <c r="BS14" i="203"/>
  <c r="BS19" i="203"/>
  <c r="BJ19" i="203"/>
  <c r="BJ14" i="203"/>
  <c r="BM8" i="206"/>
  <c r="L12" i="201"/>
  <c r="AO37" i="203"/>
  <c r="H170" i="190"/>
  <c r="H130" i="190"/>
  <c r="K8" i="191"/>
  <c r="BO10" i="205"/>
  <c r="BO8" i="205" s="1"/>
  <c r="BI46" i="206"/>
  <c r="L43" i="176"/>
  <c r="K49" i="177"/>
  <c r="K48" i="177" s="1"/>
  <c r="K49" i="196"/>
  <c r="K48" i="196" s="1"/>
  <c r="K59" i="196" s="1"/>
  <c r="K18" i="177"/>
  <c r="K18" i="196"/>
  <c r="BE18" i="206" s="1"/>
  <c r="K23" i="196"/>
  <c r="BE23" i="206" s="1"/>
  <c r="BG23" i="206" s="1"/>
  <c r="K23" i="177"/>
  <c r="L48" i="176"/>
  <c r="AV18" i="206"/>
  <c r="L17" i="202"/>
  <c r="BI17" i="205"/>
  <c r="BL17" i="205" s="1"/>
  <c r="AE15" i="206"/>
  <c r="L30" i="194"/>
  <c r="BP30" i="205" s="1"/>
  <c r="BU30" i="205" s="1"/>
  <c r="BG30" i="205"/>
  <c r="BL30" i="205" s="1"/>
  <c r="BP10" i="205"/>
  <c r="BP8" i="205" s="1"/>
  <c r="L8" i="194"/>
  <c r="BE8" i="205"/>
  <c r="BN10" i="205"/>
  <c r="L8" i="188"/>
  <c r="C56" i="200"/>
  <c r="C71" i="200"/>
  <c r="AM36" i="203"/>
  <c r="AP56" i="203"/>
  <c r="AP63" i="203"/>
  <c r="AP51" i="203"/>
  <c r="AP52" i="203" s="1"/>
  <c r="AP49" i="203"/>
  <c r="AO48" i="203"/>
  <c r="AO43" i="203"/>
  <c r="AO62" i="203"/>
  <c r="J171" i="190"/>
  <c r="J192" i="190"/>
  <c r="J8" i="192" s="1"/>
  <c r="BA8" i="206" s="1"/>
  <c r="BF21" i="203"/>
  <c r="AW36" i="203"/>
  <c r="J130" i="190"/>
  <c r="BO36" i="203"/>
  <c r="AV20" i="203"/>
  <c r="AV36" i="203"/>
  <c r="BR48" i="203"/>
  <c r="BR43" i="203"/>
  <c r="BR62" i="203"/>
  <c r="BP48" i="203"/>
  <c r="BP43" i="203"/>
  <c r="BP62" i="203"/>
  <c r="BI48" i="203"/>
  <c r="BI43" i="203"/>
  <c r="BI62" i="203"/>
  <c r="BG48" i="203"/>
  <c r="BG43" i="203"/>
  <c r="BG62" i="203"/>
  <c r="AM61" i="203"/>
  <c r="AX43" i="203"/>
  <c r="AX48" i="203"/>
  <c r="AX62" i="203"/>
  <c r="AZ43" i="203"/>
  <c r="AZ48" i="203"/>
  <c r="AZ62" i="203"/>
  <c r="AR42" i="203"/>
  <c r="AR37" i="203"/>
  <c r="AQ42" i="203"/>
  <c r="AQ37" i="203"/>
  <c r="AN42" i="203"/>
  <c r="AN37" i="203"/>
  <c r="AI42" i="203"/>
  <c r="AI37" i="203"/>
  <c r="AG48" i="203"/>
  <c r="AG43" i="203"/>
  <c r="AG62" i="203"/>
  <c r="AF42" i="203"/>
  <c r="AF37" i="203"/>
  <c r="D48" i="203"/>
  <c r="D62" i="203"/>
  <c r="D43" i="203"/>
  <c r="AH42" i="203"/>
  <c r="AH37" i="203"/>
  <c r="G42" i="203"/>
  <c r="G37" i="203"/>
  <c r="K26" i="202"/>
  <c r="BI26" i="205" s="1"/>
  <c r="L101" i="200"/>
  <c r="L102" i="200" s="1"/>
  <c r="L123" i="200"/>
  <c r="L84" i="200"/>
  <c r="L116" i="200"/>
  <c r="L29" i="202" s="1"/>
  <c r="BR29" i="205" s="1"/>
  <c r="I83" i="200"/>
  <c r="I122" i="200"/>
  <c r="I72" i="200"/>
  <c r="D71" i="200"/>
  <c r="D56" i="200"/>
  <c r="E71" i="200"/>
  <c r="E56" i="200"/>
  <c r="K122" i="200"/>
  <c r="K72" i="200"/>
  <c r="K83" i="200"/>
  <c r="K8" i="201" s="1"/>
  <c r="H71" i="200"/>
  <c r="H56" i="200"/>
  <c r="J83" i="200"/>
  <c r="J8" i="201" s="1"/>
  <c r="J122" i="200"/>
  <c r="J72" i="200"/>
  <c r="F71" i="200"/>
  <c r="F56" i="200"/>
  <c r="K8" i="199"/>
  <c r="L10" i="199"/>
  <c r="L54" i="198"/>
  <c r="L46" i="198"/>
  <c r="F54" i="198"/>
  <c r="F46" i="198"/>
  <c r="I54" i="198"/>
  <c r="I46" i="198"/>
  <c r="H54" i="198"/>
  <c r="H46" i="198"/>
  <c r="E77" i="198"/>
  <c r="E78" i="198" s="1"/>
  <c r="E88" i="198"/>
  <c r="E69" i="198"/>
  <c r="E95" i="198"/>
  <c r="C54" i="198"/>
  <c r="C46" i="198"/>
  <c r="D54" i="198"/>
  <c r="D46" i="198"/>
  <c r="K68" i="198"/>
  <c r="K94" i="198"/>
  <c r="K55" i="198"/>
  <c r="J46" i="198"/>
  <c r="J54" i="198"/>
  <c r="K51" i="195"/>
  <c r="BB40" i="206" s="1"/>
  <c r="K37" i="194"/>
  <c r="L60" i="195"/>
  <c r="L51" i="195" s="1"/>
  <c r="BK40" i="206" s="1"/>
  <c r="BK46" i="206" s="1"/>
  <c r="L38" i="194"/>
  <c r="I158" i="193"/>
  <c r="I188" i="193"/>
  <c r="C158" i="193"/>
  <c r="C188" i="193"/>
  <c r="F189" i="193"/>
  <c r="F203" i="193"/>
  <c r="F244" i="193"/>
  <c r="G188" i="193"/>
  <c r="G158" i="193"/>
  <c r="D244" i="193"/>
  <c r="D189" i="193"/>
  <c r="D203" i="193"/>
  <c r="J203" i="193"/>
  <c r="J8" i="195" s="1"/>
  <c r="AS8" i="206" s="1"/>
  <c r="J244" i="193"/>
  <c r="J189" i="193"/>
  <c r="L203" i="193"/>
  <c r="L8" i="195" s="1"/>
  <c r="BK8" i="206" s="1"/>
  <c r="L244" i="193"/>
  <c r="L189" i="193"/>
  <c r="E188" i="193"/>
  <c r="E158" i="193"/>
  <c r="K203" i="193"/>
  <c r="K8" i="195" s="1"/>
  <c r="BB8" i="206" s="1"/>
  <c r="K244" i="193"/>
  <c r="K189" i="193"/>
  <c r="D130" i="190"/>
  <c r="D170" i="190"/>
  <c r="I205" i="190"/>
  <c r="I227" i="190"/>
  <c r="I193" i="190"/>
  <c r="K170" i="190"/>
  <c r="K130" i="190"/>
  <c r="C171" i="190"/>
  <c r="C226" i="190"/>
  <c r="C192" i="190"/>
  <c r="E226" i="190"/>
  <c r="E192" i="190"/>
  <c r="E171" i="190"/>
  <c r="F130" i="190"/>
  <c r="F170" i="190"/>
  <c r="J26" i="188"/>
  <c r="AV26" i="205" s="1"/>
  <c r="BC26" i="205" s="1"/>
  <c r="L19" i="189"/>
  <c r="L66" i="188"/>
  <c r="G58" i="166"/>
  <c r="G77" i="166"/>
  <c r="L237" i="187"/>
  <c r="L8" i="189" s="1"/>
  <c r="BI8" i="206" s="1"/>
  <c r="L277" i="187"/>
  <c r="L219" i="187"/>
  <c r="D170" i="187"/>
  <c r="D218" i="187"/>
  <c r="K237" i="187"/>
  <c r="K8" i="189" s="1"/>
  <c r="AZ8" i="206" s="1"/>
  <c r="K277" i="187"/>
  <c r="K219" i="187"/>
  <c r="I237" i="187"/>
  <c r="I8" i="189" s="1"/>
  <c r="AH8" i="206" s="1"/>
  <c r="I277" i="187"/>
  <c r="I219" i="187"/>
  <c r="F218" i="187"/>
  <c r="F170" i="187"/>
  <c r="J237" i="187"/>
  <c r="J8" i="189" s="1"/>
  <c r="AQ8" i="206" s="1"/>
  <c r="J277" i="187"/>
  <c r="J219" i="187"/>
  <c r="C237" i="187"/>
  <c r="C277" i="187"/>
  <c r="C219" i="187"/>
  <c r="E218" i="187"/>
  <c r="E170" i="187"/>
  <c r="G218" i="187"/>
  <c r="G170" i="187"/>
  <c r="H46" i="175"/>
  <c r="H54" i="175"/>
  <c r="K54" i="175"/>
  <c r="K46" i="175"/>
  <c r="J54" i="175"/>
  <c r="J46" i="175"/>
  <c r="L46" i="175"/>
  <c r="L54" i="175"/>
  <c r="I54" i="175"/>
  <c r="I46" i="175"/>
  <c r="F130" i="162"/>
  <c r="F170" i="162"/>
  <c r="G170" i="147"/>
  <c r="G218" i="147"/>
  <c r="G69" i="188" s="1"/>
  <c r="J48" i="184"/>
  <c r="J50" i="184" s="1"/>
  <c r="I50" i="184"/>
  <c r="K46" i="184"/>
  <c r="J46" i="184"/>
  <c r="I46" i="184"/>
  <c r="BJ37" i="205" l="1"/>
  <c r="BL39" i="205"/>
  <c r="BL37" i="205" s="1"/>
  <c r="L37" i="194"/>
  <c r="BP38" i="205"/>
  <c r="BP37" i="205" s="1"/>
  <c r="BB46" i="206"/>
  <c r="BG46" i="206" s="1"/>
  <c r="BG40" i="206"/>
  <c r="BP40" i="206"/>
  <c r="BP46" i="206"/>
  <c r="K15" i="192"/>
  <c r="BJ15" i="206" s="1"/>
  <c r="BU38" i="205"/>
  <c r="BU37" i="205" s="1"/>
  <c r="BN37" i="205"/>
  <c r="L15" i="189"/>
  <c r="BI15" i="206" s="1"/>
  <c r="BI19" i="206"/>
  <c r="BP19" i="206" s="1"/>
  <c r="BU44" i="205"/>
  <c r="BN41" i="205"/>
  <c r="J18" i="208"/>
  <c r="J63" i="209" s="1"/>
  <c r="K60" i="209"/>
  <c r="K61" i="209" s="1"/>
  <c r="K18" i="208" s="1"/>
  <c r="BF52" i="206"/>
  <c r="BO51" i="206" s="1"/>
  <c r="L28" i="209"/>
  <c r="L58" i="209" s="1"/>
  <c r="BO12" i="206"/>
  <c r="BO28" i="206" s="1"/>
  <c r="BO49" i="206" s="1"/>
  <c r="BQ8" i="205"/>
  <c r="BU10" i="205"/>
  <c r="BU8" i="205" s="1"/>
  <c r="I179" i="6"/>
  <c r="J179" i="6" s="1"/>
  <c r="H182" i="6"/>
  <c r="AE37" i="203"/>
  <c r="BN48" i="203"/>
  <c r="BN63" i="203" s="1"/>
  <c r="BN43" i="203"/>
  <c r="AE42" i="203"/>
  <c r="AE48" i="203" s="1"/>
  <c r="BN62" i="203"/>
  <c r="AJ20" i="203"/>
  <c r="AJ61" i="203"/>
  <c r="AM42" i="203"/>
  <c r="AT42" i="203" s="1"/>
  <c r="AT36" i="203"/>
  <c r="AT37" i="203" s="1"/>
  <c r="AJ37" i="203"/>
  <c r="L28" i="208"/>
  <c r="K25" i="208"/>
  <c r="K54" i="208" s="1"/>
  <c r="L89" i="207"/>
  <c r="L82" i="207"/>
  <c r="E82" i="207"/>
  <c r="E89" i="207"/>
  <c r="F82" i="207"/>
  <c r="F89" i="207"/>
  <c r="H82" i="207"/>
  <c r="H89" i="207"/>
  <c r="C89" i="207"/>
  <c r="C82" i="207"/>
  <c r="D82" i="207"/>
  <c r="D89" i="207"/>
  <c r="BE37" i="203"/>
  <c r="BE42" i="203"/>
  <c r="BS20" i="203"/>
  <c r="BS61" i="203"/>
  <c r="BS36" i="203"/>
  <c r="BA20" i="203"/>
  <c r="BA36" i="203"/>
  <c r="BA61" i="203"/>
  <c r="BJ36" i="203"/>
  <c r="BJ20" i="203"/>
  <c r="BJ61" i="203"/>
  <c r="AU8" i="206"/>
  <c r="J12" i="201"/>
  <c r="I8" i="201"/>
  <c r="I101" i="200"/>
  <c r="BM12" i="206"/>
  <c r="BM28" i="206" s="1"/>
  <c r="BM49" i="206" s="1"/>
  <c r="L28" i="201"/>
  <c r="BD8" i="206"/>
  <c r="K12" i="201"/>
  <c r="H226" i="190"/>
  <c r="H171" i="190"/>
  <c r="H192" i="190"/>
  <c r="L23" i="196"/>
  <c r="BN23" i="206" s="1"/>
  <c r="BP23" i="206" s="1"/>
  <c r="L23" i="177"/>
  <c r="L49" i="177"/>
  <c r="L48" i="177" s="1"/>
  <c r="L49" i="196"/>
  <c r="L48" i="196" s="1"/>
  <c r="L59" i="196" s="1"/>
  <c r="L18" i="177"/>
  <c r="L18" i="196"/>
  <c r="BN18" i="206" s="1"/>
  <c r="L8" i="199"/>
  <c r="BS10" i="205"/>
  <c r="BS8" i="205" s="1"/>
  <c r="F67" i="164"/>
  <c r="F67" i="191"/>
  <c r="BR17" i="205"/>
  <c r="BU17" i="205" s="1"/>
  <c r="AV37" i="203"/>
  <c r="BN8" i="205"/>
  <c r="C122" i="200"/>
  <c r="C72" i="200"/>
  <c r="C83" i="200"/>
  <c r="J205" i="190"/>
  <c r="J206" i="190" s="1"/>
  <c r="J193" i="190"/>
  <c r="J227" i="190"/>
  <c r="AM37" i="203"/>
  <c r="AV42" i="203"/>
  <c r="AP64" i="203"/>
  <c r="AP57" i="203"/>
  <c r="AO49" i="203"/>
  <c r="AO63" i="203"/>
  <c r="AO51" i="203"/>
  <c r="AO52" i="203" s="1"/>
  <c r="BO37" i="203"/>
  <c r="BO42" i="203"/>
  <c r="AW37" i="203"/>
  <c r="AW42" i="203"/>
  <c r="BF36" i="203"/>
  <c r="AT20" i="203"/>
  <c r="BR63" i="203"/>
  <c r="BR49" i="203"/>
  <c r="BR51" i="203"/>
  <c r="BR52" i="203" s="1"/>
  <c r="BR56" i="203"/>
  <c r="BP63" i="203"/>
  <c r="BP49" i="203"/>
  <c r="BP51" i="203"/>
  <c r="BP52" i="203" s="1"/>
  <c r="BG63" i="203"/>
  <c r="BG49" i="203"/>
  <c r="BG51" i="203"/>
  <c r="BG52" i="203" s="1"/>
  <c r="BI63" i="203"/>
  <c r="BI49" i="203"/>
  <c r="BI51" i="203"/>
  <c r="BI52" i="203" s="1"/>
  <c r="BI56" i="203"/>
  <c r="AZ63" i="203"/>
  <c r="AZ51" i="203"/>
  <c r="AZ52" i="203" s="1"/>
  <c r="AZ49" i="203"/>
  <c r="AZ56" i="203"/>
  <c r="AX63" i="203"/>
  <c r="AX51" i="203"/>
  <c r="AX52" i="203" s="1"/>
  <c r="AX49" i="203"/>
  <c r="AQ43" i="203"/>
  <c r="AQ62" i="203"/>
  <c r="AQ48" i="203"/>
  <c r="AN62" i="203"/>
  <c r="AN48" i="203"/>
  <c r="AN43" i="203"/>
  <c r="AR43" i="203"/>
  <c r="AR62" i="203"/>
  <c r="AR48" i="203"/>
  <c r="AF48" i="203"/>
  <c r="AF62" i="203"/>
  <c r="AF43" i="203"/>
  <c r="AG63" i="203"/>
  <c r="AG51" i="203"/>
  <c r="AG52" i="203" s="1"/>
  <c r="AG49" i="203"/>
  <c r="AG56" i="203"/>
  <c r="G62" i="203"/>
  <c r="G43" i="203"/>
  <c r="G48" i="203"/>
  <c r="D63" i="203"/>
  <c r="D56" i="203"/>
  <c r="D51" i="203"/>
  <c r="D52" i="203" s="1"/>
  <c r="D49" i="203"/>
  <c r="AI62" i="203"/>
  <c r="AI48" i="203"/>
  <c r="AI43" i="203"/>
  <c r="AH43" i="203"/>
  <c r="AH48" i="203"/>
  <c r="AH62" i="203"/>
  <c r="L26" i="202"/>
  <c r="BR26" i="205" s="1"/>
  <c r="F72" i="200"/>
  <c r="F83" i="200"/>
  <c r="F122" i="200"/>
  <c r="E122" i="200"/>
  <c r="E72" i="200"/>
  <c r="E83" i="200"/>
  <c r="H83" i="200"/>
  <c r="H122" i="200"/>
  <c r="H72" i="200"/>
  <c r="I84" i="200"/>
  <c r="I116" i="200"/>
  <c r="I29" i="202" s="1"/>
  <c r="AQ29" i="205" s="1"/>
  <c r="I102" i="200"/>
  <c r="I123" i="200"/>
  <c r="L124" i="200"/>
  <c r="L117" i="200"/>
  <c r="K101" i="200"/>
  <c r="K102" i="200" s="1"/>
  <c r="K123" i="200"/>
  <c r="K84" i="200"/>
  <c r="K116" i="200"/>
  <c r="K29" i="202" s="1"/>
  <c r="BI29" i="205" s="1"/>
  <c r="J116" i="200"/>
  <c r="J29" i="202" s="1"/>
  <c r="AZ29" i="205" s="1"/>
  <c r="J101" i="200"/>
  <c r="J102" i="200" s="1"/>
  <c r="J123" i="200"/>
  <c r="J84" i="200"/>
  <c r="D122" i="200"/>
  <c r="D72" i="200"/>
  <c r="D83" i="200"/>
  <c r="D94" i="198"/>
  <c r="D55" i="198"/>
  <c r="D68" i="198"/>
  <c r="J68" i="198"/>
  <c r="J94" i="198"/>
  <c r="J55" i="198"/>
  <c r="F55" i="198"/>
  <c r="F68" i="198"/>
  <c r="F94" i="198"/>
  <c r="H55" i="198"/>
  <c r="H68" i="198"/>
  <c r="H94" i="198"/>
  <c r="C94" i="198"/>
  <c r="C55" i="198"/>
  <c r="C68" i="198"/>
  <c r="E89" i="198"/>
  <c r="E96" i="198"/>
  <c r="I68" i="198"/>
  <c r="I94" i="198"/>
  <c r="I55" i="198"/>
  <c r="K95" i="198"/>
  <c r="K77" i="198"/>
  <c r="K78" i="198" s="1"/>
  <c r="K88" i="198"/>
  <c r="K69" i="198"/>
  <c r="L94" i="198"/>
  <c r="L55" i="198"/>
  <c r="L68" i="198"/>
  <c r="I203" i="193"/>
  <c r="I189" i="193"/>
  <c r="I244" i="193"/>
  <c r="G189" i="193"/>
  <c r="G203" i="193"/>
  <c r="G244" i="193"/>
  <c r="K204" i="193"/>
  <c r="K245" i="193"/>
  <c r="K219" i="193"/>
  <c r="L245" i="193"/>
  <c r="L219" i="193"/>
  <c r="L204" i="193"/>
  <c r="D245" i="193"/>
  <c r="D219" i="193"/>
  <c r="D220" i="193" s="1"/>
  <c r="D238" i="193"/>
  <c r="D204" i="193"/>
  <c r="C203" i="193"/>
  <c r="C244" i="193"/>
  <c r="C189" i="193"/>
  <c r="F219" i="193"/>
  <c r="F220" i="193" s="1"/>
  <c r="F238" i="193"/>
  <c r="F204" i="193"/>
  <c r="F245" i="193"/>
  <c r="J204" i="193"/>
  <c r="J245" i="193"/>
  <c r="J219" i="193"/>
  <c r="E244" i="193"/>
  <c r="E189" i="193"/>
  <c r="E203" i="193"/>
  <c r="I206" i="190"/>
  <c r="I214" i="190"/>
  <c r="AW54" i="203" s="1"/>
  <c r="F226" i="190"/>
  <c r="F192" i="190"/>
  <c r="F171" i="190"/>
  <c r="E205" i="190"/>
  <c r="E206" i="190" s="1"/>
  <c r="E227" i="190"/>
  <c r="E220" i="190"/>
  <c r="E193" i="190"/>
  <c r="K226" i="190"/>
  <c r="K192" i="190"/>
  <c r="K8" i="192" s="1"/>
  <c r="BJ8" i="206" s="1"/>
  <c r="K171" i="190"/>
  <c r="D192" i="190"/>
  <c r="D171" i="190"/>
  <c r="D226" i="190"/>
  <c r="C227" i="190"/>
  <c r="C220" i="190"/>
  <c r="C193" i="190"/>
  <c r="C205" i="190"/>
  <c r="C206" i="190" s="1"/>
  <c r="K26" i="188"/>
  <c r="BE26" i="205" s="1"/>
  <c r="BL26" i="205" s="1"/>
  <c r="G157" i="166"/>
  <c r="G78" i="166"/>
  <c r="G243" i="166"/>
  <c r="G237" i="187"/>
  <c r="G277" i="187"/>
  <c r="G219" i="187"/>
  <c r="D237" i="187"/>
  <c r="D277" i="187"/>
  <c r="D219" i="187"/>
  <c r="K238" i="187"/>
  <c r="K278" i="187"/>
  <c r="K253" i="187"/>
  <c r="E277" i="187"/>
  <c r="E219" i="187"/>
  <c r="E237" i="187"/>
  <c r="J238" i="187"/>
  <c r="J278" i="187"/>
  <c r="J253" i="187"/>
  <c r="F219" i="187"/>
  <c r="F277" i="187"/>
  <c r="F237" i="187"/>
  <c r="C238" i="187"/>
  <c r="C278" i="187"/>
  <c r="C253" i="187"/>
  <c r="C254" i="187" s="1"/>
  <c r="C271" i="187"/>
  <c r="I253" i="187"/>
  <c r="I238" i="187"/>
  <c r="I278" i="187"/>
  <c r="L238" i="187"/>
  <c r="L278" i="187"/>
  <c r="L253" i="187"/>
  <c r="H55" i="175"/>
  <c r="H68" i="175"/>
  <c r="H94" i="175"/>
  <c r="I94" i="175"/>
  <c r="I55" i="175"/>
  <c r="I68" i="175"/>
  <c r="L94" i="175"/>
  <c r="L55" i="175"/>
  <c r="L68" i="175"/>
  <c r="J68" i="175"/>
  <c r="J94" i="175"/>
  <c r="J55" i="175"/>
  <c r="K94" i="175"/>
  <c r="K55" i="175"/>
  <c r="K68" i="175"/>
  <c r="G69" i="149"/>
  <c r="F192" i="162"/>
  <c r="F226" i="162"/>
  <c r="F171" i="162"/>
  <c r="G219" i="147"/>
  <c r="G277" i="147"/>
  <c r="G237" i="147"/>
  <c r="K48" i="184"/>
  <c r="K50" i="184" s="1"/>
  <c r="L60" i="209" l="1"/>
  <c r="J182" i="6"/>
  <c r="K179" i="6"/>
  <c r="K13" i="208"/>
  <c r="K23" i="208" s="1"/>
  <c r="K56" i="208" s="1"/>
  <c r="BK18" i="205"/>
  <c r="BK13" i="205" s="1"/>
  <c r="BK23" i="205" s="1"/>
  <c r="BK53" i="205" s="1"/>
  <c r="L25" i="208"/>
  <c r="L54" i="208" s="1"/>
  <c r="BT28" i="205"/>
  <c r="BT25" i="205" s="1"/>
  <c r="BT51" i="205" s="1"/>
  <c r="L61" i="209"/>
  <c r="L18" i="208" s="1"/>
  <c r="BO52" i="206"/>
  <c r="J13" i="208"/>
  <c r="J23" i="208" s="1"/>
  <c r="J56" i="208" s="1"/>
  <c r="BB18" i="205"/>
  <c r="BB13" i="205" s="1"/>
  <c r="BB23" i="205" s="1"/>
  <c r="BB53" i="205" s="1"/>
  <c r="AJ42" i="203"/>
  <c r="I182" i="6"/>
  <c r="AM48" i="203"/>
  <c r="AT48" i="203" s="1"/>
  <c r="AE62" i="203"/>
  <c r="AM62" i="203"/>
  <c r="BN51" i="203"/>
  <c r="BN52" i="203" s="1"/>
  <c r="AE43" i="203"/>
  <c r="BN49" i="203"/>
  <c r="AV43" i="203"/>
  <c r="AM43" i="203"/>
  <c r="K63" i="209"/>
  <c r="BE43" i="203"/>
  <c r="BE62" i="203"/>
  <c r="BE48" i="203"/>
  <c r="BJ42" i="203"/>
  <c r="BJ37" i="203"/>
  <c r="BA37" i="203"/>
  <c r="BA42" i="203"/>
  <c r="BS42" i="203"/>
  <c r="BS37" i="203"/>
  <c r="AL8" i="206"/>
  <c r="I12" i="201"/>
  <c r="AU12" i="206"/>
  <c r="AU28" i="206" s="1"/>
  <c r="AU49" i="206" s="1"/>
  <c r="J28" i="201"/>
  <c r="BD12" i="206"/>
  <c r="BD28" i="206" s="1"/>
  <c r="BD49" i="206" s="1"/>
  <c r="K28" i="201"/>
  <c r="H8" i="192"/>
  <c r="AI8" i="206" s="1"/>
  <c r="H227" i="190"/>
  <c r="H193" i="190"/>
  <c r="H205" i="190"/>
  <c r="AV62" i="203"/>
  <c r="H8" i="177"/>
  <c r="H12" i="177" s="1"/>
  <c r="H8" i="196"/>
  <c r="K8" i="177"/>
  <c r="K12" i="177" s="1"/>
  <c r="K8" i="196"/>
  <c r="I8" i="177"/>
  <c r="I12" i="177" s="1"/>
  <c r="I8" i="196"/>
  <c r="J8" i="177"/>
  <c r="J12" i="177" s="1"/>
  <c r="J8" i="196"/>
  <c r="L8" i="177"/>
  <c r="L12" i="177" s="1"/>
  <c r="L8" i="196"/>
  <c r="F8" i="163"/>
  <c r="F12" i="163" s="1"/>
  <c r="F28" i="163" s="1"/>
  <c r="F8" i="192"/>
  <c r="G8" i="148"/>
  <c r="G12" i="148" s="1"/>
  <c r="G8" i="189"/>
  <c r="J214" i="190"/>
  <c r="BF54" i="203" s="1"/>
  <c r="C84" i="200"/>
  <c r="C101" i="200"/>
  <c r="C102" i="200" s="1"/>
  <c r="C123" i="200"/>
  <c r="C116" i="200"/>
  <c r="AV48" i="203"/>
  <c r="AW43" i="203"/>
  <c r="AW48" i="203"/>
  <c r="AW62" i="203"/>
  <c r="BO43" i="203"/>
  <c r="BO62" i="203"/>
  <c r="BO48" i="203"/>
  <c r="BF42" i="203"/>
  <c r="BF37" i="203"/>
  <c r="BR64" i="203"/>
  <c r="BR57" i="203"/>
  <c r="BI64" i="203"/>
  <c r="BI57" i="203"/>
  <c r="AZ64" i="203"/>
  <c r="AZ57" i="203"/>
  <c r="AQ63" i="203"/>
  <c r="AQ49" i="203"/>
  <c r="AQ56" i="203"/>
  <c r="AQ51" i="203"/>
  <c r="AQ52" i="203" s="1"/>
  <c r="AT62" i="203"/>
  <c r="AT43" i="203"/>
  <c r="AR49" i="203"/>
  <c r="AR56" i="203"/>
  <c r="AR51" i="203"/>
  <c r="AR52" i="203" s="1"/>
  <c r="AR63" i="203"/>
  <c r="AN63" i="203"/>
  <c r="AN49" i="203"/>
  <c r="AN51" i="203"/>
  <c r="AN52" i="203" s="1"/>
  <c r="AH63" i="203"/>
  <c r="AH51" i="203"/>
  <c r="AH52" i="203" s="1"/>
  <c r="AH49" i="203"/>
  <c r="AH56" i="203"/>
  <c r="AF63" i="203"/>
  <c r="AF56" i="203"/>
  <c r="AF49" i="203"/>
  <c r="AF51" i="203"/>
  <c r="AF52" i="203" s="1"/>
  <c r="AJ48" i="203"/>
  <c r="AE49" i="203"/>
  <c r="AE63" i="203"/>
  <c r="AE56" i="203"/>
  <c r="AE51" i="203"/>
  <c r="D57" i="203"/>
  <c r="D64" i="203"/>
  <c r="AI51" i="203"/>
  <c r="AI52" i="203" s="1"/>
  <c r="AI49" i="203"/>
  <c r="AI56" i="203"/>
  <c r="AI63" i="203"/>
  <c r="AG64" i="203"/>
  <c r="AG57" i="203"/>
  <c r="G51" i="203"/>
  <c r="G52" i="203" s="1"/>
  <c r="G49" i="203"/>
  <c r="G56" i="203"/>
  <c r="G63" i="203"/>
  <c r="K124" i="200"/>
  <c r="K117" i="200"/>
  <c r="D123" i="200"/>
  <c r="D84" i="200"/>
  <c r="D116" i="200"/>
  <c r="D101" i="200"/>
  <c r="D102" i="200" s="1"/>
  <c r="H84" i="200"/>
  <c r="H116" i="200"/>
  <c r="H29" i="202" s="1"/>
  <c r="H101" i="200"/>
  <c r="H102" i="200" s="1"/>
  <c r="H123" i="200"/>
  <c r="E84" i="200"/>
  <c r="E116" i="200"/>
  <c r="E101" i="200"/>
  <c r="E102" i="200" s="1"/>
  <c r="E123" i="200"/>
  <c r="F84" i="200"/>
  <c r="F116" i="200"/>
  <c r="F101" i="200"/>
  <c r="F102" i="200" s="1"/>
  <c r="F123" i="200"/>
  <c r="J124" i="200"/>
  <c r="J117" i="200"/>
  <c r="I117" i="200"/>
  <c r="I124" i="200"/>
  <c r="C95" i="198"/>
  <c r="C77" i="198"/>
  <c r="C78" i="198" s="1"/>
  <c r="C88" i="198"/>
  <c r="C69" i="198"/>
  <c r="K96" i="198"/>
  <c r="K89" i="198"/>
  <c r="L95" i="198"/>
  <c r="L77" i="198"/>
  <c r="L78" i="198" s="1"/>
  <c r="L88" i="198"/>
  <c r="L69" i="198"/>
  <c r="H88" i="198"/>
  <c r="H69" i="198"/>
  <c r="H95" i="198"/>
  <c r="H77" i="198"/>
  <c r="H78" i="198" s="1"/>
  <c r="D95" i="198"/>
  <c r="D77" i="198"/>
  <c r="D78" i="198" s="1"/>
  <c r="D88" i="198"/>
  <c r="D69" i="198"/>
  <c r="F77" i="198"/>
  <c r="F78" i="198" s="1"/>
  <c r="F88" i="198"/>
  <c r="F69" i="198"/>
  <c r="F95" i="198"/>
  <c r="J88" i="198"/>
  <c r="J69" i="198"/>
  <c r="J95" i="198"/>
  <c r="J77" i="198"/>
  <c r="J78" i="198" s="1"/>
  <c r="I88" i="198"/>
  <c r="I69" i="198"/>
  <c r="I95" i="198"/>
  <c r="I77" i="198"/>
  <c r="I78" i="198" s="1"/>
  <c r="I8" i="195"/>
  <c r="AJ8" i="206" s="1"/>
  <c r="I219" i="193"/>
  <c r="I233" i="193" s="1"/>
  <c r="J220" i="193"/>
  <c r="J233" i="193"/>
  <c r="L220" i="193"/>
  <c r="L233" i="193"/>
  <c r="K220" i="193"/>
  <c r="K233" i="193"/>
  <c r="I204" i="193"/>
  <c r="I245" i="193"/>
  <c r="D239" i="193"/>
  <c r="D246" i="193"/>
  <c r="E219" i="193"/>
  <c r="E220" i="193" s="1"/>
  <c r="E238" i="193"/>
  <c r="E204" i="193"/>
  <c r="E245" i="193"/>
  <c r="C245" i="193"/>
  <c r="C219" i="193"/>
  <c r="C220" i="193" s="1"/>
  <c r="C238" i="193"/>
  <c r="C204" i="193"/>
  <c r="G219" i="193"/>
  <c r="G220" i="193" s="1"/>
  <c r="G238" i="193"/>
  <c r="G204" i="193"/>
  <c r="G245" i="193"/>
  <c r="F239" i="193"/>
  <c r="F246" i="193"/>
  <c r="I11" i="192"/>
  <c r="I220" i="190"/>
  <c r="E221" i="190"/>
  <c r="E228" i="190"/>
  <c r="D193" i="190"/>
  <c r="D205" i="190"/>
  <c r="D206" i="190" s="1"/>
  <c r="D227" i="190"/>
  <c r="D220" i="190"/>
  <c r="F205" i="190"/>
  <c r="F206" i="190" s="1"/>
  <c r="F227" i="190"/>
  <c r="F220" i="190"/>
  <c r="F193" i="190"/>
  <c r="C221" i="190"/>
  <c r="C228" i="190"/>
  <c r="K227" i="190"/>
  <c r="K193" i="190"/>
  <c r="K205" i="190"/>
  <c r="L26" i="188"/>
  <c r="BN26" i="205" s="1"/>
  <c r="BU26" i="205" s="1"/>
  <c r="K254" i="187"/>
  <c r="K266" i="187"/>
  <c r="J254" i="187"/>
  <c r="J266" i="187"/>
  <c r="L254" i="187"/>
  <c r="L266" i="187"/>
  <c r="I254" i="187"/>
  <c r="I266" i="187"/>
  <c r="I11" i="189" s="1"/>
  <c r="G188" i="166"/>
  <c r="G77" i="194" s="1"/>
  <c r="G158" i="166"/>
  <c r="C279" i="187"/>
  <c r="C272" i="187"/>
  <c r="F253" i="187"/>
  <c r="F254" i="187" s="1"/>
  <c r="F271" i="187"/>
  <c r="F238" i="187"/>
  <c r="F278" i="187"/>
  <c r="E278" i="187"/>
  <c r="E253" i="187"/>
  <c r="E254" i="187" s="1"/>
  <c r="E271" i="187"/>
  <c r="E238" i="187"/>
  <c r="D278" i="187"/>
  <c r="D238" i="187"/>
  <c r="D253" i="187"/>
  <c r="D254" i="187" s="1"/>
  <c r="D271" i="187"/>
  <c r="G253" i="187"/>
  <c r="G254" i="187" s="1"/>
  <c r="G271" i="187"/>
  <c r="G238" i="187"/>
  <c r="G278" i="187"/>
  <c r="H69" i="175"/>
  <c r="H77" i="175"/>
  <c r="H78" i="175" s="1"/>
  <c r="H88" i="175"/>
  <c r="H95" i="175"/>
  <c r="J88" i="175"/>
  <c r="J69" i="175"/>
  <c r="J95" i="175"/>
  <c r="J77" i="175"/>
  <c r="J78" i="175" s="1"/>
  <c r="L88" i="175"/>
  <c r="L69" i="175"/>
  <c r="L95" i="175"/>
  <c r="L77" i="175"/>
  <c r="L78" i="175" s="1"/>
  <c r="K77" i="175"/>
  <c r="K78" i="175" s="1"/>
  <c r="K88" i="175"/>
  <c r="K69" i="175"/>
  <c r="K95" i="175"/>
  <c r="I88" i="175"/>
  <c r="I69" i="175"/>
  <c r="I95" i="175"/>
  <c r="I77" i="175"/>
  <c r="I78" i="175" s="1"/>
  <c r="F193" i="162"/>
  <c r="F227" i="162"/>
  <c r="F205" i="162"/>
  <c r="F206" i="162" s="1"/>
  <c r="F220" i="162"/>
  <c r="G238" i="147"/>
  <c r="G278" i="147"/>
  <c r="G253" i="147"/>
  <c r="G254" i="147" s="1"/>
  <c r="G271" i="147"/>
  <c r="H13" i="184"/>
  <c r="H19" i="184" s="1"/>
  <c r="I12" i="184"/>
  <c r="J12" i="184" s="1"/>
  <c r="J13" i="184" s="1"/>
  <c r="J65" i="184" s="1"/>
  <c r="G145" i="184"/>
  <c r="E139" i="184"/>
  <c r="D139" i="184"/>
  <c r="D137" i="184" s="1"/>
  <c r="C139" i="184"/>
  <c r="E132" i="184"/>
  <c r="D132" i="184"/>
  <c r="C132" i="184"/>
  <c r="J120" i="184"/>
  <c r="BH40" i="203" s="1"/>
  <c r="BL40" i="203" s="1"/>
  <c r="I120" i="184"/>
  <c r="AY40" i="203" s="1"/>
  <c r="BC40" i="203" s="1"/>
  <c r="E125" i="184"/>
  <c r="D125" i="184"/>
  <c r="C125" i="184"/>
  <c r="E122" i="184"/>
  <c r="D122" i="184"/>
  <c r="C122" i="184"/>
  <c r="K120" i="184"/>
  <c r="BQ40" i="203" s="1"/>
  <c r="BU40" i="203" s="1"/>
  <c r="H120" i="184"/>
  <c r="G120" i="184"/>
  <c r="K114" i="184"/>
  <c r="BQ39" i="203" s="1"/>
  <c r="BU39" i="203" s="1"/>
  <c r="J114" i="184"/>
  <c r="BH39" i="203" s="1"/>
  <c r="BL39" i="203" s="1"/>
  <c r="I114" i="184"/>
  <c r="AY39" i="203" s="1"/>
  <c r="BC39" i="203" s="1"/>
  <c r="H114" i="184"/>
  <c r="G114" i="184"/>
  <c r="E114" i="184"/>
  <c r="D114" i="184"/>
  <c r="C114" i="184"/>
  <c r="K104" i="184"/>
  <c r="BQ34" i="203" s="1"/>
  <c r="BU34" i="203" s="1"/>
  <c r="J104" i="184"/>
  <c r="BH34" i="203" s="1"/>
  <c r="BL34" i="203" s="1"/>
  <c r="I104" i="184"/>
  <c r="AY34" i="203" s="1"/>
  <c r="BC34" i="203" s="1"/>
  <c r="H104" i="184"/>
  <c r="G104" i="184"/>
  <c r="E104" i="184"/>
  <c r="D104" i="184"/>
  <c r="C104" i="184"/>
  <c r="K102" i="184"/>
  <c r="J102" i="184"/>
  <c r="I102" i="184"/>
  <c r="AY33" i="203" s="1"/>
  <c r="BC33" i="203" s="1"/>
  <c r="H102" i="184"/>
  <c r="G102" i="184"/>
  <c r="E102" i="184"/>
  <c r="D102" i="184"/>
  <c r="C102" i="184"/>
  <c r="H93" i="184"/>
  <c r="G93" i="184"/>
  <c r="E93" i="184"/>
  <c r="D93" i="184"/>
  <c r="C93" i="184"/>
  <c r="K89" i="184"/>
  <c r="BQ31" i="203" s="1"/>
  <c r="BU31" i="203" s="1"/>
  <c r="J89" i="184"/>
  <c r="BH31" i="203" s="1"/>
  <c r="BL31" i="203" s="1"/>
  <c r="I89" i="184"/>
  <c r="AY31" i="203" s="1"/>
  <c r="BC31" i="203" s="1"/>
  <c r="H89" i="184"/>
  <c r="G89" i="184"/>
  <c r="E89" i="184"/>
  <c r="D89" i="184"/>
  <c r="C89" i="184"/>
  <c r="K84" i="184"/>
  <c r="BQ30" i="203" s="1"/>
  <c r="BU30" i="203" s="1"/>
  <c r="J84" i="184"/>
  <c r="BH30" i="203" s="1"/>
  <c r="BL30" i="203" s="1"/>
  <c r="H84" i="184"/>
  <c r="G84" i="184"/>
  <c r="E84" i="184"/>
  <c r="D84" i="184"/>
  <c r="C84" i="184"/>
  <c r="K80" i="184"/>
  <c r="BQ28" i="203" s="1"/>
  <c r="BU28" i="203" s="1"/>
  <c r="J80" i="184"/>
  <c r="BH28" i="203" s="1"/>
  <c r="BL28" i="203" s="1"/>
  <c r="I80" i="184"/>
  <c r="AY28" i="203" s="1"/>
  <c r="BC28" i="203" s="1"/>
  <c r="H80" i="184"/>
  <c r="G80" i="184"/>
  <c r="E80" i="184"/>
  <c r="D80" i="184"/>
  <c r="C80" i="184"/>
  <c r="K76" i="184"/>
  <c r="BQ27" i="203" s="1"/>
  <c r="BU27" i="203" s="1"/>
  <c r="J76" i="184"/>
  <c r="BH27" i="203" s="1"/>
  <c r="BL27" i="203" s="1"/>
  <c r="I76" i="184"/>
  <c r="AY27" i="203" s="1"/>
  <c r="BC27" i="203" s="1"/>
  <c r="H76" i="184"/>
  <c r="G76" i="184"/>
  <c r="E76" i="184"/>
  <c r="D76" i="184"/>
  <c r="C76" i="184"/>
  <c r="K72" i="184"/>
  <c r="BQ26" i="203" s="1"/>
  <c r="BU26" i="203" s="1"/>
  <c r="J72" i="184"/>
  <c r="BH26" i="203" s="1"/>
  <c r="BL26" i="203" s="1"/>
  <c r="I72" i="184"/>
  <c r="AY26" i="203" s="1"/>
  <c r="BC26" i="203" s="1"/>
  <c r="H72" i="184"/>
  <c r="G72" i="184"/>
  <c r="E72" i="184"/>
  <c r="D72" i="184"/>
  <c r="C72" i="184"/>
  <c r="K70" i="184"/>
  <c r="J70" i="184"/>
  <c r="I70" i="184"/>
  <c r="H70" i="184"/>
  <c r="G70" i="184"/>
  <c r="E70" i="184"/>
  <c r="D70" i="184"/>
  <c r="C70" i="184"/>
  <c r="K67" i="184"/>
  <c r="BQ24" i="203" s="1"/>
  <c r="BU24" i="203" s="1"/>
  <c r="J67" i="184"/>
  <c r="BH24" i="203" s="1"/>
  <c r="BL24" i="203" s="1"/>
  <c r="I67" i="184"/>
  <c r="AY24" i="203" s="1"/>
  <c r="BC24" i="203" s="1"/>
  <c r="H67" i="184"/>
  <c r="G67" i="184"/>
  <c r="E67" i="184"/>
  <c r="D67" i="184"/>
  <c r="C67" i="184"/>
  <c r="H58" i="184"/>
  <c r="G58" i="184"/>
  <c r="E58" i="184"/>
  <c r="D58" i="184"/>
  <c r="C58" i="184"/>
  <c r="E33" i="184"/>
  <c r="D33" i="184"/>
  <c r="C33" i="184"/>
  <c r="E25" i="184"/>
  <c r="D25" i="184"/>
  <c r="C25" i="184"/>
  <c r="H24" i="184"/>
  <c r="H29" i="184" s="1"/>
  <c r="H54" i="184" s="1"/>
  <c r="G24" i="184"/>
  <c r="G29" i="184" s="1"/>
  <c r="E7" i="184"/>
  <c r="E24" i="184" s="1"/>
  <c r="D7" i="184"/>
  <c r="D24" i="184" s="1"/>
  <c r="C7" i="184"/>
  <c r="C24" i="184" s="1"/>
  <c r="I44" i="183"/>
  <c r="H44" i="183"/>
  <c r="F44" i="183"/>
  <c r="E44" i="183"/>
  <c r="D44" i="183"/>
  <c r="C44" i="183"/>
  <c r="L37" i="183"/>
  <c r="K37" i="183"/>
  <c r="J37" i="183"/>
  <c r="I42" i="183"/>
  <c r="AP39" i="205" s="1"/>
  <c r="H42" i="183"/>
  <c r="H37" i="183" s="1"/>
  <c r="F37" i="183"/>
  <c r="E37" i="183"/>
  <c r="E65" i="183" s="1"/>
  <c r="D37" i="183"/>
  <c r="C37" i="183"/>
  <c r="L33" i="183"/>
  <c r="K33" i="183"/>
  <c r="J33" i="183"/>
  <c r="I33" i="183"/>
  <c r="H33" i="183"/>
  <c r="F33" i="183"/>
  <c r="E33" i="183"/>
  <c r="D33" i="183"/>
  <c r="C33" i="183"/>
  <c r="I25" i="183"/>
  <c r="I54" i="182" s="1"/>
  <c r="AK44" i="206" s="1"/>
  <c r="H25" i="183"/>
  <c r="F25" i="183"/>
  <c r="E25" i="183"/>
  <c r="D25" i="183"/>
  <c r="C25" i="183"/>
  <c r="I13" i="183"/>
  <c r="I23" i="183" s="1"/>
  <c r="I64" i="183" s="1"/>
  <c r="H13" i="183"/>
  <c r="F13" i="183"/>
  <c r="E13" i="183"/>
  <c r="D13" i="183"/>
  <c r="C13" i="183"/>
  <c r="L8" i="183"/>
  <c r="H8" i="183"/>
  <c r="F8" i="183"/>
  <c r="E8" i="183"/>
  <c r="D8" i="183"/>
  <c r="C8" i="183"/>
  <c r="D63" i="182"/>
  <c r="L54" i="182"/>
  <c r="K54" i="182"/>
  <c r="J54" i="182"/>
  <c r="H54" i="182"/>
  <c r="D54" i="182"/>
  <c r="L50" i="182"/>
  <c r="K50" i="182"/>
  <c r="H50" i="182"/>
  <c r="I48" i="182"/>
  <c r="F48" i="182"/>
  <c r="E48" i="182"/>
  <c r="D48" i="182"/>
  <c r="F44" i="182"/>
  <c r="E44" i="182"/>
  <c r="D44" i="182"/>
  <c r="F40" i="182"/>
  <c r="E40" i="182"/>
  <c r="D40" i="182"/>
  <c r="F38" i="182"/>
  <c r="E38" i="182"/>
  <c r="D38" i="182"/>
  <c r="L35" i="182"/>
  <c r="K35" i="182"/>
  <c r="J35" i="182"/>
  <c r="I35" i="182"/>
  <c r="H35" i="182"/>
  <c r="F35" i="182"/>
  <c r="E35" i="182"/>
  <c r="D35" i="182"/>
  <c r="H28" i="182"/>
  <c r="F28" i="182"/>
  <c r="E28" i="182"/>
  <c r="D28" i="182"/>
  <c r="I15" i="182"/>
  <c r="AK15" i="206" s="1"/>
  <c r="I12" i="182"/>
  <c r="AK12" i="206" s="1"/>
  <c r="K42" i="181"/>
  <c r="J42" i="181"/>
  <c r="I42" i="181"/>
  <c r="K40" i="181"/>
  <c r="J40" i="181"/>
  <c r="I40" i="181"/>
  <c r="I44" i="181"/>
  <c r="K26" i="181"/>
  <c r="K25" i="181"/>
  <c r="K24" i="181"/>
  <c r="K23" i="181"/>
  <c r="K22" i="181"/>
  <c r="K21" i="181"/>
  <c r="K15" i="181" s="1"/>
  <c r="K20" i="181"/>
  <c r="K19" i="181"/>
  <c r="K18" i="181"/>
  <c r="K17" i="181"/>
  <c r="K16" i="181"/>
  <c r="K14" i="181"/>
  <c r="K13" i="181"/>
  <c r="K11" i="181"/>
  <c r="K10" i="181"/>
  <c r="J26" i="181"/>
  <c r="J25" i="181"/>
  <c r="J24" i="181"/>
  <c r="J23" i="181"/>
  <c r="J22" i="181"/>
  <c r="J21" i="181"/>
  <c r="J20" i="181"/>
  <c r="J15" i="181" s="1"/>
  <c r="J19" i="181"/>
  <c r="J18" i="181"/>
  <c r="J17" i="181"/>
  <c r="J16" i="181"/>
  <c r="J14" i="181"/>
  <c r="J13" i="181"/>
  <c r="J11" i="181"/>
  <c r="J10" i="181"/>
  <c r="I26" i="181"/>
  <c r="I25" i="181"/>
  <c r="I24" i="181"/>
  <c r="I23" i="181"/>
  <c r="I22" i="181"/>
  <c r="I21" i="181"/>
  <c r="I20" i="181"/>
  <c r="I19" i="181"/>
  <c r="I18" i="181"/>
  <c r="I17" i="181"/>
  <c r="I16" i="181"/>
  <c r="I14" i="181"/>
  <c r="I13" i="181"/>
  <c r="I11" i="181"/>
  <c r="I10" i="181"/>
  <c r="D59" i="181"/>
  <c r="L50" i="181"/>
  <c r="K50" i="181"/>
  <c r="J50" i="181"/>
  <c r="H50" i="181"/>
  <c r="D50" i="181"/>
  <c r="L46" i="181"/>
  <c r="K46" i="181"/>
  <c r="J46" i="181"/>
  <c r="H46" i="181"/>
  <c r="F44" i="181"/>
  <c r="L44" i="181"/>
  <c r="K44" i="181"/>
  <c r="J44" i="181"/>
  <c r="F42" i="181"/>
  <c r="D40" i="181"/>
  <c r="F38" i="181"/>
  <c r="E38" i="181"/>
  <c r="D38" i="181"/>
  <c r="L35" i="181"/>
  <c r="K35" i="181"/>
  <c r="J35" i="181"/>
  <c r="I35" i="181"/>
  <c r="H35" i="181"/>
  <c r="F35" i="181"/>
  <c r="E35" i="181"/>
  <c r="D35" i="181"/>
  <c r="L28" i="181"/>
  <c r="H28" i="181"/>
  <c r="F28" i="181"/>
  <c r="E28" i="181"/>
  <c r="D28" i="181"/>
  <c r="L8" i="180"/>
  <c r="H8" i="180"/>
  <c r="L41" i="180"/>
  <c r="K41" i="180"/>
  <c r="J41" i="180"/>
  <c r="I41" i="180"/>
  <c r="H41" i="180"/>
  <c r="F41" i="180"/>
  <c r="E41" i="180"/>
  <c r="D41" i="180"/>
  <c r="C41" i="180"/>
  <c r="L39" i="180"/>
  <c r="K39" i="180"/>
  <c r="J39" i="180"/>
  <c r="I39" i="180"/>
  <c r="H39" i="180"/>
  <c r="L33" i="180"/>
  <c r="K33" i="180"/>
  <c r="J33" i="180"/>
  <c r="I33" i="180"/>
  <c r="H33" i="180"/>
  <c r="F33" i="180"/>
  <c r="E33" i="180"/>
  <c r="D33" i="180"/>
  <c r="C33" i="180"/>
  <c r="D25" i="180"/>
  <c r="C25" i="180"/>
  <c r="F13" i="180"/>
  <c r="E13" i="180"/>
  <c r="L13" i="180"/>
  <c r="K13" i="180"/>
  <c r="J13" i="180"/>
  <c r="J23" i="180" s="1"/>
  <c r="I13" i="180"/>
  <c r="H13" i="180"/>
  <c r="D13" i="180"/>
  <c r="C13" i="180"/>
  <c r="F8" i="180"/>
  <c r="E8" i="180"/>
  <c r="D8" i="180"/>
  <c r="C8" i="180"/>
  <c r="J92" i="179"/>
  <c r="I92" i="179"/>
  <c r="K87" i="179"/>
  <c r="J87" i="179"/>
  <c r="I87" i="179"/>
  <c r="H87" i="179"/>
  <c r="G87" i="179"/>
  <c r="K81" i="179"/>
  <c r="J81" i="179"/>
  <c r="I81" i="179"/>
  <c r="H81" i="179"/>
  <c r="G81" i="179"/>
  <c r="K70" i="179"/>
  <c r="J70" i="179"/>
  <c r="I70" i="179"/>
  <c r="H70" i="179"/>
  <c r="K68" i="179"/>
  <c r="J68" i="179"/>
  <c r="I68" i="179"/>
  <c r="H68" i="179"/>
  <c r="K66" i="179"/>
  <c r="J66" i="179"/>
  <c r="I66" i="179"/>
  <c r="H66" i="179"/>
  <c r="K62" i="179"/>
  <c r="J62" i="179"/>
  <c r="I62" i="179"/>
  <c r="H62" i="179"/>
  <c r="K57" i="179"/>
  <c r="J57" i="179"/>
  <c r="I57" i="179"/>
  <c r="H57" i="179"/>
  <c r="K53" i="179"/>
  <c r="J53" i="179"/>
  <c r="I53" i="179"/>
  <c r="H53" i="179"/>
  <c r="K49" i="179"/>
  <c r="J49" i="179"/>
  <c r="I49" i="179"/>
  <c r="H49" i="179"/>
  <c r="K45" i="179"/>
  <c r="J45" i="179"/>
  <c r="I45" i="179"/>
  <c r="H45" i="179"/>
  <c r="K43" i="179"/>
  <c r="J43" i="179"/>
  <c r="I43" i="179"/>
  <c r="H43" i="179"/>
  <c r="K41" i="179"/>
  <c r="J41" i="179"/>
  <c r="I41" i="179"/>
  <c r="H41" i="179"/>
  <c r="K33" i="179"/>
  <c r="J33" i="179"/>
  <c r="I33" i="179"/>
  <c r="H33" i="179"/>
  <c r="E139" i="179"/>
  <c r="D139" i="179"/>
  <c r="C139" i="179"/>
  <c r="E136" i="179"/>
  <c r="D136" i="179"/>
  <c r="C136" i="179"/>
  <c r="E133" i="179"/>
  <c r="D133" i="179"/>
  <c r="C133" i="179"/>
  <c r="K132" i="179"/>
  <c r="G132" i="179"/>
  <c r="E125" i="179"/>
  <c r="D125" i="179"/>
  <c r="C125" i="179"/>
  <c r="E120" i="179"/>
  <c r="D120" i="179"/>
  <c r="C120" i="179"/>
  <c r="E113" i="179"/>
  <c r="D113" i="179"/>
  <c r="C113" i="179"/>
  <c r="E108" i="179"/>
  <c r="D108" i="179"/>
  <c r="C108" i="179"/>
  <c r="E105" i="179"/>
  <c r="D105" i="179"/>
  <c r="C105" i="179"/>
  <c r="E97" i="179"/>
  <c r="D97" i="179"/>
  <c r="C97" i="179"/>
  <c r="E92" i="179"/>
  <c r="D92" i="179"/>
  <c r="C92" i="179"/>
  <c r="E89" i="179"/>
  <c r="D89" i="179"/>
  <c r="C89" i="179"/>
  <c r="E81" i="179"/>
  <c r="D81" i="179"/>
  <c r="C81" i="179"/>
  <c r="E78" i="179"/>
  <c r="D78" i="179"/>
  <c r="C78" i="179"/>
  <c r="G70" i="179"/>
  <c r="E70" i="179"/>
  <c r="D70" i="179"/>
  <c r="C70" i="179"/>
  <c r="G68" i="179"/>
  <c r="E68" i="179"/>
  <c r="D68" i="179"/>
  <c r="C68" i="179"/>
  <c r="G66" i="179"/>
  <c r="E66" i="179"/>
  <c r="D66" i="179"/>
  <c r="C66" i="179"/>
  <c r="G62" i="179"/>
  <c r="E62" i="179"/>
  <c r="D62" i="179"/>
  <c r="C62" i="179"/>
  <c r="G57" i="179"/>
  <c r="E57" i="179"/>
  <c r="D57" i="179"/>
  <c r="C57" i="179"/>
  <c r="G53" i="179"/>
  <c r="E53" i="179"/>
  <c r="D53" i="179"/>
  <c r="C53" i="179"/>
  <c r="G49" i="179"/>
  <c r="E49" i="179"/>
  <c r="D49" i="179"/>
  <c r="C49" i="179"/>
  <c r="G45" i="179"/>
  <c r="E45" i="179"/>
  <c r="D45" i="179"/>
  <c r="C45" i="179"/>
  <c r="G43" i="179"/>
  <c r="E43" i="179"/>
  <c r="D43" i="179"/>
  <c r="C43" i="179"/>
  <c r="G41" i="179"/>
  <c r="E41" i="179"/>
  <c r="D41" i="179"/>
  <c r="C41" i="179"/>
  <c r="G33" i="179"/>
  <c r="E33" i="179"/>
  <c r="D33" i="179"/>
  <c r="C33" i="179"/>
  <c r="E24" i="179"/>
  <c r="D24" i="179"/>
  <c r="C24" i="179"/>
  <c r="E16" i="179"/>
  <c r="D16" i="179"/>
  <c r="C16" i="179"/>
  <c r="K15" i="179"/>
  <c r="J15" i="179"/>
  <c r="I15" i="179"/>
  <c r="H15" i="179"/>
  <c r="G15" i="179"/>
  <c r="G20" i="179" s="1"/>
  <c r="E7" i="179"/>
  <c r="E15" i="179" s="1"/>
  <c r="D7" i="179"/>
  <c r="D15" i="179" s="1"/>
  <c r="C7" i="179"/>
  <c r="C15" i="179" s="1"/>
  <c r="C20" i="179" s="1"/>
  <c r="L51" i="174"/>
  <c r="K51" i="174"/>
  <c r="J51" i="174"/>
  <c r="I51" i="174"/>
  <c r="L38" i="174"/>
  <c r="K38" i="174"/>
  <c r="J38" i="174"/>
  <c r="I38" i="174"/>
  <c r="H38" i="174"/>
  <c r="L26" i="174"/>
  <c r="L25" i="174"/>
  <c r="L24" i="174"/>
  <c r="L23" i="174"/>
  <c r="L22" i="174"/>
  <c r="L21" i="174"/>
  <c r="L20" i="174"/>
  <c r="L19" i="174"/>
  <c r="L18" i="174"/>
  <c r="L17" i="174"/>
  <c r="L16" i="174"/>
  <c r="K26" i="174"/>
  <c r="K25" i="174"/>
  <c r="K24" i="174"/>
  <c r="K23" i="174"/>
  <c r="K22" i="174"/>
  <c r="K21" i="174"/>
  <c r="K20" i="174"/>
  <c r="K19" i="174"/>
  <c r="K18" i="174"/>
  <c r="K17" i="174"/>
  <c r="K16" i="174"/>
  <c r="J26" i="174"/>
  <c r="J25" i="174"/>
  <c r="J24" i="174"/>
  <c r="J23" i="174"/>
  <c r="J22" i="174"/>
  <c r="J21" i="174"/>
  <c r="J20" i="174"/>
  <c r="J19" i="174"/>
  <c r="J18" i="174"/>
  <c r="J17" i="174"/>
  <c r="J16" i="174"/>
  <c r="I26" i="174"/>
  <c r="I25" i="174"/>
  <c r="I24" i="174"/>
  <c r="I23" i="174"/>
  <c r="I22" i="174"/>
  <c r="I21" i="174"/>
  <c r="I20" i="174"/>
  <c r="I19" i="174"/>
  <c r="I18" i="174"/>
  <c r="I17" i="174"/>
  <c r="I16" i="174"/>
  <c r="H26" i="174"/>
  <c r="H25" i="174"/>
  <c r="H24" i="174"/>
  <c r="H23" i="174"/>
  <c r="H22" i="174"/>
  <c r="H20" i="174"/>
  <c r="H21" i="174"/>
  <c r="H18" i="174"/>
  <c r="H17" i="174"/>
  <c r="H16" i="174"/>
  <c r="L11" i="174"/>
  <c r="K11" i="174"/>
  <c r="J11" i="174"/>
  <c r="I11" i="174"/>
  <c r="H11" i="174"/>
  <c r="L15" i="172"/>
  <c r="L18" i="172" s="1"/>
  <c r="K15" i="172"/>
  <c r="K18" i="172" s="1"/>
  <c r="K19" i="172" s="1"/>
  <c r="J15" i="172"/>
  <c r="J18" i="172" s="1"/>
  <c r="J19" i="172" s="1"/>
  <c r="I15" i="172"/>
  <c r="I18" i="172" s="1"/>
  <c r="H15" i="172"/>
  <c r="H18" i="172" s="1"/>
  <c r="L51" i="167"/>
  <c r="K51" i="167"/>
  <c r="J51" i="167"/>
  <c r="L39" i="167"/>
  <c r="K39" i="167"/>
  <c r="J39" i="167"/>
  <c r="L26" i="167"/>
  <c r="L25" i="167"/>
  <c r="L24" i="167"/>
  <c r="L23" i="167"/>
  <c r="L22" i="167"/>
  <c r="L21" i="167"/>
  <c r="L19" i="167"/>
  <c r="L18" i="167"/>
  <c r="L17" i="167"/>
  <c r="L16" i="167"/>
  <c r="K26" i="167"/>
  <c r="K25" i="167"/>
  <c r="K24" i="167"/>
  <c r="K23" i="167"/>
  <c r="K22" i="167"/>
  <c r="K21" i="167"/>
  <c r="K19" i="167"/>
  <c r="K18" i="167"/>
  <c r="K17" i="167"/>
  <c r="K16" i="167"/>
  <c r="J26" i="167"/>
  <c r="J25" i="167"/>
  <c r="J24" i="167"/>
  <c r="J23" i="167"/>
  <c r="J22" i="167"/>
  <c r="J21" i="167"/>
  <c r="J19" i="167"/>
  <c r="J18" i="167"/>
  <c r="J17" i="167"/>
  <c r="J16" i="167"/>
  <c r="L13" i="167"/>
  <c r="K13" i="167"/>
  <c r="J13" i="167"/>
  <c r="L11" i="167"/>
  <c r="K11" i="167"/>
  <c r="J11" i="167"/>
  <c r="L10" i="167"/>
  <c r="K10" i="167"/>
  <c r="J10" i="167"/>
  <c r="J19" i="168"/>
  <c r="L52" i="166"/>
  <c r="K52" i="166"/>
  <c r="J52" i="166"/>
  <c r="I52" i="166"/>
  <c r="K38" i="163"/>
  <c r="J38" i="163"/>
  <c r="I38" i="163"/>
  <c r="K26" i="163"/>
  <c r="K25" i="163"/>
  <c r="K24" i="163"/>
  <c r="K23" i="163"/>
  <c r="K22" i="163"/>
  <c r="K21" i="163"/>
  <c r="K20" i="163"/>
  <c r="K19" i="163"/>
  <c r="K18" i="163"/>
  <c r="K17" i="163"/>
  <c r="K16" i="163"/>
  <c r="J26" i="163"/>
  <c r="J25" i="163"/>
  <c r="J24" i="163"/>
  <c r="J23" i="163"/>
  <c r="J22" i="163"/>
  <c r="J21" i="163"/>
  <c r="J20" i="163"/>
  <c r="J19" i="163"/>
  <c r="J18" i="163"/>
  <c r="J17" i="163"/>
  <c r="J16" i="163"/>
  <c r="I26" i="163"/>
  <c r="I25" i="163"/>
  <c r="I24" i="163"/>
  <c r="I23" i="163"/>
  <c r="I22" i="163"/>
  <c r="I21" i="163"/>
  <c r="I20" i="163"/>
  <c r="I19" i="163"/>
  <c r="I18" i="163"/>
  <c r="I17" i="163"/>
  <c r="I16" i="163"/>
  <c r="K13" i="163"/>
  <c r="J13" i="163"/>
  <c r="I13" i="163"/>
  <c r="K11" i="163"/>
  <c r="J11" i="163"/>
  <c r="I11" i="163"/>
  <c r="AP37" i="205" l="1"/>
  <c r="AP51" i="205" s="1"/>
  <c r="AP53" i="205" s="1"/>
  <c r="AT39" i="205"/>
  <c r="AT37" i="205" s="1"/>
  <c r="D65" i="183"/>
  <c r="AO44" i="206"/>
  <c r="AK46" i="206"/>
  <c r="AO46" i="206" s="1"/>
  <c r="AK28" i="206"/>
  <c r="I19" i="172"/>
  <c r="I24" i="172"/>
  <c r="L19" i="172"/>
  <c r="L24" i="172"/>
  <c r="H19" i="172"/>
  <c r="H24" i="172"/>
  <c r="J24" i="172"/>
  <c r="K24" i="172"/>
  <c r="I60" i="180"/>
  <c r="I59" i="180"/>
  <c r="I58" i="180"/>
  <c r="I57" i="180"/>
  <c r="I56" i="180"/>
  <c r="I20" i="179"/>
  <c r="I29" i="179" s="1"/>
  <c r="J56" i="180"/>
  <c r="J60" i="180"/>
  <c r="J59" i="180"/>
  <c r="J58" i="180"/>
  <c r="J57" i="180"/>
  <c r="J20" i="179"/>
  <c r="J21" i="179" s="1"/>
  <c r="K60" i="180"/>
  <c r="K59" i="180"/>
  <c r="K57" i="180"/>
  <c r="K58" i="180"/>
  <c r="K56" i="180"/>
  <c r="AJ62" i="203"/>
  <c r="E111" i="6"/>
  <c r="C183" i="6"/>
  <c r="AM49" i="203"/>
  <c r="AJ43" i="203"/>
  <c r="L13" i="208"/>
  <c r="L23" i="208" s="1"/>
  <c r="L56" i="208" s="1"/>
  <c r="BT18" i="205"/>
  <c r="BT13" i="205" s="1"/>
  <c r="BT23" i="205" s="1"/>
  <c r="BT53" i="205" s="1"/>
  <c r="AM63" i="203"/>
  <c r="AM51" i="203"/>
  <c r="AM52" i="203" s="1"/>
  <c r="L63" i="209"/>
  <c r="BE63" i="203"/>
  <c r="BE51" i="203"/>
  <c r="BE49" i="203"/>
  <c r="BS48" i="203"/>
  <c r="BS43" i="203"/>
  <c r="BS62" i="203"/>
  <c r="BA48" i="203"/>
  <c r="BA62" i="203"/>
  <c r="BA43" i="203"/>
  <c r="BJ48" i="203"/>
  <c r="BJ43" i="203"/>
  <c r="BJ62" i="203"/>
  <c r="AL12" i="206"/>
  <c r="AL28" i="206" s="1"/>
  <c r="AL49" i="206" s="1"/>
  <c r="I28" i="201"/>
  <c r="I72" i="201" s="1"/>
  <c r="H214" i="190"/>
  <c r="H206" i="190"/>
  <c r="J220" i="190"/>
  <c r="J29" i="191" s="1"/>
  <c r="BF29" i="205" s="1"/>
  <c r="J11" i="192"/>
  <c r="J12" i="192" s="1"/>
  <c r="I12" i="189"/>
  <c r="AH11" i="206"/>
  <c r="AV63" i="203"/>
  <c r="AV8" i="206"/>
  <c r="J12" i="196"/>
  <c r="I29" i="176"/>
  <c r="I29" i="199"/>
  <c r="AR29" i="205" s="1"/>
  <c r="L29" i="176"/>
  <c r="L29" i="199"/>
  <c r="BS29" i="205" s="1"/>
  <c r="I12" i="196"/>
  <c r="AM8" i="206"/>
  <c r="AO8" i="206" s="1"/>
  <c r="K29" i="176"/>
  <c r="K29" i="199"/>
  <c r="BJ29" i="205" s="1"/>
  <c r="K12" i="196"/>
  <c r="BE8" i="206"/>
  <c r="J29" i="176"/>
  <c r="J29" i="199"/>
  <c r="BA29" i="205" s="1"/>
  <c r="L12" i="196"/>
  <c r="BN8" i="206"/>
  <c r="H12" i="196"/>
  <c r="AD8" i="206"/>
  <c r="H29" i="176"/>
  <c r="H29" i="199"/>
  <c r="F29" i="164"/>
  <c r="F29" i="191"/>
  <c r="F12" i="192"/>
  <c r="AA8" i="206"/>
  <c r="G12" i="189"/>
  <c r="Z8" i="206"/>
  <c r="G29" i="149"/>
  <c r="G29" i="188"/>
  <c r="I12" i="192"/>
  <c r="AR11" i="206"/>
  <c r="AV49" i="203"/>
  <c r="AV51" i="203"/>
  <c r="C124" i="200"/>
  <c r="C117" i="200"/>
  <c r="BF48" i="203"/>
  <c r="BF43" i="203"/>
  <c r="BF62" i="203"/>
  <c r="BO49" i="203"/>
  <c r="BO51" i="203"/>
  <c r="BO63" i="203"/>
  <c r="AW51" i="203"/>
  <c r="AW52" i="203" s="1"/>
  <c r="AW49" i="203"/>
  <c r="AW63" i="203"/>
  <c r="AW56" i="203"/>
  <c r="I220" i="193"/>
  <c r="AR64" i="203"/>
  <c r="AR57" i="203"/>
  <c r="AQ64" i="203"/>
  <c r="AQ57" i="203"/>
  <c r="AT63" i="203"/>
  <c r="AT49" i="203"/>
  <c r="AH64" i="203"/>
  <c r="AH57" i="203"/>
  <c r="G64" i="203"/>
  <c r="G57" i="203"/>
  <c r="AI64" i="203"/>
  <c r="AI57" i="203"/>
  <c r="AJ51" i="203"/>
  <c r="AJ52" i="203" s="1"/>
  <c r="AE52" i="203"/>
  <c r="AE64" i="203"/>
  <c r="AE57" i="203"/>
  <c r="AJ56" i="203"/>
  <c r="AF64" i="203"/>
  <c r="AF57" i="203"/>
  <c r="AJ49" i="203"/>
  <c r="AJ63" i="203"/>
  <c r="E117" i="200"/>
  <c r="E124" i="200"/>
  <c r="H117" i="200"/>
  <c r="H124" i="200"/>
  <c r="D117" i="200"/>
  <c r="D124" i="200"/>
  <c r="F117" i="200"/>
  <c r="F124" i="200"/>
  <c r="H54" i="183"/>
  <c r="I37" i="183"/>
  <c r="I54" i="183" s="1"/>
  <c r="I56" i="183" s="1"/>
  <c r="J48" i="182"/>
  <c r="AT41" i="206" s="1"/>
  <c r="AX41" i="206" s="1"/>
  <c r="H23" i="183"/>
  <c r="J96" i="198"/>
  <c r="J89" i="198"/>
  <c r="I89" i="198"/>
  <c r="I96" i="198"/>
  <c r="H89" i="198"/>
  <c r="H96" i="198"/>
  <c r="C96" i="198"/>
  <c r="C89" i="198"/>
  <c r="F89" i="198"/>
  <c r="F96" i="198"/>
  <c r="D89" i="198"/>
  <c r="D96" i="198"/>
  <c r="L96" i="198"/>
  <c r="L89" i="198"/>
  <c r="I232" i="193"/>
  <c r="I11" i="195"/>
  <c r="K232" i="193"/>
  <c r="K11" i="195"/>
  <c r="L232" i="193"/>
  <c r="L11" i="195"/>
  <c r="J11" i="195"/>
  <c r="J232" i="193"/>
  <c r="G239" i="193"/>
  <c r="G246" i="193"/>
  <c r="E239" i="193"/>
  <c r="E246" i="193"/>
  <c r="C246" i="193"/>
  <c r="C239" i="193"/>
  <c r="K206" i="190"/>
  <c r="K214" i="190"/>
  <c r="BO54" i="203" s="1"/>
  <c r="I29" i="191"/>
  <c r="AW29" i="205" s="1"/>
  <c r="I228" i="190"/>
  <c r="I221" i="190"/>
  <c r="D221" i="190"/>
  <c r="D228" i="190"/>
  <c r="F228" i="190"/>
  <c r="F221" i="190"/>
  <c r="L265" i="187"/>
  <c r="L11" i="189"/>
  <c r="J265" i="187"/>
  <c r="J11" i="189"/>
  <c r="K265" i="187"/>
  <c r="K11" i="189"/>
  <c r="J57" i="166"/>
  <c r="J58" i="166" s="1"/>
  <c r="J74" i="168"/>
  <c r="J72" i="168"/>
  <c r="J70" i="168"/>
  <c r="J73" i="168"/>
  <c r="J71" i="168"/>
  <c r="L57" i="166"/>
  <c r="L58" i="166" s="1"/>
  <c r="L73" i="168"/>
  <c r="L71" i="168"/>
  <c r="L72" i="168"/>
  <c r="L70" i="168"/>
  <c r="K57" i="166"/>
  <c r="K58" i="166" s="1"/>
  <c r="K74" i="168"/>
  <c r="K72" i="168"/>
  <c r="K70" i="168"/>
  <c r="K73" i="168"/>
  <c r="K71" i="168"/>
  <c r="I57" i="166"/>
  <c r="I77" i="166" s="1"/>
  <c r="I74" i="168"/>
  <c r="I72" i="168"/>
  <c r="I70" i="168"/>
  <c r="I73" i="168"/>
  <c r="I71" i="168"/>
  <c r="G77" i="168"/>
  <c r="G203" i="166"/>
  <c r="G8" i="195" s="1"/>
  <c r="G189" i="166"/>
  <c r="G244" i="166"/>
  <c r="G272" i="187"/>
  <c r="G279" i="187"/>
  <c r="D272" i="187"/>
  <c r="D279" i="187"/>
  <c r="E272" i="187"/>
  <c r="E279" i="187"/>
  <c r="F272" i="187"/>
  <c r="F279" i="187"/>
  <c r="H96" i="175"/>
  <c r="H89" i="175"/>
  <c r="I96" i="175"/>
  <c r="I89" i="175"/>
  <c r="L96" i="175"/>
  <c r="L89" i="175"/>
  <c r="K96" i="175"/>
  <c r="K89" i="175"/>
  <c r="J96" i="175"/>
  <c r="J89" i="175"/>
  <c r="L15" i="174"/>
  <c r="K15" i="174"/>
  <c r="I15" i="174"/>
  <c r="J15" i="174"/>
  <c r="K19" i="168"/>
  <c r="J20" i="167"/>
  <c r="J15" i="167" s="1"/>
  <c r="F228" i="162"/>
  <c r="F221" i="162"/>
  <c r="G272" i="147"/>
  <c r="G279" i="147"/>
  <c r="D58" i="182"/>
  <c r="D61" i="182" s="1"/>
  <c r="D64" i="182" s="1"/>
  <c r="E58" i="182"/>
  <c r="E61" i="182" s="1"/>
  <c r="H58" i="182"/>
  <c r="H61" i="182" s="1"/>
  <c r="I28" i="182"/>
  <c r="E54" i="183"/>
  <c r="D23" i="183"/>
  <c r="D64" i="183" s="1"/>
  <c r="H56" i="183"/>
  <c r="F23" i="183"/>
  <c r="F64" i="183" s="1"/>
  <c r="F54" i="183"/>
  <c r="F65" i="183"/>
  <c r="C54" i="183"/>
  <c r="D54" i="183"/>
  <c r="D56" i="183" s="1"/>
  <c r="E23" i="183"/>
  <c r="E64" i="183" s="1"/>
  <c r="C23" i="183"/>
  <c r="C64" i="183" s="1"/>
  <c r="G56" i="184"/>
  <c r="E29" i="184"/>
  <c r="E30" i="184" s="1"/>
  <c r="D56" i="184"/>
  <c r="J37" i="184"/>
  <c r="J41" i="184" s="1"/>
  <c r="J59" i="184"/>
  <c r="J58" i="184" s="1"/>
  <c r="BH23" i="203" s="1"/>
  <c r="BL23" i="203" s="1"/>
  <c r="H56" i="184"/>
  <c r="H110" i="184" s="1"/>
  <c r="I13" i="184"/>
  <c r="C145" i="184"/>
  <c r="E137" i="184"/>
  <c r="E145" i="184"/>
  <c r="J19" i="184"/>
  <c r="J21" i="184" s="1"/>
  <c r="J15" i="184"/>
  <c r="J17" i="184" s="1"/>
  <c r="H15" i="184"/>
  <c r="K12" i="184"/>
  <c r="K13" i="184" s="1"/>
  <c r="K65" i="184" s="1"/>
  <c r="C120" i="184"/>
  <c r="C56" i="184"/>
  <c r="E154" i="184"/>
  <c r="D120" i="184"/>
  <c r="C137" i="184"/>
  <c r="D145" i="184"/>
  <c r="E120" i="184"/>
  <c r="E56" i="184"/>
  <c r="G154" i="184"/>
  <c r="C29" i="184"/>
  <c r="C154" i="184"/>
  <c r="G30" i="184"/>
  <c r="G54" i="184"/>
  <c r="H155" i="184"/>
  <c r="H55" i="184"/>
  <c r="H30" i="184"/>
  <c r="D154" i="184"/>
  <c r="D29" i="184"/>
  <c r="H154" i="184"/>
  <c r="I65" i="183"/>
  <c r="C65" i="183"/>
  <c r="I31" i="179"/>
  <c r="I76" i="179" s="1"/>
  <c r="I15" i="181"/>
  <c r="H54" i="181"/>
  <c r="H57" i="181" s="1"/>
  <c r="E42" i="181"/>
  <c r="D44" i="181"/>
  <c r="E40" i="181"/>
  <c r="E54" i="181" s="1"/>
  <c r="E57" i="181" s="1"/>
  <c r="F40" i="181"/>
  <c r="D42" i="181"/>
  <c r="E44" i="181"/>
  <c r="L23" i="180"/>
  <c r="L61" i="180" s="1"/>
  <c r="C37" i="180"/>
  <c r="K23" i="180"/>
  <c r="D37" i="180"/>
  <c r="D62" i="180" s="1"/>
  <c r="C51" i="180"/>
  <c r="E37" i="180"/>
  <c r="F37" i="180"/>
  <c r="H23" i="180"/>
  <c r="I23" i="180"/>
  <c r="I61" i="180" s="1"/>
  <c r="C23" i="180"/>
  <c r="C61" i="180" s="1"/>
  <c r="D23" i="180"/>
  <c r="D61" i="180" s="1"/>
  <c r="E23" i="180"/>
  <c r="E61" i="180" s="1"/>
  <c r="C62" i="180"/>
  <c r="F23" i="180"/>
  <c r="F61" i="180" s="1"/>
  <c r="G31" i="179"/>
  <c r="K31" i="179"/>
  <c r="H31" i="179"/>
  <c r="J31" i="179"/>
  <c r="D20" i="179"/>
  <c r="D21" i="179" s="1"/>
  <c r="E87" i="179"/>
  <c r="H149" i="179"/>
  <c r="C132" i="179"/>
  <c r="D87" i="179"/>
  <c r="E132" i="179"/>
  <c r="D132" i="179"/>
  <c r="D119" i="179"/>
  <c r="E119" i="179"/>
  <c r="E31" i="179"/>
  <c r="C31" i="179"/>
  <c r="C87" i="179"/>
  <c r="H20" i="179"/>
  <c r="H21" i="179" s="1"/>
  <c r="I149" i="179"/>
  <c r="K149" i="179"/>
  <c r="D31" i="179"/>
  <c r="C119" i="179"/>
  <c r="J149" i="179"/>
  <c r="G149" i="179"/>
  <c r="G29" i="179"/>
  <c r="G21" i="179"/>
  <c r="I150" i="179"/>
  <c r="I30" i="179"/>
  <c r="E149" i="179"/>
  <c r="E20" i="179"/>
  <c r="C21" i="179"/>
  <c r="C29" i="179"/>
  <c r="I21" i="179"/>
  <c r="C149" i="179"/>
  <c r="D149" i="179"/>
  <c r="K20" i="179"/>
  <c r="H15" i="174"/>
  <c r="I58" i="166"/>
  <c r="L51" i="148"/>
  <c r="K51" i="148"/>
  <c r="J51" i="148"/>
  <c r="L43" i="148"/>
  <c r="K43" i="148"/>
  <c r="J43" i="148"/>
  <c r="L38" i="148"/>
  <c r="K38" i="148"/>
  <c r="J38" i="148"/>
  <c r="L26" i="148"/>
  <c r="L25" i="148"/>
  <c r="L24" i="148"/>
  <c r="L23" i="148"/>
  <c r="L22" i="148"/>
  <c r="L21" i="148"/>
  <c r="L19" i="148"/>
  <c r="L18" i="148"/>
  <c r="L17" i="148"/>
  <c r="L16" i="148"/>
  <c r="L13" i="148"/>
  <c r="K26" i="148"/>
  <c r="K25" i="148"/>
  <c r="K24" i="148"/>
  <c r="K23" i="148"/>
  <c r="K22" i="148"/>
  <c r="K21" i="148"/>
  <c r="K19" i="148"/>
  <c r="K18" i="148"/>
  <c r="K17" i="148"/>
  <c r="K16" i="148"/>
  <c r="K13" i="148"/>
  <c r="J26" i="148"/>
  <c r="J25" i="148"/>
  <c r="J24" i="148"/>
  <c r="J23" i="148"/>
  <c r="J22" i="148"/>
  <c r="J21" i="148"/>
  <c r="J19" i="148"/>
  <c r="J18" i="148"/>
  <c r="J17" i="148"/>
  <c r="J16" i="148"/>
  <c r="J13" i="148"/>
  <c r="C95" i="6"/>
  <c r="C96" i="6" s="1"/>
  <c r="C102" i="6"/>
  <c r="C98" i="6"/>
  <c r="O65" i="6"/>
  <c r="G78" i="6"/>
  <c r="F78" i="6"/>
  <c r="E78" i="6"/>
  <c r="D78" i="6"/>
  <c r="C78" i="6"/>
  <c r="G77" i="6"/>
  <c r="D68" i="6"/>
  <c r="E68" i="6" s="1"/>
  <c r="O66" i="6"/>
  <c r="N66" i="6"/>
  <c r="M66" i="6"/>
  <c r="N46" i="6"/>
  <c r="O44" i="6"/>
  <c r="N44" i="6"/>
  <c r="M44" i="6"/>
  <c r="D42" i="6"/>
  <c r="E42" i="6" s="1"/>
  <c r="G52" i="6"/>
  <c r="F52" i="6"/>
  <c r="E52" i="6"/>
  <c r="D52" i="6"/>
  <c r="C52" i="6"/>
  <c r="G51" i="6"/>
  <c r="O40" i="6"/>
  <c r="N40" i="6"/>
  <c r="M40" i="6"/>
  <c r="G25" i="6"/>
  <c r="G26" i="6"/>
  <c r="F26" i="6"/>
  <c r="E26" i="6"/>
  <c r="D26" i="6"/>
  <c r="C26" i="6"/>
  <c r="O14" i="6"/>
  <c r="N14" i="6"/>
  <c r="M14" i="6"/>
  <c r="AK49" i="206" l="1"/>
  <c r="AK52" i="206" s="1"/>
  <c r="AT51" i="206" s="1"/>
  <c r="F56" i="183"/>
  <c r="K25" i="172"/>
  <c r="K55" i="172"/>
  <c r="H119" i="172"/>
  <c r="H55" i="172"/>
  <c r="H25" i="172"/>
  <c r="L25" i="172"/>
  <c r="L55" i="172"/>
  <c r="I55" i="172"/>
  <c r="I25" i="172"/>
  <c r="J25" i="172"/>
  <c r="J55" i="172"/>
  <c r="J29" i="179"/>
  <c r="J30" i="179" s="1"/>
  <c r="J77" i="166"/>
  <c r="K77" i="166"/>
  <c r="K157" i="166" s="1"/>
  <c r="AT51" i="203"/>
  <c r="AT52" i="203" s="1"/>
  <c r="G12" i="195"/>
  <c r="AB8" i="206"/>
  <c r="J221" i="190"/>
  <c r="J228" i="190"/>
  <c r="BE52" i="203"/>
  <c r="AV52" i="203"/>
  <c r="BA11" i="206"/>
  <c r="AT46" i="206"/>
  <c r="AX46" i="206" s="1"/>
  <c r="BJ49" i="203"/>
  <c r="BJ51" i="203"/>
  <c r="BJ52" i="203" s="1"/>
  <c r="BJ56" i="203"/>
  <c r="BJ63" i="203"/>
  <c r="BA63" i="203"/>
  <c r="BA56" i="203"/>
  <c r="BA51" i="203"/>
  <c r="BA52" i="203" s="1"/>
  <c r="BA49" i="203"/>
  <c r="BS49" i="203"/>
  <c r="BS51" i="203"/>
  <c r="BS52" i="203" s="1"/>
  <c r="BS56" i="203"/>
  <c r="BS63" i="203"/>
  <c r="AN54" i="203"/>
  <c r="AN56" i="203" s="1"/>
  <c r="H11" i="192"/>
  <c r="H220" i="190"/>
  <c r="L12" i="189"/>
  <c r="BI11" i="206"/>
  <c r="L271" i="187"/>
  <c r="L272" i="187" s="1"/>
  <c r="BN54" i="203"/>
  <c r="I28" i="189"/>
  <c r="I71" i="189" s="1"/>
  <c r="AH12" i="206"/>
  <c r="K12" i="189"/>
  <c r="AZ11" i="206"/>
  <c r="K271" i="187"/>
  <c r="K279" i="187" s="1"/>
  <c r="BE54" i="203"/>
  <c r="J12" i="189"/>
  <c r="AQ11" i="206"/>
  <c r="J271" i="187"/>
  <c r="J272" i="187" s="1"/>
  <c r="AV54" i="203"/>
  <c r="AM12" i="206"/>
  <c r="AI29" i="205"/>
  <c r="BN12" i="206"/>
  <c r="AD12" i="206"/>
  <c r="AD28" i="206" s="1"/>
  <c r="AD49" i="206" s="1"/>
  <c r="H28" i="196"/>
  <c r="H62" i="196" s="1"/>
  <c r="AV12" i="206"/>
  <c r="BE12" i="206"/>
  <c r="AA12" i="206"/>
  <c r="AA28" i="206" s="1"/>
  <c r="AA49" i="206" s="1"/>
  <c r="F28" i="192"/>
  <c r="AF29" i="205"/>
  <c r="AE29" i="205"/>
  <c r="Z12" i="206"/>
  <c r="G28" i="189"/>
  <c r="I28" i="192"/>
  <c r="I66" i="192" s="1"/>
  <c r="AR12" i="206"/>
  <c r="AR28" i="206" s="1"/>
  <c r="AR49" i="206" s="1"/>
  <c r="J28" i="192"/>
  <c r="J66" i="192" s="1"/>
  <c r="BA12" i="206"/>
  <c r="BA28" i="206" s="1"/>
  <c r="BA49" i="206" s="1"/>
  <c r="J12" i="195"/>
  <c r="AS11" i="206"/>
  <c r="L12" i="195"/>
  <c r="BK11" i="206"/>
  <c r="I12" i="195"/>
  <c r="AJ11" i="206"/>
  <c r="L238" i="193"/>
  <c r="L29" i="194" s="1"/>
  <c r="BP29" i="205" s="1"/>
  <c r="BP54" i="203"/>
  <c r="BP56" i="203" s="1"/>
  <c r="I238" i="193"/>
  <c r="I29" i="194" s="1"/>
  <c r="AO54" i="203"/>
  <c r="K12" i="195"/>
  <c r="BB11" i="206"/>
  <c r="K238" i="193"/>
  <c r="K239" i="193" s="1"/>
  <c r="BG54" i="203"/>
  <c r="J238" i="193"/>
  <c r="J29" i="194" s="1"/>
  <c r="AX54" i="203"/>
  <c r="J42" i="184"/>
  <c r="J94" i="184"/>
  <c r="J96" i="184" s="1"/>
  <c r="J99" i="184" s="1"/>
  <c r="BO56" i="203"/>
  <c r="AW57" i="203"/>
  <c r="AW64" i="203"/>
  <c r="BF63" i="203"/>
  <c r="BF56" i="203"/>
  <c r="BF49" i="203"/>
  <c r="BF51" i="203"/>
  <c r="BO52" i="203"/>
  <c r="AJ64" i="203"/>
  <c r="AJ57" i="203"/>
  <c r="L239" i="193"/>
  <c r="K11" i="192"/>
  <c r="K220" i="190"/>
  <c r="G8" i="167"/>
  <c r="G12" i="167" s="1"/>
  <c r="G219" i="166"/>
  <c r="G220" i="166" s="1"/>
  <c r="G245" i="166"/>
  <c r="G238" i="166"/>
  <c r="G29" i="194" s="1"/>
  <c r="G204" i="166"/>
  <c r="L77" i="166"/>
  <c r="L78" i="166" s="1"/>
  <c r="L19" i="168"/>
  <c r="K20" i="167"/>
  <c r="K15" i="167" s="1"/>
  <c r="D66" i="182"/>
  <c r="E63" i="182"/>
  <c r="E64" i="182" s="1"/>
  <c r="E66" i="182" s="1"/>
  <c r="J39" i="184"/>
  <c r="E54" i="184"/>
  <c r="E55" i="184" s="1"/>
  <c r="C56" i="183"/>
  <c r="E56" i="183"/>
  <c r="J7" i="184"/>
  <c r="I59" i="184"/>
  <c r="I65" i="184"/>
  <c r="K37" i="184"/>
  <c r="K41" i="184" s="1"/>
  <c r="K59" i="184"/>
  <c r="K58" i="184" s="1"/>
  <c r="BQ23" i="203" s="1"/>
  <c r="BU23" i="203" s="1"/>
  <c r="I19" i="184"/>
  <c r="I21" i="184" s="1"/>
  <c r="I37" i="184"/>
  <c r="I15" i="184"/>
  <c r="I17" i="184" s="1"/>
  <c r="K19" i="184"/>
  <c r="K21" i="184" s="1"/>
  <c r="K15" i="184"/>
  <c r="K17" i="184" s="1"/>
  <c r="C30" i="184"/>
  <c r="C54" i="184"/>
  <c r="H111" i="184"/>
  <c r="H128" i="184"/>
  <c r="D30" i="184"/>
  <c r="D54" i="184"/>
  <c r="G110" i="184"/>
  <c r="G55" i="184"/>
  <c r="G155" i="184"/>
  <c r="D54" i="181"/>
  <c r="D57" i="181" s="1"/>
  <c r="D60" i="181" s="1"/>
  <c r="D51" i="180"/>
  <c r="D53" i="180" s="1"/>
  <c r="C53" i="180"/>
  <c r="E25" i="180"/>
  <c r="D29" i="179"/>
  <c r="D76" i="179" s="1"/>
  <c r="H29" i="179"/>
  <c r="H76" i="179" s="1"/>
  <c r="J150" i="179"/>
  <c r="J76" i="179"/>
  <c r="J77" i="179" s="1"/>
  <c r="C30" i="179"/>
  <c r="C150" i="179"/>
  <c r="C76" i="179"/>
  <c r="G30" i="179"/>
  <c r="G76" i="179"/>
  <c r="G150" i="179"/>
  <c r="I95" i="179"/>
  <c r="J63" i="180" s="1"/>
  <c r="I77" i="179"/>
  <c r="K21" i="179"/>
  <c r="K29" i="179"/>
  <c r="E29" i="179"/>
  <c r="E21" i="179"/>
  <c r="C100" i="6"/>
  <c r="J78" i="166"/>
  <c r="J157" i="166"/>
  <c r="I78" i="166"/>
  <c r="I157" i="166"/>
  <c r="F68" i="6"/>
  <c r="G68" i="6" s="1"/>
  <c r="F42" i="6"/>
  <c r="G42" i="6" s="1"/>
  <c r="K78" i="166" l="1"/>
  <c r="L246" i="193"/>
  <c r="BC54" i="203"/>
  <c r="I56" i="172"/>
  <c r="I71" i="172"/>
  <c r="H71" i="172"/>
  <c r="H56" i="172"/>
  <c r="L56" i="172"/>
  <c r="L71" i="172"/>
  <c r="J56" i="172"/>
  <c r="J71" i="172"/>
  <c r="K56" i="172"/>
  <c r="K71" i="172"/>
  <c r="L20" i="167"/>
  <c r="L15" i="167" s="1"/>
  <c r="L74" i="168"/>
  <c r="L157" i="166"/>
  <c r="I239" i="193"/>
  <c r="I246" i="193"/>
  <c r="K272" i="187"/>
  <c r="K29" i="188"/>
  <c r="BE29" i="205" s="1"/>
  <c r="BL54" i="203"/>
  <c r="BG11" i="206"/>
  <c r="AX11" i="206"/>
  <c r="K246" i="193"/>
  <c r="J239" i="193"/>
  <c r="BU54" i="203"/>
  <c r="AB12" i="206"/>
  <c r="AB28" i="206" s="1"/>
  <c r="AB49" i="206" s="1"/>
  <c r="G28" i="195"/>
  <c r="G79" i="195" s="1"/>
  <c r="I7" i="184"/>
  <c r="I24" i="184" s="1"/>
  <c r="AH28" i="206"/>
  <c r="AV56" i="203"/>
  <c r="AV64" i="203" s="1"/>
  <c r="BE56" i="203"/>
  <c r="BN56" i="203"/>
  <c r="L29" i="188"/>
  <c r="BN29" i="205" s="1"/>
  <c r="L279" i="187"/>
  <c r="BS64" i="203"/>
  <c r="BS57" i="203"/>
  <c r="BJ64" i="203"/>
  <c r="BJ57" i="203"/>
  <c r="BA64" i="203"/>
  <c r="BA57" i="203"/>
  <c r="K29" i="194"/>
  <c r="BG29" i="205" s="1"/>
  <c r="H221" i="190"/>
  <c r="H29" i="191"/>
  <c r="AN29" i="205" s="1"/>
  <c r="H228" i="190"/>
  <c r="H12" i="192"/>
  <c r="AI11" i="206"/>
  <c r="AO11" i="206" s="1"/>
  <c r="AN57" i="203"/>
  <c r="AN64" i="203"/>
  <c r="J29" i="188"/>
  <c r="AV29" i="205" s="1"/>
  <c r="K28" i="189"/>
  <c r="AZ12" i="206"/>
  <c r="AZ28" i="206" s="1"/>
  <c r="J279" i="187"/>
  <c r="J28" i="189"/>
  <c r="AQ12" i="206"/>
  <c r="L28" i="189"/>
  <c r="BI12" i="206"/>
  <c r="BI28" i="206" s="1"/>
  <c r="Z28" i="206"/>
  <c r="K14" i="183"/>
  <c r="J24" i="184"/>
  <c r="BH8" i="203"/>
  <c r="BL8" i="203" s="1"/>
  <c r="K12" i="192"/>
  <c r="BJ11" i="206"/>
  <c r="BP11" i="206" s="1"/>
  <c r="AX29" i="205"/>
  <c r="J246" i="193"/>
  <c r="BP57" i="203"/>
  <c r="BP64" i="203"/>
  <c r="I28" i="195"/>
  <c r="I79" i="195" s="1"/>
  <c r="AJ12" i="206"/>
  <c r="K28" i="195"/>
  <c r="BB12" i="206"/>
  <c r="AX56" i="203"/>
  <c r="AO56" i="203"/>
  <c r="L28" i="195"/>
  <c r="BK12" i="206"/>
  <c r="AO29" i="205"/>
  <c r="BG56" i="203"/>
  <c r="J28" i="195"/>
  <c r="AS12" i="206"/>
  <c r="J93" i="184"/>
  <c r="J100" i="184"/>
  <c r="K42" i="184"/>
  <c r="K94" i="184"/>
  <c r="K96" i="184" s="1"/>
  <c r="K99" i="184" s="1"/>
  <c r="BF57" i="203"/>
  <c r="BF64" i="203"/>
  <c r="BF52" i="203"/>
  <c r="BO57" i="203"/>
  <c r="BO64" i="203"/>
  <c r="K29" i="191"/>
  <c r="BO29" i="205" s="1"/>
  <c r="K228" i="190"/>
  <c r="K221" i="190"/>
  <c r="G29" i="168"/>
  <c r="G246" i="166"/>
  <c r="G239" i="166"/>
  <c r="D150" i="179"/>
  <c r="D30" i="179"/>
  <c r="E59" i="181"/>
  <c r="E60" i="181" s="1"/>
  <c r="E62" i="181" s="1"/>
  <c r="D62" i="181"/>
  <c r="F63" i="182"/>
  <c r="E155" i="184"/>
  <c r="E110" i="184"/>
  <c r="E128" i="184" s="1"/>
  <c r="K39" i="184"/>
  <c r="I68" i="6"/>
  <c r="I58" i="184"/>
  <c r="AY23" i="203" s="1"/>
  <c r="BC23" i="203" s="1"/>
  <c r="K7" i="184"/>
  <c r="I41" i="184"/>
  <c r="I39" i="184"/>
  <c r="H156" i="184"/>
  <c r="H135" i="184"/>
  <c r="H150" i="184" s="1"/>
  <c r="H129" i="184"/>
  <c r="C110" i="184"/>
  <c r="C155" i="184"/>
  <c r="C55" i="184"/>
  <c r="D55" i="184"/>
  <c r="D110" i="184"/>
  <c r="D155" i="184"/>
  <c r="G111" i="184"/>
  <c r="G128" i="184"/>
  <c r="E51" i="180"/>
  <c r="E53" i="180" s="1"/>
  <c r="E62" i="180"/>
  <c r="F25" i="180"/>
  <c r="H30" i="179"/>
  <c r="H150" i="179"/>
  <c r="J95" i="179"/>
  <c r="I96" i="179"/>
  <c r="I151" i="179"/>
  <c r="I117" i="179"/>
  <c r="J8" i="181" s="1"/>
  <c r="J12" i="181" s="1"/>
  <c r="J28" i="181" s="1"/>
  <c r="C95" i="179"/>
  <c r="C77" i="179"/>
  <c r="G77" i="179"/>
  <c r="G95" i="179"/>
  <c r="D77" i="179"/>
  <c r="D95" i="179"/>
  <c r="K150" i="179"/>
  <c r="K30" i="179"/>
  <c r="K76" i="179"/>
  <c r="E30" i="179"/>
  <c r="E150" i="179"/>
  <c r="E76" i="179"/>
  <c r="H77" i="179"/>
  <c r="H95" i="179"/>
  <c r="I63" i="180" s="1"/>
  <c r="L158" i="166"/>
  <c r="L188" i="166"/>
  <c r="L77" i="168" s="1"/>
  <c r="K158" i="166"/>
  <c r="K188" i="166"/>
  <c r="K77" i="168" s="1"/>
  <c r="J158" i="166"/>
  <c r="J188" i="166"/>
  <c r="J77" i="168" s="1"/>
  <c r="I188" i="166"/>
  <c r="I77" i="168" s="1"/>
  <c r="I158" i="166"/>
  <c r="I42" i="6"/>
  <c r="L72" i="172" l="1"/>
  <c r="L83" i="172"/>
  <c r="J72" i="172"/>
  <c r="J83" i="172"/>
  <c r="H83" i="172"/>
  <c r="H72" i="172"/>
  <c r="I72" i="172"/>
  <c r="I83" i="172"/>
  <c r="I121" i="172" s="1"/>
  <c r="K72" i="172"/>
  <c r="K83" i="172"/>
  <c r="F59" i="181"/>
  <c r="J96" i="179"/>
  <c r="K63" i="180"/>
  <c r="AG29" i="205"/>
  <c r="K59" i="183"/>
  <c r="AZ49" i="206"/>
  <c r="BI49" i="206"/>
  <c r="BN64" i="203"/>
  <c r="BE57" i="203"/>
  <c r="AQ28" i="206"/>
  <c r="AH49" i="206"/>
  <c r="BN57" i="203"/>
  <c r="BE64" i="203"/>
  <c r="AV57" i="203"/>
  <c r="K16" i="183"/>
  <c r="BH16" i="205" s="1"/>
  <c r="BL16" i="205" s="1"/>
  <c r="J29" i="184"/>
  <c r="J30" i="184" s="1"/>
  <c r="H28" i="192"/>
  <c r="H66" i="192" s="1"/>
  <c r="AI12" i="206"/>
  <c r="Z49" i="206"/>
  <c r="BH14" i="205"/>
  <c r="BL14" i="205" s="1"/>
  <c r="J56" i="184"/>
  <c r="BH32" i="203"/>
  <c r="BL32" i="203" s="1"/>
  <c r="BH10" i="203"/>
  <c r="BL10" i="203" s="1"/>
  <c r="K24" i="184"/>
  <c r="K29" i="184" s="1"/>
  <c r="K30" i="184" s="1"/>
  <c r="BQ8" i="203"/>
  <c r="BU8" i="203" s="1"/>
  <c r="K28" i="192"/>
  <c r="K66" i="192" s="1"/>
  <c r="BJ12" i="206"/>
  <c r="BJ28" i="206" s="1"/>
  <c r="BJ49" i="206" s="1"/>
  <c r="I154" i="184"/>
  <c r="AY8" i="203"/>
  <c r="BC8" i="203" s="1"/>
  <c r="BK28" i="206"/>
  <c r="AJ28" i="206"/>
  <c r="AS28" i="206"/>
  <c r="BG57" i="203"/>
  <c r="BG64" i="203"/>
  <c r="AX57" i="203"/>
  <c r="AX64" i="203"/>
  <c r="AO57" i="203"/>
  <c r="AO64" i="203"/>
  <c r="BB28" i="206"/>
  <c r="K93" i="184"/>
  <c r="K100" i="184"/>
  <c r="I42" i="184"/>
  <c r="I94" i="184"/>
  <c r="I96" i="184" s="1"/>
  <c r="I99" i="184" s="1"/>
  <c r="E111" i="184"/>
  <c r="J14" i="183"/>
  <c r="J52" i="184" s="1"/>
  <c r="L14" i="183"/>
  <c r="D128" i="184"/>
  <c r="D111" i="184"/>
  <c r="C128" i="184"/>
  <c r="C111" i="184"/>
  <c r="H143" i="184"/>
  <c r="H144" i="184" s="1"/>
  <c r="H136" i="184"/>
  <c r="H157" i="184"/>
  <c r="E129" i="184"/>
  <c r="E135" i="184"/>
  <c r="E150" i="184" s="1"/>
  <c r="E156" i="184"/>
  <c r="G156" i="184"/>
  <c r="G135" i="184"/>
  <c r="G150" i="184" s="1"/>
  <c r="G129" i="184"/>
  <c r="F51" i="180"/>
  <c r="F53" i="180" s="1"/>
  <c r="F62" i="180"/>
  <c r="H25" i="180"/>
  <c r="J117" i="179"/>
  <c r="J151" i="179"/>
  <c r="G96" i="179"/>
  <c r="G151" i="179"/>
  <c r="G117" i="179"/>
  <c r="H96" i="179"/>
  <c r="H151" i="179"/>
  <c r="H117" i="179"/>
  <c r="I8" i="181" s="1"/>
  <c r="I12" i="181" s="1"/>
  <c r="I28" i="181" s="1"/>
  <c r="K77" i="179"/>
  <c r="K95" i="179"/>
  <c r="C96" i="179"/>
  <c r="C117" i="179"/>
  <c r="C151" i="179"/>
  <c r="I130" i="179"/>
  <c r="I131" i="179" s="1"/>
  <c r="I152" i="179"/>
  <c r="I145" i="179"/>
  <c r="J29" i="180" s="1"/>
  <c r="I118" i="179"/>
  <c r="E95" i="179"/>
  <c r="E77" i="179"/>
  <c r="D117" i="179"/>
  <c r="D151" i="179"/>
  <c r="D96" i="179"/>
  <c r="L189" i="166"/>
  <c r="L203" i="166"/>
  <c r="L8" i="167" s="1"/>
  <c r="L12" i="167" s="1"/>
  <c r="K189" i="166"/>
  <c r="K203" i="166"/>
  <c r="K8" i="167" s="1"/>
  <c r="K12" i="167" s="1"/>
  <c r="J189" i="166"/>
  <c r="J203" i="166"/>
  <c r="J8" i="167" s="1"/>
  <c r="J12" i="167" s="1"/>
  <c r="I189" i="166"/>
  <c r="I203" i="166"/>
  <c r="F32" i="177"/>
  <c r="E32" i="177"/>
  <c r="P32" i="206" s="1"/>
  <c r="F49" i="177"/>
  <c r="F48" i="177" s="1"/>
  <c r="E49" i="177"/>
  <c r="E48" i="177" s="1"/>
  <c r="B49" i="177"/>
  <c r="F46" i="177"/>
  <c r="F45" i="177"/>
  <c r="E46" i="177"/>
  <c r="E45" i="177"/>
  <c r="B46" i="177"/>
  <c r="B45" i="177"/>
  <c r="F42" i="177"/>
  <c r="F41" i="177"/>
  <c r="F40" i="177"/>
  <c r="E42" i="177"/>
  <c r="E41" i="177"/>
  <c r="E40" i="177"/>
  <c r="B42" i="177"/>
  <c r="B41" i="177"/>
  <c r="B40" i="177"/>
  <c r="F26" i="177"/>
  <c r="F25" i="177"/>
  <c r="F24" i="177"/>
  <c r="F23" i="177"/>
  <c r="F22" i="177"/>
  <c r="F21" i="177"/>
  <c r="F20" i="177"/>
  <c r="F19" i="177"/>
  <c r="F17" i="177"/>
  <c r="F16" i="177"/>
  <c r="F13" i="177"/>
  <c r="F10" i="177"/>
  <c r="E26" i="177"/>
  <c r="E25" i="177"/>
  <c r="E24" i="177"/>
  <c r="E23" i="177"/>
  <c r="E22" i="177"/>
  <c r="E21" i="177"/>
  <c r="E20" i="177"/>
  <c r="E19" i="177"/>
  <c r="E17" i="177"/>
  <c r="E16" i="177"/>
  <c r="E13" i="177"/>
  <c r="E10" i="177"/>
  <c r="D65" i="177"/>
  <c r="D64" i="177"/>
  <c r="D48" i="177"/>
  <c r="D44" i="177"/>
  <c r="D39" i="177"/>
  <c r="L35" i="177"/>
  <c r="K35" i="177"/>
  <c r="J35" i="177"/>
  <c r="I35" i="177"/>
  <c r="H35" i="177"/>
  <c r="D35" i="177"/>
  <c r="H28" i="177"/>
  <c r="D28" i="177"/>
  <c r="D16" i="176"/>
  <c r="E16" i="176"/>
  <c r="F10" i="176"/>
  <c r="F45" i="176"/>
  <c r="L45" i="176"/>
  <c r="K45" i="176"/>
  <c r="J45" i="176"/>
  <c r="H45" i="176"/>
  <c r="I20" i="196" s="1"/>
  <c r="AM20" i="206" s="1"/>
  <c r="AO20" i="206" s="1"/>
  <c r="E45" i="176"/>
  <c r="D45" i="176"/>
  <c r="C45" i="176"/>
  <c r="L42" i="176"/>
  <c r="K42" i="176"/>
  <c r="J42" i="176"/>
  <c r="I42" i="176"/>
  <c r="H42" i="176"/>
  <c r="F42" i="176"/>
  <c r="E42" i="176"/>
  <c r="D42" i="176"/>
  <c r="C42" i="176"/>
  <c r="F38" i="176"/>
  <c r="E38" i="176"/>
  <c r="D38" i="176"/>
  <c r="N38" i="205" s="1"/>
  <c r="C38" i="176"/>
  <c r="L33" i="176"/>
  <c r="K33" i="176"/>
  <c r="J33" i="176"/>
  <c r="I33" i="176"/>
  <c r="H33" i="176"/>
  <c r="F33" i="176"/>
  <c r="E33" i="176"/>
  <c r="D33" i="176"/>
  <c r="C33" i="176"/>
  <c r="C25" i="176"/>
  <c r="C13" i="176"/>
  <c r="F13" i="176"/>
  <c r="E13" i="176"/>
  <c r="L8" i="176"/>
  <c r="K8" i="176"/>
  <c r="J8" i="176"/>
  <c r="I8" i="176"/>
  <c r="H8" i="176"/>
  <c r="F8" i="176"/>
  <c r="E8" i="176"/>
  <c r="D8" i="176"/>
  <c r="C8" i="176"/>
  <c r="F48" i="175"/>
  <c r="E48" i="175"/>
  <c r="D48" i="175"/>
  <c r="C48" i="175"/>
  <c r="F62" i="175"/>
  <c r="E62" i="175"/>
  <c r="D62" i="175"/>
  <c r="C62" i="175"/>
  <c r="F83" i="175"/>
  <c r="E83" i="175"/>
  <c r="D83" i="175"/>
  <c r="C83" i="175"/>
  <c r="F81" i="175"/>
  <c r="E81" i="175"/>
  <c r="D81" i="175"/>
  <c r="C81" i="175"/>
  <c r="F72" i="175"/>
  <c r="E72" i="175"/>
  <c r="D72" i="175"/>
  <c r="C72" i="175"/>
  <c r="F65" i="175"/>
  <c r="E65" i="175"/>
  <c r="D65" i="175"/>
  <c r="C65" i="175"/>
  <c r="F59" i="175"/>
  <c r="E59" i="175"/>
  <c r="D59" i="175"/>
  <c r="C59" i="175"/>
  <c r="F56" i="175"/>
  <c r="E56" i="175"/>
  <c r="D56" i="175"/>
  <c r="C56" i="175"/>
  <c r="F41" i="175"/>
  <c r="E41" i="175"/>
  <c r="D41" i="175"/>
  <c r="C41" i="175"/>
  <c r="F32" i="175"/>
  <c r="E32" i="175"/>
  <c r="D32" i="175"/>
  <c r="C32" i="175"/>
  <c r="F14" i="175"/>
  <c r="AB12" i="203" s="1"/>
  <c r="E14" i="175"/>
  <c r="U12" i="203" s="1"/>
  <c r="D14" i="175"/>
  <c r="N12" i="203" s="1"/>
  <c r="C14" i="175"/>
  <c r="F8" i="175"/>
  <c r="E8" i="175"/>
  <c r="D8" i="175"/>
  <c r="N9" i="203" s="1"/>
  <c r="C8" i="175"/>
  <c r="C12" i="175" s="1"/>
  <c r="F26" i="174"/>
  <c r="V26" i="206" s="1"/>
  <c r="F25" i="174"/>
  <c r="V25" i="206" s="1"/>
  <c r="F24" i="174"/>
  <c r="V24" i="206" s="1"/>
  <c r="F23" i="174"/>
  <c r="V23" i="206" s="1"/>
  <c r="F22" i="174"/>
  <c r="V22" i="206" s="1"/>
  <c r="F21" i="174"/>
  <c r="V21" i="206" s="1"/>
  <c r="F20" i="174"/>
  <c r="V20" i="206" s="1"/>
  <c r="F17" i="174"/>
  <c r="V17" i="206" s="1"/>
  <c r="F16" i="174"/>
  <c r="V16" i="206" s="1"/>
  <c r="F11" i="174"/>
  <c r="V11" i="206" s="1"/>
  <c r="E26" i="174"/>
  <c r="O26" i="206" s="1"/>
  <c r="E25" i="174"/>
  <c r="O25" i="206" s="1"/>
  <c r="E24" i="174"/>
  <c r="O24" i="206" s="1"/>
  <c r="E23" i="174"/>
  <c r="O23" i="206" s="1"/>
  <c r="E22" i="174"/>
  <c r="O22" i="206" s="1"/>
  <c r="E21" i="174"/>
  <c r="O21" i="206" s="1"/>
  <c r="E20" i="174"/>
  <c r="O20" i="206" s="1"/>
  <c r="E19" i="174"/>
  <c r="O19" i="206" s="1"/>
  <c r="E18" i="174"/>
  <c r="O18" i="206" s="1"/>
  <c r="E17" i="174"/>
  <c r="O17" i="206" s="1"/>
  <c r="E16" i="174"/>
  <c r="O16" i="206" s="1"/>
  <c r="E11" i="174"/>
  <c r="O11" i="206" s="1"/>
  <c r="F33" i="174"/>
  <c r="V33" i="206" s="1"/>
  <c r="E33" i="174"/>
  <c r="O33" i="206" s="1"/>
  <c r="D33" i="174"/>
  <c r="H33" i="206" s="1"/>
  <c r="D65" i="174"/>
  <c r="E65" i="174"/>
  <c r="O44" i="206" s="1"/>
  <c r="Q44" i="206" s="1"/>
  <c r="F59" i="174"/>
  <c r="F58" i="174"/>
  <c r="F57" i="174"/>
  <c r="E59" i="174"/>
  <c r="E58" i="174"/>
  <c r="E57" i="174"/>
  <c r="D59" i="174"/>
  <c r="D58" i="174"/>
  <c r="D57" i="174"/>
  <c r="B59" i="174"/>
  <c r="B58" i="174"/>
  <c r="B57" i="174"/>
  <c r="F54" i="174"/>
  <c r="F53" i="174"/>
  <c r="F52" i="174"/>
  <c r="E54" i="174"/>
  <c r="E53" i="174"/>
  <c r="E52" i="174"/>
  <c r="D54" i="174"/>
  <c r="D53" i="174"/>
  <c r="D52" i="174"/>
  <c r="B54" i="174"/>
  <c r="B53" i="174"/>
  <c r="B52" i="174"/>
  <c r="F49" i="174"/>
  <c r="F48" i="174"/>
  <c r="F47" i="174"/>
  <c r="E49" i="174"/>
  <c r="E48" i="174"/>
  <c r="E47" i="174"/>
  <c r="D49" i="174"/>
  <c r="D48" i="174"/>
  <c r="D47" i="174"/>
  <c r="B49" i="174"/>
  <c r="B48" i="174"/>
  <c r="B47" i="174"/>
  <c r="F44" i="174"/>
  <c r="F43" i="174"/>
  <c r="F42" i="174"/>
  <c r="F41" i="174"/>
  <c r="F40" i="174"/>
  <c r="F39" i="174"/>
  <c r="E44" i="174"/>
  <c r="E43" i="174"/>
  <c r="E42" i="174"/>
  <c r="E41" i="174"/>
  <c r="E40" i="174"/>
  <c r="E39" i="174"/>
  <c r="D44" i="174"/>
  <c r="D43" i="174"/>
  <c r="D42" i="174"/>
  <c r="D41" i="174"/>
  <c r="D40" i="174"/>
  <c r="D39" i="174"/>
  <c r="B44" i="174"/>
  <c r="B43" i="174"/>
  <c r="B42" i="174"/>
  <c r="B41" i="174"/>
  <c r="B40" i="174"/>
  <c r="B39" i="174"/>
  <c r="D26" i="174"/>
  <c r="H26" i="206" s="1"/>
  <c r="D25" i="174"/>
  <c r="H25" i="206" s="1"/>
  <c r="D24" i="174"/>
  <c r="H24" i="206" s="1"/>
  <c r="D23" i="174"/>
  <c r="H23" i="206" s="1"/>
  <c r="D22" i="174"/>
  <c r="H22" i="206" s="1"/>
  <c r="D21" i="174"/>
  <c r="H21" i="206" s="1"/>
  <c r="D20" i="174"/>
  <c r="H20" i="206" s="1"/>
  <c r="D19" i="174"/>
  <c r="H19" i="206" s="1"/>
  <c r="D18" i="174"/>
  <c r="H18" i="206" s="1"/>
  <c r="D17" i="174"/>
  <c r="H17" i="206" s="1"/>
  <c r="D16" i="174"/>
  <c r="H16" i="206" s="1"/>
  <c r="D11" i="174"/>
  <c r="H11" i="206" s="1"/>
  <c r="C75" i="174"/>
  <c r="D74" i="174" s="1"/>
  <c r="H51" i="206" s="1"/>
  <c r="L43" i="173"/>
  <c r="K43" i="173"/>
  <c r="J43" i="173"/>
  <c r="I43" i="173"/>
  <c r="H43" i="173"/>
  <c r="F43" i="173"/>
  <c r="AA39" i="205" s="1"/>
  <c r="E43" i="173"/>
  <c r="T39" i="205" s="1"/>
  <c r="D43" i="173"/>
  <c r="M39" i="205" s="1"/>
  <c r="C43" i="173"/>
  <c r="F39" i="205" s="1"/>
  <c r="F51" i="173"/>
  <c r="E17" i="173"/>
  <c r="F17" i="173"/>
  <c r="F16" i="173"/>
  <c r="F26" i="173"/>
  <c r="D28" i="173"/>
  <c r="M28" i="205" s="1"/>
  <c r="C17" i="173"/>
  <c r="E63" i="172"/>
  <c r="D63" i="172"/>
  <c r="C63" i="172"/>
  <c r="F63" i="172"/>
  <c r="E86" i="172"/>
  <c r="D86" i="172"/>
  <c r="C86" i="172"/>
  <c r="F86" i="172"/>
  <c r="C51" i="172"/>
  <c r="F34" i="203" s="1"/>
  <c r="D51" i="172"/>
  <c r="M34" i="203" s="1"/>
  <c r="E51" i="172"/>
  <c r="T34" i="203" s="1"/>
  <c r="F51" i="172"/>
  <c r="AA34" i="203" s="1"/>
  <c r="E8" i="172"/>
  <c r="D8" i="172"/>
  <c r="M9" i="203" s="1"/>
  <c r="M10" i="203" s="1"/>
  <c r="M60" i="203" s="1"/>
  <c r="C8" i="172"/>
  <c r="F9" i="203" s="1"/>
  <c r="F8" i="172"/>
  <c r="L65" i="174"/>
  <c r="K65" i="174"/>
  <c r="J65" i="174"/>
  <c r="H65" i="174"/>
  <c r="L61" i="174"/>
  <c r="K61" i="174"/>
  <c r="J61" i="174"/>
  <c r="H61" i="174"/>
  <c r="L56" i="174"/>
  <c r="K56" i="174"/>
  <c r="J56" i="174"/>
  <c r="I56" i="174"/>
  <c r="L46" i="174"/>
  <c r="K46" i="174"/>
  <c r="J46" i="174"/>
  <c r="I46" i="174"/>
  <c r="H46" i="174"/>
  <c r="L35" i="174"/>
  <c r="K35" i="174"/>
  <c r="J35" i="174"/>
  <c r="I35" i="174"/>
  <c r="H35" i="174"/>
  <c r="E35" i="174"/>
  <c r="O35" i="206" s="1"/>
  <c r="L48" i="173"/>
  <c r="K48" i="173"/>
  <c r="J48" i="173"/>
  <c r="I48" i="173"/>
  <c r="H48" i="173"/>
  <c r="F48" i="173"/>
  <c r="E48" i="173"/>
  <c r="D48" i="173"/>
  <c r="C48" i="173"/>
  <c r="F38" i="173"/>
  <c r="AA38" i="205" s="1"/>
  <c r="E38" i="173"/>
  <c r="T38" i="205" s="1"/>
  <c r="D38" i="173"/>
  <c r="M38" i="205" s="1"/>
  <c r="M37" i="205" s="1"/>
  <c r="C38" i="173"/>
  <c r="F38" i="205" s="1"/>
  <c r="L33" i="173"/>
  <c r="K33" i="173"/>
  <c r="J33" i="173"/>
  <c r="I33" i="173"/>
  <c r="H33" i="173"/>
  <c r="F33" i="173"/>
  <c r="E33" i="173"/>
  <c r="D33" i="173"/>
  <c r="C33" i="173"/>
  <c r="C25" i="173"/>
  <c r="L13" i="173"/>
  <c r="L23" i="173" s="1"/>
  <c r="K13" i="173"/>
  <c r="K23" i="173" s="1"/>
  <c r="J13" i="173"/>
  <c r="J23" i="173" s="1"/>
  <c r="I13" i="173"/>
  <c r="I23" i="173" s="1"/>
  <c r="H13" i="173"/>
  <c r="E13" i="173"/>
  <c r="D13" i="173"/>
  <c r="F8" i="173"/>
  <c r="E8" i="173"/>
  <c r="D8" i="173"/>
  <c r="C8" i="173"/>
  <c r="L121" i="172"/>
  <c r="K121" i="172"/>
  <c r="J121" i="172"/>
  <c r="H121" i="172"/>
  <c r="L120" i="172"/>
  <c r="K120" i="172"/>
  <c r="J120" i="172"/>
  <c r="I120" i="172"/>
  <c r="H120" i="172"/>
  <c r="L119" i="172"/>
  <c r="K119" i="172"/>
  <c r="J119" i="172"/>
  <c r="I119" i="172"/>
  <c r="L118" i="172"/>
  <c r="K118" i="172"/>
  <c r="J118" i="172"/>
  <c r="I118" i="172"/>
  <c r="F109" i="172"/>
  <c r="AA54" i="203" s="1"/>
  <c r="E109" i="172"/>
  <c r="T54" i="203" s="1"/>
  <c r="D109" i="172"/>
  <c r="M54" i="203" s="1"/>
  <c r="C109" i="172"/>
  <c r="F54" i="203" s="1"/>
  <c r="F106" i="172"/>
  <c r="E106" i="172"/>
  <c r="D106" i="172"/>
  <c r="C106" i="172"/>
  <c r="F102" i="172"/>
  <c r="E102" i="172"/>
  <c r="D102" i="172"/>
  <c r="C102" i="172"/>
  <c r="F94" i="172"/>
  <c r="E94" i="172"/>
  <c r="D94" i="172"/>
  <c r="C94" i="172"/>
  <c r="F80" i="172"/>
  <c r="AA47" i="203" s="1"/>
  <c r="E80" i="172"/>
  <c r="T47" i="203" s="1"/>
  <c r="D80" i="172"/>
  <c r="M47" i="203" s="1"/>
  <c r="C80" i="172"/>
  <c r="F47" i="203" s="1"/>
  <c r="F76" i="172"/>
  <c r="AA45" i="203" s="1"/>
  <c r="E76" i="172"/>
  <c r="T45" i="203" s="1"/>
  <c r="D76" i="172"/>
  <c r="M45" i="203" s="1"/>
  <c r="C76" i="172"/>
  <c r="F45" i="203" s="1"/>
  <c r="F73" i="172"/>
  <c r="AA44" i="203" s="1"/>
  <c r="E73" i="172"/>
  <c r="T44" i="203" s="1"/>
  <c r="D73" i="172"/>
  <c r="M44" i="203" s="1"/>
  <c r="C73" i="172"/>
  <c r="F44" i="203" s="1"/>
  <c r="F68" i="172"/>
  <c r="E68" i="172"/>
  <c r="D68" i="172"/>
  <c r="C68" i="172"/>
  <c r="F58" i="172"/>
  <c r="AA39" i="203" s="1"/>
  <c r="E58" i="172"/>
  <c r="T39" i="203" s="1"/>
  <c r="D58" i="172"/>
  <c r="M39" i="203" s="1"/>
  <c r="C58" i="172"/>
  <c r="F39" i="203" s="1"/>
  <c r="F46" i="172"/>
  <c r="AA31" i="203" s="1"/>
  <c r="E46" i="172"/>
  <c r="T31" i="203" s="1"/>
  <c r="D46" i="172"/>
  <c r="M31" i="203" s="1"/>
  <c r="C46" i="172"/>
  <c r="F39" i="172"/>
  <c r="AA30" i="203" s="1"/>
  <c r="E39" i="172"/>
  <c r="T30" i="203" s="1"/>
  <c r="D39" i="172"/>
  <c r="M30" i="203" s="1"/>
  <c r="C39" i="172"/>
  <c r="F30" i="203" s="1"/>
  <c r="F33" i="172"/>
  <c r="AA28" i="203" s="1"/>
  <c r="AA21" i="203" s="1"/>
  <c r="E33" i="172"/>
  <c r="T28" i="203" s="1"/>
  <c r="D33" i="172"/>
  <c r="M28" i="203" s="1"/>
  <c r="C33" i="172"/>
  <c r="F28" i="203" s="1"/>
  <c r="F17" i="172"/>
  <c r="AA12" i="203" s="1"/>
  <c r="E17" i="172"/>
  <c r="T18" i="203" s="1"/>
  <c r="D17" i="172"/>
  <c r="M12" i="203" s="1"/>
  <c r="C17" i="172"/>
  <c r="F12" i="203" s="1"/>
  <c r="F37" i="205" l="1"/>
  <c r="F51" i="205" s="1"/>
  <c r="F53" i="205" s="1"/>
  <c r="M13" i="203"/>
  <c r="AA37" i="205"/>
  <c r="T37" i="205"/>
  <c r="AA26" i="205"/>
  <c r="F66" i="201"/>
  <c r="F69" i="201" s="1"/>
  <c r="F51" i="174"/>
  <c r="V40" i="206" s="1"/>
  <c r="E15" i="172"/>
  <c r="T16" i="203" s="1"/>
  <c r="T9" i="203"/>
  <c r="T10" i="203" s="1"/>
  <c r="E9" i="174"/>
  <c r="O9" i="206" s="1"/>
  <c r="E9" i="201"/>
  <c r="K84" i="172"/>
  <c r="K8" i="174"/>
  <c r="K12" i="174" s="1"/>
  <c r="K28" i="174" s="1"/>
  <c r="K99" i="172"/>
  <c r="K100" i="172" s="1"/>
  <c r="K114" i="172"/>
  <c r="D9" i="174"/>
  <c r="H9" i="206" s="1"/>
  <c r="D9" i="201"/>
  <c r="F9" i="174"/>
  <c r="V9" i="206" s="1"/>
  <c r="F9" i="201"/>
  <c r="H114" i="172"/>
  <c r="H8" i="201"/>
  <c r="H8" i="174"/>
  <c r="H12" i="174" s="1"/>
  <c r="H28" i="174" s="1"/>
  <c r="H99" i="172"/>
  <c r="H100" i="172" s="1"/>
  <c r="H84" i="172"/>
  <c r="J8" i="174"/>
  <c r="J12" i="174" s="1"/>
  <c r="J28" i="174" s="1"/>
  <c r="J84" i="172"/>
  <c r="J99" i="172"/>
  <c r="J100" i="172" s="1"/>
  <c r="J114" i="172"/>
  <c r="M21" i="203"/>
  <c r="D10" i="174"/>
  <c r="H10" i="206" s="1"/>
  <c r="D10" i="201"/>
  <c r="F15" i="172"/>
  <c r="H118" i="172" s="1"/>
  <c r="AA9" i="203"/>
  <c r="AA10" i="203" s="1"/>
  <c r="F21" i="203"/>
  <c r="T21" i="203"/>
  <c r="E10" i="174"/>
  <c r="O10" i="206" s="1"/>
  <c r="E10" i="201"/>
  <c r="H9" i="203"/>
  <c r="F10" i="203"/>
  <c r="F60" i="203" s="1"/>
  <c r="L8" i="174"/>
  <c r="L12" i="174" s="1"/>
  <c r="L28" i="174" s="1"/>
  <c r="L114" i="172"/>
  <c r="L99" i="172"/>
  <c r="L100" i="172" s="1"/>
  <c r="L84" i="172"/>
  <c r="I8" i="174"/>
  <c r="I12" i="174" s="1"/>
  <c r="I28" i="174" s="1"/>
  <c r="I99" i="172"/>
  <c r="I100" i="172" s="1"/>
  <c r="I84" i="172"/>
  <c r="I114" i="172"/>
  <c r="F10" i="174"/>
  <c r="V10" i="206" s="1"/>
  <c r="F10" i="201"/>
  <c r="M14" i="203"/>
  <c r="M19" i="203"/>
  <c r="K60" i="183"/>
  <c r="AQ49" i="206"/>
  <c r="AI28" i="206"/>
  <c r="AO12" i="206"/>
  <c r="K154" i="184"/>
  <c r="J154" i="184"/>
  <c r="I29" i="184"/>
  <c r="N29" i="184" s="1"/>
  <c r="J16" i="183"/>
  <c r="AY16" i="205" s="1"/>
  <c r="BC16" i="205" s="1"/>
  <c r="P22" i="206"/>
  <c r="I37" i="176"/>
  <c r="I17" i="177"/>
  <c r="I17" i="196"/>
  <c r="K20" i="177"/>
  <c r="J20" i="196"/>
  <c r="AV20" i="206" s="1"/>
  <c r="AX20" i="206" s="1"/>
  <c r="P17" i="206"/>
  <c r="P26" i="206"/>
  <c r="W22" i="206"/>
  <c r="K37" i="176"/>
  <c r="K17" i="196"/>
  <c r="K17" i="177"/>
  <c r="W17" i="206"/>
  <c r="AB39" i="205"/>
  <c r="U38" i="205"/>
  <c r="J37" i="176"/>
  <c r="J17" i="177"/>
  <c r="J17" i="196"/>
  <c r="K20" i="196"/>
  <c r="BE20" i="206" s="1"/>
  <c r="BG20" i="206" s="1"/>
  <c r="P19" i="206"/>
  <c r="W23" i="206"/>
  <c r="L20" i="177"/>
  <c r="L20" i="196"/>
  <c r="BN20" i="206" s="1"/>
  <c r="BP20" i="206" s="1"/>
  <c r="P20" i="206"/>
  <c r="W24" i="206"/>
  <c r="L37" i="176"/>
  <c r="L17" i="196"/>
  <c r="L17" i="177"/>
  <c r="L15" i="177" s="1"/>
  <c r="L28" i="177" s="1"/>
  <c r="P21" i="206"/>
  <c r="W16" i="206"/>
  <c r="W25" i="206"/>
  <c r="P23" i="206"/>
  <c r="W19" i="206"/>
  <c r="P41" i="206"/>
  <c r="AB38" i="205"/>
  <c r="AB37" i="205" s="1"/>
  <c r="P24" i="206"/>
  <c r="W20" i="206"/>
  <c r="W41" i="206"/>
  <c r="N39" i="205"/>
  <c r="N37" i="205" s="1"/>
  <c r="W26" i="206"/>
  <c r="U39" i="205"/>
  <c r="C37" i="176"/>
  <c r="H37" i="176"/>
  <c r="AI39" i="205"/>
  <c r="P16" i="206"/>
  <c r="P25" i="206"/>
  <c r="W21" i="206"/>
  <c r="W13" i="206"/>
  <c r="U34" i="203"/>
  <c r="U45" i="203"/>
  <c r="E11" i="177"/>
  <c r="U54" i="203"/>
  <c r="E11" i="196"/>
  <c r="U39" i="203"/>
  <c r="AB34" i="203"/>
  <c r="AB45" i="203"/>
  <c r="F11" i="177"/>
  <c r="F11" i="196"/>
  <c r="AB54" i="203"/>
  <c r="AB39" i="203"/>
  <c r="W32" i="206"/>
  <c r="W10" i="206"/>
  <c r="O9" i="203"/>
  <c r="N10" i="203"/>
  <c r="N13" i="203" s="1"/>
  <c r="N30" i="203"/>
  <c r="N44" i="203"/>
  <c r="N46" i="203"/>
  <c r="E12" i="175"/>
  <c r="U9" i="203"/>
  <c r="U30" i="203"/>
  <c r="U44" i="203"/>
  <c r="U47" i="203"/>
  <c r="E9" i="177"/>
  <c r="E9" i="196"/>
  <c r="U46" i="203"/>
  <c r="F12" i="175"/>
  <c r="F15" i="175" s="1"/>
  <c r="AB9" i="203"/>
  <c r="AB30" i="203"/>
  <c r="AB44" i="203"/>
  <c r="AB47" i="203"/>
  <c r="F9" i="177"/>
  <c r="F9" i="196"/>
  <c r="AB46" i="203"/>
  <c r="N47" i="203"/>
  <c r="P10" i="206"/>
  <c r="N34" i="203"/>
  <c r="N45" i="203"/>
  <c r="N54" i="203"/>
  <c r="N39" i="203"/>
  <c r="P13" i="206"/>
  <c r="I69" i="174"/>
  <c r="BH18" i="203"/>
  <c r="BL18" i="203" s="1"/>
  <c r="J33" i="184"/>
  <c r="BQ14" i="205"/>
  <c r="BU14" i="205" s="1"/>
  <c r="K52" i="184"/>
  <c r="AY14" i="205"/>
  <c r="BC14" i="205" s="1"/>
  <c r="I52" i="184"/>
  <c r="K56" i="184"/>
  <c r="BQ32" i="203"/>
  <c r="BU32" i="203" s="1"/>
  <c r="L16" i="183"/>
  <c r="L18" i="182" s="1"/>
  <c r="BL18" i="206" s="1"/>
  <c r="BP18" i="206" s="1"/>
  <c r="BH13" i="203"/>
  <c r="BL13" i="203" s="1"/>
  <c r="BL14" i="203" s="1"/>
  <c r="AY10" i="203"/>
  <c r="BC10" i="203" s="1"/>
  <c r="BC60" i="203" s="1"/>
  <c r="BQ10" i="203"/>
  <c r="BU10" i="203" s="1"/>
  <c r="BU60" i="203" s="1"/>
  <c r="BH21" i="203"/>
  <c r="BL21" i="203" s="1"/>
  <c r="AS49" i="206"/>
  <c r="BB49" i="206"/>
  <c r="AJ49" i="206"/>
  <c r="BK49" i="206"/>
  <c r="I93" i="184"/>
  <c r="I100" i="184"/>
  <c r="L59" i="183"/>
  <c r="J59" i="183"/>
  <c r="J20" i="177"/>
  <c r="I20" i="177"/>
  <c r="I15" i="177" s="1"/>
  <c r="I28" i="177" s="1"/>
  <c r="E18" i="177"/>
  <c r="F56" i="174"/>
  <c r="V41" i="206" s="1"/>
  <c r="F50" i="181"/>
  <c r="F54" i="181" s="1"/>
  <c r="F57" i="181" s="1"/>
  <c r="F60" i="181" s="1"/>
  <c r="H26" i="173"/>
  <c r="F54" i="182"/>
  <c r="F58" i="182" s="1"/>
  <c r="F61" i="182" s="1"/>
  <c r="F64" i="182" s="1"/>
  <c r="L16" i="182"/>
  <c r="BL16" i="206" s="1"/>
  <c r="BP16" i="206" s="1"/>
  <c r="J16" i="182"/>
  <c r="AT16" i="206" s="1"/>
  <c r="AX16" i="206" s="1"/>
  <c r="K16" i="182"/>
  <c r="BC16" i="206" s="1"/>
  <c r="BG16" i="206" s="1"/>
  <c r="F44" i="177"/>
  <c r="H151" i="184"/>
  <c r="H158" i="184"/>
  <c r="C129" i="184"/>
  <c r="C135" i="184"/>
  <c r="C150" i="184" s="1"/>
  <c r="C156" i="184"/>
  <c r="G136" i="184"/>
  <c r="G157" i="184"/>
  <c r="G143" i="184"/>
  <c r="G144" i="184" s="1"/>
  <c r="E143" i="184"/>
  <c r="E144" i="184" s="1"/>
  <c r="E157" i="184"/>
  <c r="E136" i="184"/>
  <c r="D129" i="184"/>
  <c r="D156" i="184"/>
  <c r="D135" i="184"/>
  <c r="D150" i="184" s="1"/>
  <c r="J145" i="179"/>
  <c r="K29" i="180" s="1"/>
  <c r="K8" i="181"/>
  <c r="K12" i="181" s="1"/>
  <c r="K28" i="181" s="1"/>
  <c r="J130" i="179"/>
  <c r="J131" i="179" s="1"/>
  <c r="J118" i="179"/>
  <c r="J152" i="179"/>
  <c r="H51" i="180"/>
  <c r="H53" i="180" s="1"/>
  <c r="D118" i="179"/>
  <c r="D152" i="179"/>
  <c r="D145" i="179"/>
  <c r="D130" i="179"/>
  <c r="D131" i="179" s="1"/>
  <c r="C130" i="179"/>
  <c r="C131" i="179" s="1"/>
  <c r="C118" i="179"/>
  <c r="C152" i="179"/>
  <c r="C145" i="179"/>
  <c r="K151" i="179"/>
  <c r="K117" i="179"/>
  <c r="K96" i="179"/>
  <c r="G152" i="179"/>
  <c r="G130" i="179"/>
  <c r="G131" i="179" s="1"/>
  <c r="G118" i="179"/>
  <c r="G145" i="179"/>
  <c r="E96" i="179"/>
  <c r="E151" i="179"/>
  <c r="E117" i="179"/>
  <c r="I153" i="179"/>
  <c r="I146" i="179"/>
  <c r="H118" i="179"/>
  <c r="H152" i="179"/>
  <c r="H145" i="179"/>
  <c r="I29" i="180" s="1"/>
  <c r="J28" i="180" s="1"/>
  <c r="K28" i="180" s="1"/>
  <c r="H130" i="179"/>
  <c r="H131" i="179" s="1"/>
  <c r="E56" i="174"/>
  <c r="O41" i="206" s="1"/>
  <c r="F18" i="174"/>
  <c r="V18" i="206" s="1"/>
  <c r="F13" i="173"/>
  <c r="F23" i="173" s="1"/>
  <c r="F19" i="174"/>
  <c r="V19" i="206" s="1"/>
  <c r="D35" i="174"/>
  <c r="H35" i="206" s="1"/>
  <c r="E51" i="174"/>
  <c r="O40" i="206" s="1"/>
  <c r="L204" i="166"/>
  <c r="L238" i="166"/>
  <c r="L219" i="166"/>
  <c r="L220" i="166" s="1"/>
  <c r="K204" i="166"/>
  <c r="K238" i="166"/>
  <c r="K219" i="166"/>
  <c r="K220" i="166" s="1"/>
  <c r="J204" i="166"/>
  <c r="J238" i="166"/>
  <c r="J219" i="166"/>
  <c r="J220" i="166" s="1"/>
  <c r="I219" i="166"/>
  <c r="I220" i="166" s="1"/>
  <c r="I204" i="166"/>
  <c r="I238" i="166"/>
  <c r="D67" i="177"/>
  <c r="D37" i="176"/>
  <c r="F35" i="177"/>
  <c r="E35" i="177"/>
  <c r="D12" i="175"/>
  <c r="E92" i="175" s="1"/>
  <c r="F39" i="177"/>
  <c r="F65" i="174"/>
  <c r="E15" i="174"/>
  <c r="O15" i="206" s="1"/>
  <c r="F35" i="174"/>
  <c r="V35" i="206" s="1"/>
  <c r="C15" i="172"/>
  <c r="C118" i="172" s="1"/>
  <c r="D15" i="172"/>
  <c r="D18" i="172" s="1"/>
  <c r="E46" i="174"/>
  <c r="O39" i="206" s="1"/>
  <c r="E39" i="177"/>
  <c r="E37" i="176"/>
  <c r="F18" i="177"/>
  <c r="E15" i="177"/>
  <c r="H59" i="177"/>
  <c r="H62" i="177" s="1"/>
  <c r="E44" i="177"/>
  <c r="D59" i="177"/>
  <c r="D62" i="177" s="1"/>
  <c r="D13" i="176"/>
  <c r="D23" i="176" s="1"/>
  <c r="E23" i="176"/>
  <c r="F23" i="176"/>
  <c r="F37" i="176"/>
  <c r="C23" i="176"/>
  <c r="C55" i="176"/>
  <c r="D70" i="175"/>
  <c r="E70" i="175"/>
  <c r="F70" i="175"/>
  <c r="D23" i="175"/>
  <c r="C79" i="175"/>
  <c r="D79" i="175"/>
  <c r="E79" i="175"/>
  <c r="F79" i="175"/>
  <c r="C70" i="175"/>
  <c r="E23" i="175"/>
  <c r="F23" i="175"/>
  <c r="C23" i="175"/>
  <c r="C15" i="175"/>
  <c r="C92" i="175"/>
  <c r="E15" i="175"/>
  <c r="D56" i="174"/>
  <c r="H41" i="206" s="1"/>
  <c r="D51" i="174"/>
  <c r="H40" i="206" s="1"/>
  <c r="F46" i="174"/>
  <c r="V39" i="206" s="1"/>
  <c r="F38" i="174"/>
  <c r="V38" i="206" s="1"/>
  <c r="D46" i="174"/>
  <c r="H39" i="206" s="1"/>
  <c r="E38" i="174"/>
  <c r="O38" i="206" s="1"/>
  <c r="D38" i="174"/>
  <c r="H38" i="206" s="1"/>
  <c r="H69" i="174"/>
  <c r="D15" i="174"/>
  <c r="H15" i="206" s="1"/>
  <c r="H23" i="173"/>
  <c r="F37" i="173"/>
  <c r="C37" i="173"/>
  <c r="D37" i="173"/>
  <c r="E37" i="173"/>
  <c r="D23" i="173"/>
  <c r="E23" i="173"/>
  <c r="D85" i="172"/>
  <c r="M50" i="203" s="1"/>
  <c r="E85" i="172"/>
  <c r="T50" i="203" s="1"/>
  <c r="F85" i="172"/>
  <c r="AA50" i="203" s="1"/>
  <c r="C85" i="172"/>
  <c r="F50" i="203" s="1"/>
  <c r="C101" i="172"/>
  <c r="F53" i="203" s="1"/>
  <c r="D101" i="172"/>
  <c r="M53" i="203" s="1"/>
  <c r="E101" i="172"/>
  <c r="T53" i="203" s="1"/>
  <c r="F61" i="172"/>
  <c r="AA40" i="203" s="1"/>
  <c r="C61" i="172"/>
  <c r="F40" i="203" s="1"/>
  <c r="E26" i="172"/>
  <c r="E61" i="172"/>
  <c r="C26" i="172"/>
  <c r="D26" i="172"/>
  <c r="D61" i="172"/>
  <c r="M40" i="203" s="1"/>
  <c r="F26" i="172"/>
  <c r="F101" i="172"/>
  <c r="AA53" i="203" s="1"/>
  <c r="C13" i="173"/>
  <c r="C23" i="173" s="1"/>
  <c r="E18" i="172"/>
  <c r="F18" i="172"/>
  <c r="F118" i="172"/>
  <c r="H72" i="174" l="1"/>
  <c r="I115" i="172"/>
  <c r="I29" i="173"/>
  <c r="I122" i="172"/>
  <c r="AH60" i="203"/>
  <c r="AA60" i="203"/>
  <c r="H12" i="201"/>
  <c r="AC8" i="206"/>
  <c r="AE8" i="206" s="1"/>
  <c r="H115" i="172"/>
  <c r="H29" i="173"/>
  <c r="AH29" i="205" s="1"/>
  <c r="AJ29" i="205" s="1"/>
  <c r="H122" i="172"/>
  <c r="J115" i="172"/>
  <c r="J29" i="173"/>
  <c r="J122" i="172"/>
  <c r="AA13" i="203"/>
  <c r="K115" i="172"/>
  <c r="K29" i="173"/>
  <c r="K122" i="172"/>
  <c r="L115" i="172"/>
  <c r="L29" i="173"/>
  <c r="L122" i="172"/>
  <c r="T13" i="203"/>
  <c r="T60" i="203"/>
  <c r="F13" i="203"/>
  <c r="F92" i="175"/>
  <c r="U21" i="203"/>
  <c r="M20" i="203"/>
  <c r="M36" i="203"/>
  <c r="M61" i="203"/>
  <c r="I30" i="184"/>
  <c r="BL60" i="203"/>
  <c r="AI49" i="206"/>
  <c r="U37" i="205"/>
  <c r="BH60" i="203"/>
  <c r="AB21" i="203"/>
  <c r="J18" i="182"/>
  <c r="AT18" i="206" s="1"/>
  <c r="AX18" i="206" s="1"/>
  <c r="J60" i="183"/>
  <c r="K18" i="182"/>
  <c r="BC18" i="206" s="1"/>
  <c r="BG18" i="206" s="1"/>
  <c r="BE17" i="206"/>
  <c r="BG17" i="206" s="1"/>
  <c r="K15" i="196"/>
  <c r="BN17" i="206"/>
  <c r="BP17" i="206" s="1"/>
  <c r="L15" i="196"/>
  <c r="K15" i="177"/>
  <c r="K28" i="177" s="1"/>
  <c r="I15" i="196"/>
  <c r="AM17" i="206"/>
  <c r="AO17" i="206" s="1"/>
  <c r="P40" i="206"/>
  <c r="P15" i="206"/>
  <c r="W18" i="206"/>
  <c r="P18" i="206"/>
  <c r="AI37" i="205"/>
  <c r="AJ39" i="205"/>
  <c r="AJ37" i="205" s="1"/>
  <c r="W40" i="206"/>
  <c r="J15" i="177"/>
  <c r="J28" i="177" s="1"/>
  <c r="AV17" i="206"/>
  <c r="AX17" i="206" s="1"/>
  <c r="J15" i="196"/>
  <c r="W11" i="206"/>
  <c r="P11" i="206"/>
  <c r="AB10" i="203"/>
  <c r="AC9" i="203"/>
  <c r="W9" i="206"/>
  <c r="N21" i="203"/>
  <c r="N50" i="203"/>
  <c r="AB53" i="203"/>
  <c r="W39" i="206"/>
  <c r="P35" i="206"/>
  <c r="V9" i="203"/>
  <c r="U10" i="203"/>
  <c r="N14" i="203"/>
  <c r="N19" i="203"/>
  <c r="P39" i="206"/>
  <c r="AB50" i="203"/>
  <c r="U50" i="203"/>
  <c r="U53" i="203"/>
  <c r="W35" i="206"/>
  <c r="N53" i="203"/>
  <c r="P9" i="206"/>
  <c r="AY18" i="203"/>
  <c r="BC18" i="203" s="1"/>
  <c r="I33" i="184"/>
  <c r="BQ18" i="203"/>
  <c r="BU18" i="203" s="1"/>
  <c r="K33" i="184"/>
  <c r="K46" i="183"/>
  <c r="BH17" i="203"/>
  <c r="BL17" i="203" s="1"/>
  <c r="J54" i="184"/>
  <c r="I56" i="184"/>
  <c r="AY32" i="203"/>
  <c r="BC32" i="203" s="1"/>
  <c r="AY13" i="203"/>
  <c r="BC13" i="203" s="1"/>
  <c r="BC14" i="203" s="1"/>
  <c r="AY60" i="203"/>
  <c r="L60" i="183"/>
  <c r="BQ16" i="205"/>
  <c r="BU16" i="205" s="1"/>
  <c r="BH14" i="203"/>
  <c r="BQ21" i="203"/>
  <c r="BU21" i="203" s="1"/>
  <c r="BQ13" i="203"/>
  <c r="BU13" i="203" s="1"/>
  <c r="BU14" i="203" s="1"/>
  <c r="BQ60" i="203"/>
  <c r="J146" i="179"/>
  <c r="I25" i="180"/>
  <c r="I62" i="180" s="1"/>
  <c r="J153" i="179"/>
  <c r="D15" i="175"/>
  <c r="D21" i="175" s="1"/>
  <c r="D92" i="175"/>
  <c r="F15" i="177"/>
  <c r="F59" i="177"/>
  <c r="H63" i="182"/>
  <c r="H64" i="182" s="1"/>
  <c r="F66" i="182"/>
  <c r="F15" i="174"/>
  <c r="V15" i="206" s="1"/>
  <c r="I26" i="173"/>
  <c r="F62" i="181"/>
  <c r="H59" i="181"/>
  <c r="H60" i="181" s="1"/>
  <c r="E151" i="184"/>
  <c r="E158" i="184"/>
  <c r="C143" i="184"/>
  <c r="C144" i="184" s="1"/>
  <c r="C136" i="184"/>
  <c r="C157" i="184"/>
  <c r="G151" i="184"/>
  <c r="G158" i="184"/>
  <c r="D136" i="184"/>
  <c r="D157" i="184"/>
  <c r="D143" i="184"/>
  <c r="D144" i="184" s="1"/>
  <c r="J25" i="180"/>
  <c r="J62" i="180" s="1"/>
  <c r="C153" i="179"/>
  <c r="C146" i="179"/>
  <c r="E145" i="179"/>
  <c r="E152" i="179"/>
  <c r="E130" i="179"/>
  <c r="E131" i="179" s="1"/>
  <c r="E118" i="179"/>
  <c r="D153" i="179"/>
  <c r="D146" i="179"/>
  <c r="K152" i="179"/>
  <c r="K145" i="179"/>
  <c r="K130" i="179"/>
  <c r="K131" i="179" s="1"/>
  <c r="K118" i="179"/>
  <c r="G153" i="179"/>
  <c r="G146" i="179"/>
  <c r="H146" i="179"/>
  <c r="H153" i="179"/>
  <c r="I239" i="166"/>
  <c r="J239" i="166"/>
  <c r="J29" i="168"/>
  <c r="L239" i="166"/>
  <c r="L29" i="168"/>
  <c r="K239" i="166"/>
  <c r="K29" i="168"/>
  <c r="D118" i="172"/>
  <c r="C18" i="172"/>
  <c r="C24" i="172" s="1"/>
  <c r="E118" i="172"/>
  <c r="E69" i="174"/>
  <c r="O46" i="206" s="1"/>
  <c r="F69" i="174"/>
  <c r="V46" i="206" s="1"/>
  <c r="D69" i="174"/>
  <c r="H46" i="206" s="1"/>
  <c r="E59" i="177"/>
  <c r="E64" i="177"/>
  <c r="C57" i="176"/>
  <c r="E16" i="175"/>
  <c r="E21" i="175"/>
  <c r="F16" i="175"/>
  <c r="F21" i="175"/>
  <c r="C21" i="175"/>
  <c r="C16" i="175"/>
  <c r="C58" i="173"/>
  <c r="C60" i="173" s="1"/>
  <c r="C19" i="172"/>
  <c r="D19" i="172"/>
  <c r="D24" i="172"/>
  <c r="F24" i="172"/>
  <c r="F19" i="172"/>
  <c r="E24" i="172"/>
  <c r="E19" i="172"/>
  <c r="T14" i="203" l="1"/>
  <c r="T19" i="203"/>
  <c r="F14" i="203"/>
  <c r="F19" i="203"/>
  <c r="AC12" i="206"/>
  <c r="H28" i="201"/>
  <c r="H72" i="201" s="1"/>
  <c r="AA19" i="203"/>
  <c r="AA14" i="203"/>
  <c r="I51" i="180"/>
  <c r="I53" i="180" s="1"/>
  <c r="M42" i="203"/>
  <c r="M37" i="203"/>
  <c r="D16" i="175"/>
  <c r="AM15" i="206"/>
  <c r="AO15" i="206" s="1"/>
  <c r="I28" i="196"/>
  <c r="I62" i="196" s="1"/>
  <c r="AV15" i="206"/>
  <c r="AV28" i="206" s="1"/>
  <c r="AV49" i="206" s="1"/>
  <c r="J28" i="196"/>
  <c r="J62" i="196" s="1"/>
  <c r="P51" i="206"/>
  <c r="BN15" i="206"/>
  <c r="BN28" i="206" s="1"/>
  <c r="BN49" i="206" s="1"/>
  <c r="L28" i="196"/>
  <c r="L62" i="196" s="1"/>
  <c r="W15" i="206"/>
  <c r="BE15" i="206"/>
  <c r="BE28" i="206" s="1"/>
  <c r="BE49" i="206" s="1"/>
  <c r="K28" i="196"/>
  <c r="K62" i="196" s="1"/>
  <c r="U13" i="203"/>
  <c r="U60" i="203"/>
  <c r="N36" i="203"/>
  <c r="N61" i="203"/>
  <c r="N20" i="203"/>
  <c r="AI60" i="203"/>
  <c r="AB60" i="203"/>
  <c r="AB13" i="203"/>
  <c r="W46" i="206"/>
  <c r="P46" i="206"/>
  <c r="J110" i="184"/>
  <c r="J55" i="184"/>
  <c r="J155" i="184"/>
  <c r="K62" i="183"/>
  <c r="K61" i="183"/>
  <c r="BH43" i="205"/>
  <c r="BL43" i="205" s="1"/>
  <c r="BL41" i="205" s="1"/>
  <c r="K44" i="183"/>
  <c r="K63" i="183"/>
  <c r="BH19" i="203"/>
  <c r="BL19" i="203" s="1"/>
  <c r="AY17" i="203"/>
  <c r="BC17" i="203" s="1"/>
  <c r="I54" i="184"/>
  <c r="J46" i="183"/>
  <c r="BQ17" i="203"/>
  <c r="BU17" i="203" s="1"/>
  <c r="L46" i="183"/>
  <c r="K54" i="184"/>
  <c r="BQ14" i="203"/>
  <c r="AY14" i="203"/>
  <c r="AY21" i="203"/>
  <c r="BC21" i="203" s="1"/>
  <c r="J26" i="173"/>
  <c r="H62" i="181"/>
  <c r="I59" i="181"/>
  <c r="H66" i="182"/>
  <c r="C158" i="184"/>
  <c r="C151" i="184"/>
  <c r="D158" i="184"/>
  <c r="D151" i="184"/>
  <c r="J51" i="180"/>
  <c r="J53" i="180" s="1"/>
  <c r="L25" i="180"/>
  <c r="K25" i="180"/>
  <c r="K62" i="180" s="1"/>
  <c r="K153" i="179"/>
  <c r="K146" i="179"/>
  <c r="E146" i="179"/>
  <c r="E153" i="179"/>
  <c r="C93" i="175"/>
  <c r="C45" i="175"/>
  <c r="C22" i="175"/>
  <c r="F93" i="175"/>
  <c r="F45" i="175"/>
  <c r="F22" i="175"/>
  <c r="D22" i="175"/>
  <c r="D93" i="175"/>
  <c r="D45" i="175"/>
  <c r="E93" i="175"/>
  <c r="E45" i="175"/>
  <c r="E22" i="175"/>
  <c r="E119" i="172"/>
  <c r="E55" i="172"/>
  <c r="E25" i="172"/>
  <c r="F119" i="172"/>
  <c r="F55" i="172"/>
  <c r="F25" i="172"/>
  <c r="D119" i="172"/>
  <c r="D25" i="172"/>
  <c r="D55" i="172"/>
  <c r="C55" i="172"/>
  <c r="C25" i="172"/>
  <c r="C119" i="172"/>
  <c r="F33" i="167"/>
  <c r="F31" i="167"/>
  <c r="U31" i="206" s="1"/>
  <c r="E33" i="167"/>
  <c r="E31" i="167"/>
  <c r="D33" i="167"/>
  <c r="F68" i="167"/>
  <c r="E68" i="167"/>
  <c r="D68" i="167"/>
  <c r="F66" i="167"/>
  <c r="F65" i="167"/>
  <c r="E66" i="167"/>
  <c r="E65" i="167"/>
  <c r="D66" i="167"/>
  <c r="D65" i="167"/>
  <c r="B66" i="167"/>
  <c r="B65" i="167"/>
  <c r="F62" i="167"/>
  <c r="F59" i="167"/>
  <c r="F58" i="167"/>
  <c r="F57" i="167"/>
  <c r="F56" i="167"/>
  <c r="F55" i="167"/>
  <c r="F54" i="167"/>
  <c r="F53" i="167"/>
  <c r="F52" i="167"/>
  <c r="E62" i="167"/>
  <c r="E59" i="167"/>
  <c r="E58" i="167"/>
  <c r="E57" i="167"/>
  <c r="E56" i="167"/>
  <c r="E55" i="167"/>
  <c r="E54" i="167"/>
  <c r="E53" i="167"/>
  <c r="E52" i="167"/>
  <c r="D62" i="167"/>
  <c r="D59" i="167"/>
  <c r="D58" i="167"/>
  <c r="D57" i="167"/>
  <c r="D56" i="167"/>
  <c r="D55" i="167"/>
  <c r="D54" i="167"/>
  <c r="D53" i="167"/>
  <c r="D52" i="167"/>
  <c r="B62" i="167"/>
  <c r="B59" i="167"/>
  <c r="B58" i="167"/>
  <c r="B57" i="167"/>
  <c r="B56" i="167"/>
  <c r="B55" i="167"/>
  <c r="B54" i="167"/>
  <c r="B53" i="167"/>
  <c r="B52" i="167"/>
  <c r="F49" i="167"/>
  <c r="F48" i="167"/>
  <c r="F47" i="167"/>
  <c r="F46" i="167"/>
  <c r="F45" i="167"/>
  <c r="F44" i="167"/>
  <c r="F43" i="167"/>
  <c r="F42" i="167"/>
  <c r="F41" i="167"/>
  <c r="E49" i="167"/>
  <c r="E48" i="167"/>
  <c r="E47" i="167"/>
  <c r="E46" i="167"/>
  <c r="E45" i="167"/>
  <c r="E44" i="167"/>
  <c r="E43" i="167"/>
  <c r="E42" i="167"/>
  <c r="E41" i="167"/>
  <c r="D49" i="167"/>
  <c r="D48" i="167"/>
  <c r="D47" i="167"/>
  <c r="D46" i="167"/>
  <c r="D45" i="167"/>
  <c r="D44" i="167"/>
  <c r="D43" i="167"/>
  <c r="D42" i="167"/>
  <c r="D41" i="167"/>
  <c r="B49" i="167"/>
  <c r="B48" i="167"/>
  <c r="B47" i="167"/>
  <c r="B46" i="167"/>
  <c r="B45" i="167"/>
  <c r="B44" i="167"/>
  <c r="B43" i="167"/>
  <c r="B42" i="167"/>
  <c r="B41" i="167"/>
  <c r="F26" i="167"/>
  <c r="U26" i="206" s="1"/>
  <c r="F25" i="167"/>
  <c r="U25" i="206" s="1"/>
  <c r="F24" i="167"/>
  <c r="U24" i="206" s="1"/>
  <c r="F23" i="167"/>
  <c r="U23" i="206" s="1"/>
  <c r="F22" i="167"/>
  <c r="U22" i="206" s="1"/>
  <c r="F21" i="167"/>
  <c r="U21" i="206" s="1"/>
  <c r="F20" i="167"/>
  <c r="U20" i="206" s="1"/>
  <c r="F17" i="167"/>
  <c r="U17" i="206" s="1"/>
  <c r="F14" i="167"/>
  <c r="E26" i="167"/>
  <c r="N26" i="206" s="1"/>
  <c r="E25" i="167"/>
  <c r="N25" i="206" s="1"/>
  <c r="E24" i="167"/>
  <c r="N24" i="206" s="1"/>
  <c r="E23" i="167"/>
  <c r="N23" i="206" s="1"/>
  <c r="E22" i="167"/>
  <c r="N22" i="206" s="1"/>
  <c r="E21" i="167"/>
  <c r="N21" i="206" s="1"/>
  <c r="E20" i="167"/>
  <c r="N20" i="206" s="1"/>
  <c r="E18" i="167"/>
  <c r="N18" i="206" s="1"/>
  <c r="E17" i="167"/>
  <c r="N17" i="206" s="1"/>
  <c r="E16" i="167"/>
  <c r="N16" i="206" s="1"/>
  <c r="E14" i="167"/>
  <c r="D26" i="167"/>
  <c r="G26" i="206" s="1"/>
  <c r="D25" i="167"/>
  <c r="G25" i="206" s="1"/>
  <c r="D24" i="167"/>
  <c r="G24" i="206" s="1"/>
  <c r="D23" i="167"/>
  <c r="G23" i="206" s="1"/>
  <c r="D22" i="167"/>
  <c r="G22" i="206" s="1"/>
  <c r="D21" i="167"/>
  <c r="G21" i="206" s="1"/>
  <c r="D20" i="167"/>
  <c r="G20" i="206" s="1"/>
  <c r="D18" i="167"/>
  <c r="G18" i="206" s="1"/>
  <c r="D17" i="167"/>
  <c r="G17" i="206" s="1"/>
  <c r="D14" i="167"/>
  <c r="C82" i="167"/>
  <c r="D81" i="167" s="1"/>
  <c r="G51" i="206" s="1"/>
  <c r="C28" i="168"/>
  <c r="C17" i="168"/>
  <c r="C14" i="168"/>
  <c r="C10" i="168"/>
  <c r="C9" i="168"/>
  <c r="D28" i="168"/>
  <c r="D17" i="168"/>
  <c r="D14" i="168"/>
  <c r="D10" i="168"/>
  <c r="F38" i="168"/>
  <c r="Z38" i="205" s="1"/>
  <c r="Z37" i="205" s="1"/>
  <c r="E38" i="168"/>
  <c r="S38" i="205" s="1"/>
  <c r="D38" i="168"/>
  <c r="L38" i="205" s="1"/>
  <c r="L37" i="205" s="1"/>
  <c r="C38" i="168"/>
  <c r="E38" i="205" s="1"/>
  <c r="E37" i="205" s="1"/>
  <c r="E28" i="168"/>
  <c r="F28" i="168"/>
  <c r="E14" i="168"/>
  <c r="F17" i="168"/>
  <c r="G19" i="167" s="1"/>
  <c r="F16" i="168"/>
  <c r="G18" i="167" s="1"/>
  <c r="F14" i="168"/>
  <c r="G16" i="167" s="1"/>
  <c r="G15" i="167" s="1"/>
  <c r="G28" i="167" s="1"/>
  <c r="F10" i="168"/>
  <c r="E10" i="168"/>
  <c r="E8" i="168" s="1"/>
  <c r="C162" i="166"/>
  <c r="F227" i="166"/>
  <c r="E227" i="166"/>
  <c r="D227" i="166"/>
  <c r="C227" i="166"/>
  <c r="F120" i="166"/>
  <c r="E120" i="166"/>
  <c r="D120" i="166"/>
  <c r="C120" i="166"/>
  <c r="C134" i="166"/>
  <c r="D134" i="166"/>
  <c r="E134" i="166"/>
  <c r="F134" i="166"/>
  <c r="F110" i="166"/>
  <c r="F92" i="166"/>
  <c r="Z25" i="203" s="1"/>
  <c r="F89" i="166"/>
  <c r="F81" i="166"/>
  <c r="F139" i="166"/>
  <c r="E139" i="166"/>
  <c r="D139" i="166"/>
  <c r="C139" i="166"/>
  <c r="F73" i="166"/>
  <c r="E73" i="166"/>
  <c r="D73" i="166"/>
  <c r="C73" i="166"/>
  <c r="F61" i="166"/>
  <c r="E61" i="166"/>
  <c r="D61" i="166"/>
  <c r="C61" i="166"/>
  <c r="F53" i="166"/>
  <c r="E53" i="166"/>
  <c r="D53" i="166"/>
  <c r="C53" i="166"/>
  <c r="L55" i="168"/>
  <c r="K55" i="168"/>
  <c r="J55" i="168"/>
  <c r="F55" i="168"/>
  <c r="F51" i="168"/>
  <c r="Z39" i="205" s="1"/>
  <c r="E51" i="168"/>
  <c r="S39" i="205" s="1"/>
  <c r="D51" i="168"/>
  <c r="L39" i="205" s="1"/>
  <c r="C51" i="168"/>
  <c r="E39" i="205" s="1"/>
  <c r="L33" i="168"/>
  <c r="K33" i="168"/>
  <c r="J33" i="168"/>
  <c r="F33" i="168"/>
  <c r="E33" i="168"/>
  <c r="D33" i="168"/>
  <c r="C33" i="168"/>
  <c r="D13" i="168"/>
  <c r="L13" i="168"/>
  <c r="K13" i="168"/>
  <c r="J13" i="168"/>
  <c r="D8" i="168"/>
  <c r="L72" i="167"/>
  <c r="K72" i="167"/>
  <c r="J72" i="167"/>
  <c r="L68" i="167"/>
  <c r="K68" i="167"/>
  <c r="L64" i="167"/>
  <c r="K64" i="167"/>
  <c r="J64" i="167"/>
  <c r="L35" i="167"/>
  <c r="K35" i="167"/>
  <c r="J35" i="167"/>
  <c r="L28" i="167"/>
  <c r="K28" i="167"/>
  <c r="J28" i="167"/>
  <c r="I242" i="166"/>
  <c r="F232" i="166"/>
  <c r="E232" i="166"/>
  <c r="D232" i="166"/>
  <c r="C232" i="166"/>
  <c r="F222" i="166"/>
  <c r="E222" i="166"/>
  <c r="D222" i="166"/>
  <c r="C222" i="166"/>
  <c r="F200" i="166"/>
  <c r="E200" i="166"/>
  <c r="D200" i="166"/>
  <c r="C200" i="166"/>
  <c r="F196" i="166"/>
  <c r="E196" i="166"/>
  <c r="D196" i="166"/>
  <c r="C196" i="166"/>
  <c r="F193" i="166"/>
  <c r="E193" i="166"/>
  <c r="D193" i="166"/>
  <c r="C193" i="166"/>
  <c r="F190" i="166"/>
  <c r="E190" i="166"/>
  <c r="D190" i="166"/>
  <c r="C190" i="166"/>
  <c r="F179" i="166"/>
  <c r="E179" i="166"/>
  <c r="D179" i="166"/>
  <c r="C179" i="166"/>
  <c r="F171" i="166"/>
  <c r="E171" i="166"/>
  <c r="D171" i="166"/>
  <c r="C171" i="166"/>
  <c r="F162" i="166"/>
  <c r="E162" i="166"/>
  <c r="D162" i="166"/>
  <c r="F159" i="166"/>
  <c r="E159" i="166"/>
  <c r="D159" i="166"/>
  <c r="C159" i="166"/>
  <c r="F146" i="166"/>
  <c r="E146" i="166"/>
  <c r="D146" i="166"/>
  <c r="C146" i="166"/>
  <c r="F142" i="166"/>
  <c r="E142" i="166"/>
  <c r="D142" i="166"/>
  <c r="C142" i="166"/>
  <c r="F117" i="166"/>
  <c r="E117" i="166"/>
  <c r="D117" i="166"/>
  <c r="C117" i="166"/>
  <c r="E110" i="166"/>
  <c r="D110" i="166"/>
  <c r="C110" i="166"/>
  <c r="F99" i="166"/>
  <c r="E99" i="166"/>
  <c r="D99" i="166"/>
  <c r="C99" i="166"/>
  <c r="E92" i="166"/>
  <c r="S25" i="203" s="1"/>
  <c r="D92" i="166"/>
  <c r="L25" i="203" s="1"/>
  <c r="C92" i="166"/>
  <c r="E89" i="166"/>
  <c r="D89" i="166"/>
  <c r="C89" i="166"/>
  <c r="E81" i="166"/>
  <c r="D81" i="166"/>
  <c r="C81" i="166"/>
  <c r="F56" i="166"/>
  <c r="Z12" i="203" s="1"/>
  <c r="E56" i="166"/>
  <c r="S12" i="203" s="1"/>
  <c r="D56" i="166"/>
  <c r="L12" i="203" s="1"/>
  <c r="C56" i="166"/>
  <c r="E12" i="203" s="1"/>
  <c r="L242" i="166"/>
  <c r="K242" i="166"/>
  <c r="J242" i="166"/>
  <c r="F7" i="166"/>
  <c r="E7" i="166"/>
  <c r="D7" i="166"/>
  <c r="C7" i="166"/>
  <c r="E53" i="163"/>
  <c r="E52" i="163" s="1"/>
  <c r="T41" i="206" s="1"/>
  <c r="D53" i="163"/>
  <c r="D52" i="163" s="1"/>
  <c r="M41" i="206" s="1"/>
  <c r="K52" i="163"/>
  <c r="J52" i="163"/>
  <c r="I52" i="163"/>
  <c r="B53" i="163"/>
  <c r="E50" i="163"/>
  <c r="E49" i="163"/>
  <c r="D50" i="163"/>
  <c r="D49" i="163"/>
  <c r="K48" i="163"/>
  <c r="J48" i="163"/>
  <c r="I48" i="163"/>
  <c r="B50" i="163"/>
  <c r="B49" i="163"/>
  <c r="E46" i="163"/>
  <c r="E45" i="163"/>
  <c r="E44" i="163"/>
  <c r="D46" i="163"/>
  <c r="D45" i="163"/>
  <c r="D44" i="163"/>
  <c r="K43" i="163"/>
  <c r="J43" i="163"/>
  <c r="I43" i="163"/>
  <c r="B46" i="163"/>
  <c r="B45" i="163"/>
  <c r="B44" i="163"/>
  <c r="E41" i="163"/>
  <c r="E40" i="163"/>
  <c r="E39" i="163"/>
  <c r="D41" i="163"/>
  <c r="D40" i="163"/>
  <c r="D39" i="163"/>
  <c r="B41" i="163"/>
  <c r="B40" i="163"/>
  <c r="B39" i="163"/>
  <c r="E26" i="163"/>
  <c r="T26" i="206" s="1"/>
  <c r="E25" i="163"/>
  <c r="T25" i="206" s="1"/>
  <c r="E24" i="163"/>
  <c r="T24" i="206" s="1"/>
  <c r="E23" i="163"/>
  <c r="T23" i="206" s="1"/>
  <c r="E21" i="163"/>
  <c r="T21" i="206" s="1"/>
  <c r="E20" i="163"/>
  <c r="T20" i="206" s="1"/>
  <c r="E17" i="163"/>
  <c r="T17" i="206" s="1"/>
  <c r="D26" i="163"/>
  <c r="M26" i="206" s="1"/>
  <c r="D25" i="163"/>
  <c r="M25" i="206" s="1"/>
  <c r="D24" i="163"/>
  <c r="M24" i="206" s="1"/>
  <c r="D23" i="163"/>
  <c r="M23" i="206" s="1"/>
  <c r="D21" i="163"/>
  <c r="M21" i="206" s="1"/>
  <c r="D20" i="163"/>
  <c r="M20" i="206" s="1"/>
  <c r="D17" i="163"/>
  <c r="M17" i="206" s="1"/>
  <c r="C35" i="163"/>
  <c r="C69" i="163"/>
  <c r="C15" i="163"/>
  <c r="C12" i="163"/>
  <c r="C47" i="164"/>
  <c r="C17" i="164"/>
  <c r="C16" i="164"/>
  <c r="C14" i="164"/>
  <c r="C11" i="164"/>
  <c r="C10" i="164"/>
  <c r="C9" i="164"/>
  <c r="E42" i="164"/>
  <c r="Y39" i="205" s="1"/>
  <c r="D42" i="164"/>
  <c r="R39" i="205" s="1"/>
  <c r="C42" i="164"/>
  <c r="K39" i="205" s="1"/>
  <c r="E38" i="164"/>
  <c r="Y38" i="205" s="1"/>
  <c r="D38" i="164"/>
  <c r="R38" i="205" s="1"/>
  <c r="C38" i="164"/>
  <c r="K38" i="205" s="1"/>
  <c r="D47" i="164"/>
  <c r="E47" i="164"/>
  <c r="E28" i="164"/>
  <c r="C28" i="164"/>
  <c r="D17" i="164"/>
  <c r="D16" i="164"/>
  <c r="D14" i="164"/>
  <c r="E17" i="164"/>
  <c r="E14" i="164"/>
  <c r="D9" i="164"/>
  <c r="D11" i="164"/>
  <c r="D10" i="164"/>
  <c r="E11" i="164"/>
  <c r="E10" i="164"/>
  <c r="E9" i="164"/>
  <c r="C172" i="162"/>
  <c r="K44" i="203" s="1"/>
  <c r="E119" i="162"/>
  <c r="C119" i="162"/>
  <c r="E54" i="162"/>
  <c r="Y25" i="203" s="1"/>
  <c r="D54" i="162"/>
  <c r="R25" i="203" s="1"/>
  <c r="C54" i="162"/>
  <c r="K25" i="203" s="1"/>
  <c r="E131" i="162"/>
  <c r="D131" i="162"/>
  <c r="C131" i="162"/>
  <c r="E214" i="162"/>
  <c r="D214" i="162"/>
  <c r="C214" i="162"/>
  <c r="E211" i="162"/>
  <c r="D211" i="162"/>
  <c r="C211" i="162"/>
  <c r="E208" i="162"/>
  <c r="D208" i="162"/>
  <c r="C208" i="162"/>
  <c r="E200" i="162"/>
  <c r="D200" i="162"/>
  <c r="C200" i="162"/>
  <c r="E195" i="162"/>
  <c r="D195" i="162"/>
  <c r="C195" i="162"/>
  <c r="E188" i="162"/>
  <c r="D188" i="162"/>
  <c r="C188" i="162"/>
  <c r="E183" i="162"/>
  <c r="D183" i="162"/>
  <c r="C183" i="162"/>
  <c r="E160" i="162"/>
  <c r="E145" i="162"/>
  <c r="D160" i="162"/>
  <c r="D145" i="162"/>
  <c r="C160" i="162"/>
  <c r="C145" i="162"/>
  <c r="E134" i="162"/>
  <c r="D134" i="162"/>
  <c r="C134" i="162"/>
  <c r="D100" i="162"/>
  <c r="D86" i="162"/>
  <c r="E109" i="162"/>
  <c r="E105" i="162"/>
  <c r="E100" i="162"/>
  <c r="E86" i="162"/>
  <c r="E76" i="162"/>
  <c r="E67" i="162"/>
  <c r="E58" i="162"/>
  <c r="E49" i="162"/>
  <c r="E39" i="162"/>
  <c r="D119" i="162"/>
  <c r="D109" i="162"/>
  <c r="D105" i="162"/>
  <c r="D76" i="162"/>
  <c r="D67" i="162"/>
  <c r="D58" i="162"/>
  <c r="D49" i="162"/>
  <c r="D39" i="162"/>
  <c r="C109" i="162"/>
  <c r="C105" i="162"/>
  <c r="C100" i="162"/>
  <c r="C86" i="162"/>
  <c r="C76" i="162"/>
  <c r="C67" i="162"/>
  <c r="C58" i="162"/>
  <c r="C49" i="162"/>
  <c r="C39" i="162"/>
  <c r="E32" i="162"/>
  <c r="D32" i="162"/>
  <c r="C32" i="162"/>
  <c r="E180" i="162"/>
  <c r="D180" i="162"/>
  <c r="C180" i="162"/>
  <c r="E172" i="162"/>
  <c r="Y44" i="203" s="1"/>
  <c r="D172" i="162"/>
  <c r="R44" i="203" s="1"/>
  <c r="E16" i="162"/>
  <c r="D16" i="162"/>
  <c r="C16" i="162"/>
  <c r="E7" i="162"/>
  <c r="D7" i="162"/>
  <c r="C7" i="162"/>
  <c r="D32" i="148"/>
  <c r="F58" i="148"/>
  <c r="F57" i="148"/>
  <c r="E58" i="148"/>
  <c r="E57" i="148"/>
  <c r="D58" i="148"/>
  <c r="D57" i="148"/>
  <c r="B58" i="148"/>
  <c r="B57" i="148"/>
  <c r="F54" i="148"/>
  <c r="F53" i="148"/>
  <c r="F52" i="148"/>
  <c r="E54" i="148"/>
  <c r="E53" i="148"/>
  <c r="E52" i="148"/>
  <c r="D54" i="148"/>
  <c r="D53" i="148"/>
  <c r="D52" i="148"/>
  <c r="B54" i="148"/>
  <c r="B53" i="148"/>
  <c r="B52" i="148"/>
  <c r="F49" i="148"/>
  <c r="F48" i="148"/>
  <c r="F47" i="148"/>
  <c r="F46" i="148"/>
  <c r="F45" i="148"/>
  <c r="F44" i="148"/>
  <c r="E49" i="148"/>
  <c r="E48" i="148"/>
  <c r="E47" i="148"/>
  <c r="E46" i="148"/>
  <c r="E45" i="148"/>
  <c r="E44" i="148"/>
  <c r="D49" i="148"/>
  <c r="D48" i="148"/>
  <c r="D47" i="148"/>
  <c r="D46" i="148"/>
  <c r="D45" i="148"/>
  <c r="D44" i="148"/>
  <c r="B49" i="148"/>
  <c r="B48" i="148"/>
  <c r="B47" i="148"/>
  <c r="B46" i="148"/>
  <c r="B45" i="148"/>
  <c r="B44" i="148"/>
  <c r="F41" i="148"/>
  <c r="F40" i="148"/>
  <c r="F39" i="148"/>
  <c r="E41" i="148"/>
  <c r="E40" i="148"/>
  <c r="E39" i="148"/>
  <c r="D41" i="148"/>
  <c r="D40" i="148"/>
  <c r="D39" i="148"/>
  <c r="B41" i="148"/>
  <c r="B40" i="148"/>
  <c r="B39" i="148"/>
  <c r="E32" i="148"/>
  <c r="L32" i="206" s="1"/>
  <c r="D33" i="148"/>
  <c r="F26" i="148"/>
  <c r="F25" i="148"/>
  <c r="F24" i="148"/>
  <c r="F21" i="148"/>
  <c r="F20" i="148"/>
  <c r="F18" i="148"/>
  <c r="F17" i="148"/>
  <c r="F16" i="148"/>
  <c r="E26" i="148"/>
  <c r="E25" i="148"/>
  <c r="E24" i="148"/>
  <c r="E23" i="148"/>
  <c r="E21" i="148"/>
  <c r="E20" i="148"/>
  <c r="E17" i="148"/>
  <c r="E16" i="148"/>
  <c r="D26" i="148"/>
  <c r="D25" i="148"/>
  <c r="D24" i="148"/>
  <c r="D23" i="148"/>
  <c r="D21" i="148"/>
  <c r="D20" i="148"/>
  <c r="D17" i="148"/>
  <c r="C74" i="148"/>
  <c r="F43" i="149"/>
  <c r="E43" i="149"/>
  <c r="D43" i="149"/>
  <c r="C43" i="149"/>
  <c r="C49" i="149"/>
  <c r="C17" i="149"/>
  <c r="C16" i="149"/>
  <c r="C14" i="149"/>
  <c r="C9" i="149"/>
  <c r="C38" i="149"/>
  <c r="D38" i="149"/>
  <c r="D49" i="149"/>
  <c r="D17" i="149"/>
  <c r="D16" i="149"/>
  <c r="D9" i="149"/>
  <c r="E38" i="149"/>
  <c r="E49" i="149"/>
  <c r="E17" i="149"/>
  <c r="E11" i="149"/>
  <c r="E33" i="148" s="1"/>
  <c r="E9" i="149"/>
  <c r="F17" i="149"/>
  <c r="F50" i="149"/>
  <c r="F49" i="149"/>
  <c r="F28" i="149"/>
  <c r="E28" i="149"/>
  <c r="C28" i="149"/>
  <c r="D26" i="149"/>
  <c r="F11" i="149"/>
  <c r="F10" i="149"/>
  <c r="F9" i="149"/>
  <c r="F233" i="147"/>
  <c r="E233" i="147"/>
  <c r="D233" i="147"/>
  <c r="C233" i="147"/>
  <c r="C109" i="147"/>
  <c r="F220" i="147"/>
  <c r="X44" i="203" s="1"/>
  <c r="E220" i="147"/>
  <c r="Q44" i="203" s="1"/>
  <c r="D220" i="147"/>
  <c r="J44" i="203" s="1"/>
  <c r="C220" i="147"/>
  <c r="C44" i="203" s="1"/>
  <c r="D71" i="147"/>
  <c r="D85" i="147"/>
  <c r="J25" i="203" s="1"/>
  <c r="D92" i="147"/>
  <c r="D99" i="147"/>
  <c r="D109" i="147"/>
  <c r="D144" i="147"/>
  <c r="D154" i="147"/>
  <c r="F245" i="147"/>
  <c r="E245" i="147"/>
  <c r="D245" i="147"/>
  <c r="C245" i="147"/>
  <c r="F61" i="147"/>
  <c r="E61" i="147"/>
  <c r="D61" i="147"/>
  <c r="C61" i="147"/>
  <c r="F265" i="147"/>
  <c r="E265" i="147"/>
  <c r="D265" i="147"/>
  <c r="C265" i="147"/>
  <c r="F260" i="147"/>
  <c r="E260" i="147"/>
  <c r="D260" i="147"/>
  <c r="C260" i="147"/>
  <c r="L256" i="147"/>
  <c r="L10" i="148" s="1"/>
  <c r="K256" i="147"/>
  <c r="K10" i="148" s="1"/>
  <c r="J256" i="147"/>
  <c r="J10" i="148" s="1"/>
  <c r="I256" i="147"/>
  <c r="F256" i="147"/>
  <c r="E256" i="147"/>
  <c r="D256" i="147"/>
  <c r="C256" i="147"/>
  <c r="F240" i="147"/>
  <c r="E240" i="147"/>
  <c r="D240" i="147"/>
  <c r="C240" i="147"/>
  <c r="F229" i="147"/>
  <c r="E229" i="147"/>
  <c r="D229" i="147"/>
  <c r="C229" i="147"/>
  <c r="F198" i="147"/>
  <c r="E198" i="147"/>
  <c r="D198" i="147"/>
  <c r="C198" i="147"/>
  <c r="F184" i="147"/>
  <c r="E184" i="147"/>
  <c r="D184" i="147"/>
  <c r="C184" i="147"/>
  <c r="F174" i="147"/>
  <c r="E174" i="147"/>
  <c r="D174" i="147"/>
  <c r="C174" i="147"/>
  <c r="F71" i="147"/>
  <c r="E71" i="147"/>
  <c r="C71" i="147"/>
  <c r="F154" i="147"/>
  <c r="E154" i="147"/>
  <c r="C154" i="147"/>
  <c r="F144" i="147"/>
  <c r="E144" i="147"/>
  <c r="C144" i="147"/>
  <c r="F137" i="147"/>
  <c r="E137" i="147"/>
  <c r="D137" i="147"/>
  <c r="C137" i="147"/>
  <c r="F119" i="147"/>
  <c r="E119" i="147"/>
  <c r="D119" i="147"/>
  <c r="C119" i="147"/>
  <c r="F109" i="147"/>
  <c r="E109" i="147"/>
  <c r="F99" i="147"/>
  <c r="E99" i="147"/>
  <c r="C99" i="147"/>
  <c r="AA36" i="203" l="1"/>
  <c r="AA20" i="203"/>
  <c r="AA61" i="203"/>
  <c r="AC28" i="206"/>
  <c r="AE12" i="206"/>
  <c r="F36" i="203"/>
  <c r="F20" i="203"/>
  <c r="F61" i="203"/>
  <c r="T20" i="203"/>
  <c r="T36" i="203"/>
  <c r="T61" i="203"/>
  <c r="S37" i="205"/>
  <c r="K37" i="205"/>
  <c r="R37" i="205"/>
  <c r="Y37" i="205"/>
  <c r="M48" i="203"/>
  <c r="M62" i="203"/>
  <c r="M43" i="203"/>
  <c r="AY19" i="203"/>
  <c r="BC19" i="203" s="1"/>
  <c r="BC20" i="203" s="1"/>
  <c r="L8" i="203"/>
  <c r="L10" i="203" s="1"/>
  <c r="S23" i="203"/>
  <c r="Z33" i="203"/>
  <c r="E45" i="203"/>
  <c r="L17" i="203"/>
  <c r="O17" i="203" s="1"/>
  <c r="Z24" i="203"/>
  <c r="U14" i="206"/>
  <c r="X14" i="206" s="1"/>
  <c r="U33" i="206"/>
  <c r="Z44" i="203"/>
  <c r="AC44" i="203" s="1"/>
  <c r="Z23" i="203"/>
  <c r="S8" i="203"/>
  <c r="S10" i="203" s="1"/>
  <c r="E24" i="203"/>
  <c r="E34" i="203"/>
  <c r="L45" i="203"/>
  <c r="D10" i="167"/>
  <c r="D10" i="195"/>
  <c r="S17" i="203"/>
  <c r="V17" i="203" s="1"/>
  <c r="D9" i="167"/>
  <c r="D9" i="195"/>
  <c r="N14" i="206"/>
  <c r="Q14" i="206" s="1"/>
  <c r="L23" i="203"/>
  <c r="Z8" i="203"/>
  <c r="Z10" i="203" s="1"/>
  <c r="L24" i="203"/>
  <c r="E28" i="203"/>
  <c r="L34" i="203"/>
  <c r="S45" i="203"/>
  <c r="E10" i="167"/>
  <c r="E10" i="195"/>
  <c r="Z17" i="203"/>
  <c r="AC17" i="203" s="1"/>
  <c r="Z28" i="203"/>
  <c r="E9" i="167"/>
  <c r="E9" i="195"/>
  <c r="Z39" i="203"/>
  <c r="S24" i="203"/>
  <c r="L28" i="203"/>
  <c r="S34" i="203"/>
  <c r="Z45" i="203"/>
  <c r="F10" i="167"/>
  <c r="F10" i="195"/>
  <c r="E18" i="203"/>
  <c r="H18" i="203" s="1"/>
  <c r="Z31" i="203"/>
  <c r="F9" i="167"/>
  <c r="F9" i="195"/>
  <c r="G14" i="206"/>
  <c r="J14" i="206" s="1"/>
  <c r="Z47" i="203"/>
  <c r="E25" i="203"/>
  <c r="S28" i="203"/>
  <c r="Z34" i="203"/>
  <c r="E46" i="203"/>
  <c r="E54" i="203"/>
  <c r="L18" i="203"/>
  <c r="S31" i="203"/>
  <c r="E39" i="203"/>
  <c r="E29" i="203"/>
  <c r="E38" i="203"/>
  <c r="D13" i="167"/>
  <c r="D13" i="195"/>
  <c r="L46" i="203"/>
  <c r="D11" i="167"/>
  <c r="L54" i="203"/>
  <c r="D11" i="195"/>
  <c r="S18" i="203"/>
  <c r="L31" i="203"/>
  <c r="S33" i="203"/>
  <c r="L29" i="203"/>
  <c r="L38" i="203"/>
  <c r="E13" i="167"/>
  <c r="E13" i="195"/>
  <c r="S46" i="203"/>
  <c r="E11" i="167"/>
  <c r="S54" i="203"/>
  <c r="E11" i="195"/>
  <c r="Z18" i="203"/>
  <c r="E31" i="203"/>
  <c r="N42" i="206"/>
  <c r="S29" i="203"/>
  <c r="S38" i="203"/>
  <c r="F13" i="167"/>
  <c r="F13" i="195"/>
  <c r="Z46" i="203"/>
  <c r="F11" i="167"/>
  <c r="Z54" i="203"/>
  <c r="F11" i="195"/>
  <c r="E11" i="203"/>
  <c r="E32" i="203"/>
  <c r="H32" i="203" s="1"/>
  <c r="E30" i="203"/>
  <c r="H30" i="203" s="1"/>
  <c r="U42" i="206"/>
  <c r="C52" i="166"/>
  <c r="C73" i="168" s="1"/>
  <c r="E8" i="203"/>
  <c r="E10" i="203" s="1"/>
  <c r="E17" i="203"/>
  <c r="H17" i="203" s="1"/>
  <c r="E26" i="203"/>
  <c r="L26" i="203"/>
  <c r="Z29" i="203"/>
  <c r="Z38" i="203"/>
  <c r="E44" i="203"/>
  <c r="E47" i="203"/>
  <c r="L11" i="203"/>
  <c r="L32" i="203"/>
  <c r="L30" i="203"/>
  <c r="G33" i="206"/>
  <c r="S26" i="203"/>
  <c r="E33" i="203"/>
  <c r="L39" i="203"/>
  <c r="L44" i="203"/>
  <c r="O44" i="203" s="1"/>
  <c r="L47" i="203"/>
  <c r="S11" i="203"/>
  <c r="S32" i="203"/>
  <c r="S30" i="203"/>
  <c r="N31" i="206"/>
  <c r="E23" i="203"/>
  <c r="Z26" i="203"/>
  <c r="L33" i="203"/>
  <c r="S39" i="203"/>
  <c r="S44" i="203"/>
  <c r="V44" i="203" s="1"/>
  <c r="S47" i="203"/>
  <c r="Z11" i="203"/>
  <c r="Z32" i="203"/>
  <c r="Z30" i="203"/>
  <c r="N33" i="206"/>
  <c r="BH36" i="203"/>
  <c r="BL36" i="203" s="1"/>
  <c r="BL37" i="203" s="1"/>
  <c r="BH20" i="203"/>
  <c r="BC61" i="203"/>
  <c r="BL20" i="203"/>
  <c r="BL61" i="203"/>
  <c r="BH61" i="203"/>
  <c r="AM28" i="206"/>
  <c r="AO28" i="206" s="1"/>
  <c r="AB19" i="203"/>
  <c r="AB14" i="203"/>
  <c r="N42" i="203"/>
  <c r="N37" i="203"/>
  <c r="U14" i="203"/>
  <c r="U19" i="203"/>
  <c r="Y11" i="203"/>
  <c r="K18" i="203"/>
  <c r="K30" i="203"/>
  <c r="O30" i="203" s="1"/>
  <c r="R28" i="203"/>
  <c r="Y28" i="203"/>
  <c r="R39" i="203"/>
  <c r="K46" i="203"/>
  <c r="D9" i="163"/>
  <c r="D9" i="192"/>
  <c r="Y38" i="203"/>
  <c r="R18" i="203"/>
  <c r="V18" i="203" s="1"/>
  <c r="K31" i="203"/>
  <c r="R32" i="203"/>
  <c r="Y30" i="203"/>
  <c r="Y39" i="203"/>
  <c r="D13" i="192"/>
  <c r="R46" i="203"/>
  <c r="E9" i="163"/>
  <c r="E9" i="192"/>
  <c r="K8" i="203"/>
  <c r="K10" i="203" s="1"/>
  <c r="K45" i="203"/>
  <c r="Y18" i="203"/>
  <c r="K32" i="203"/>
  <c r="O32" i="203" s="1"/>
  <c r="R33" i="203"/>
  <c r="Y31" i="203"/>
  <c r="E13" i="163"/>
  <c r="E13" i="192"/>
  <c r="Y46" i="203"/>
  <c r="K54" i="203"/>
  <c r="D11" i="163"/>
  <c r="R54" i="203"/>
  <c r="D11" i="192"/>
  <c r="K28" i="203"/>
  <c r="R27" i="203"/>
  <c r="Y27" i="203"/>
  <c r="K39" i="203"/>
  <c r="Y23" i="203"/>
  <c r="Y33" i="203"/>
  <c r="R47" i="203"/>
  <c r="E11" i="163"/>
  <c r="E11" i="192"/>
  <c r="Y54" i="203"/>
  <c r="K11" i="203"/>
  <c r="K26" i="203"/>
  <c r="R24" i="203"/>
  <c r="Y24" i="203"/>
  <c r="R30" i="203"/>
  <c r="V30" i="203" s="1"/>
  <c r="Y47" i="203"/>
  <c r="D10" i="163"/>
  <c r="D10" i="192"/>
  <c r="K38" i="203"/>
  <c r="R8" i="203"/>
  <c r="R10" i="203" s="1"/>
  <c r="R45" i="203"/>
  <c r="K23" i="203"/>
  <c r="K33" i="203"/>
  <c r="R34" i="203"/>
  <c r="Y32" i="203"/>
  <c r="K47" i="203"/>
  <c r="K34" i="203"/>
  <c r="Y8" i="203"/>
  <c r="Y10" i="203" s="1"/>
  <c r="Y45" i="203"/>
  <c r="K24" i="203"/>
  <c r="R23" i="203"/>
  <c r="Y34" i="203"/>
  <c r="O25" i="203"/>
  <c r="R11" i="203"/>
  <c r="K27" i="203"/>
  <c r="R26" i="203"/>
  <c r="Y26" i="203"/>
  <c r="R31" i="203"/>
  <c r="E10" i="163"/>
  <c r="E10" i="192"/>
  <c r="R38" i="203"/>
  <c r="S17" i="206"/>
  <c r="X17" i="206" s="1"/>
  <c r="L20" i="206"/>
  <c r="Q20" i="206" s="1"/>
  <c r="L23" i="206"/>
  <c r="Q23" i="206" s="1"/>
  <c r="Q38" i="205"/>
  <c r="L16" i="206"/>
  <c r="S16" i="206"/>
  <c r="E33" i="206"/>
  <c r="L17" i="206"/>
  <c r="Q17" i="206" s="1"/>
  <c r="E17" i="206"/>
  <c r="J17" i="206" s="1"/>
  <c r="S18" i="206"/>
  <c r="C39" i="205"/>
  <c r="H39" i="205" s="1"/>
  <c r="J26" i="205"/>
  <c r="O26" i="205" s="1"/>
  <c r="E21" i="206"/>
  <c r="J21" i="206" s="1"/>
  <c r="L21" i="206"/>
  <c r="Q21" i="206" s="1"/>
  <c r="S20" i="206"/>
  <c r="X20" i="206" s="1"/>
  <c r="E23" i="206"/>
  <c r="J23" i="206" s="1"/>
  <c r="C38" i="205"/>
  <c r="Q39" i="205"/>
  <c r="V39" i="205" s="1"/>
  <c r="E25" i="206"/>
  <c r="J25" i="206" s="1"/>
  <c r="L25" i="206"/>
  <c r="Q25" i="206" s="1"/>
  <c r="S25" i="206"/>
  <c r="X25" i="206" s="1"/>
  <c r="E20" i="206"/>
  <c r="J20" i="206" s="1"/>
  <c r="S21" i="206"/>
  <c r="X21" i="206" s="1"/>
  <c r="L33" i="206"/>
  <c r="J38" i="205"/>
  <c r="J39" i="205"/>
  <c r="O39" i="205" s="1"/>
  <c r="E24" i="206"/>
  <c r="J24" i="206" s="1"/>
  <c r="L24" i="206"/>
  <c r="Q24" i="206" s="1"/>
  <c r="S24" i="206"/>
  <c r="X24" i="206" s="1"/>
  <c r="X39" i="205"/>
  <c r="E26" i="206"/>
  <c r="J26" i="206" s="1"/>
  <c r="L26" i="206"/>
  <c r="Q26" i="206" s="1"/>
  <c r="S26" i="206"/>
  <c r="X26" i="206" s="1"/>
  <c r="Q29" i="203"/>
  <c r="X31" i="203"/>
  <c r="Q23" i="203"/>
  <c r="E13" i="148"/>
  <c r="E13" i="189"/>
  <c r="Q46" i="203"/>
  <c r="E10" i="148"/>
  <c r="E10" i="189"/>
  <c r="E9" i="148"/>
  <c r="E9" i="189"/>
  <c r="Q16" i="203"/>
  <c r="V16" i="203" s="1"/>
  <c r="C27" i="203"/>
  <c r="H27" i="203" s="1"/>
  <c r="X29" i="203"/>
  <c r="AC29" i="203" s="1"/>
  <c r="C33" i="203"/>
  <c r="X23" i="203"/>
  <c r="F13" i="148"/>
  <c r="X46" i="203"/>
  <c r="F13" i="189"/>
  <c r="F10" i="148"/>
  <c r="F10" i="189"/>
  <c r="F9" i="148"/>
  <c r="F9" i="189"/>
  <c r="J28" i="203"/>
  <c r="C39" i="203"/>
  <c r="C54" i="203"/>
  <c r="H54" i="203" s="1"/>
  <c r="C28" i="203"/>
  <c r="H28" i="203" s="1"/>
  <c r="Q27" i="203"/>
  <c r="V27" i="203" s="1"/>
  <c r="Q33" i="203"/>
  <c r="J27" i="203"/>
  <c r="X27" i="203"/>
  <c r="X33" i="203"/>
  <c r="J39" i="203"/>
  <c r="D11" i="148"/>
  <c r="J54" i="203"/>
  <c r="D11" i="189"/>
  <c r="C47" i="203"/>
  <c r="H47" i="203" s="1"/>
  <c r="Q28" i="203"/>
  <c r="E11" i="148"/>
  <c r="Q54" i="203"/>
  <c r="E11" i="189"/>
  <c r="J47" i="203"/>
  <c r="X28" i="203"/>
  <c r="C31" i="203"/>
  <c r="H31" i="203" s="1"/>
  <c r="Q34" i="203"/>
  <c r="X39" i="203"/>
  <c r="F11" i="148"/>
  <c r="X54" i="203"/>
  <c r="F11" i="189"/>
  <c r="J23" i="203"/>
  <c r="Q47" i="203"/>
  <c r="J26" i="203"/>
  <c r="J34" i="203"/>
  <c r="X16" i="203"/>
  <c r="AC16" i="203" s="1"/>
  <c r="C34" i="203"/>
  <c r="H34" i="203" s="1"/>
  <c r="Q39" i="203"/>
  <c r="C29" i="203"/>
  <c r="J31" i="203"/>
  <c r="X34" i="203"/>
  <c r="C46" i="203"/>
  <c r="H46" i="203" s="1"/>
  <c r="C16" i="203"/>
  <c r="H16" i="203" s="1"/>
  <c r="H44" i="203"/>
  <c r="X47" i="203"/>
  <c r="J29" i="203"/>
  <c r="Q31" i="203"/>
  <c r="C23" i="203"/>
  <c r="D13" i="148"/>
  <c r="D13" i="189"/>
  <c r="J46" i="203"/>
  <c r="D10" i="148"/>
  <c r="D10" i="189"/>
  <c r="D9" i="148"/>
  <c r="D9" i="189"/>
  <c r="J16" i="203"/>
  <c r="O16" i="203" s="1"/>
  <c r="J33" i="203"/>
  <c r="E32" i="206"/>
  <c r="BQ19" i="203"/>
  <c r="BU19" i="203" s="1"/>
  <c r="K110" i="184"/>
  <c r="K155" i="184"/>
  <c r="K55" i="184"/>
  <c r="L63" i="183"/>
  <c r="L62" i="183"/>
  <c r="L22" i="182"/>
  <c r="L61" i="183"/>
  <c r="L44" i="183"/>
  <c r="BQ43" i="205"/>
  <c r="BU43" i="205" s="1"/>
  <c r="BU41" i="205" s="1"/>
  <c r="BH41" i="205"/>
  <c r="K22" i="182"/>
  <c r="J44" i="183"/>
  <c r="J22" i="182"/>
  <c r="J61" i="183"/>
  <c r="J62" i="183"/>
  <c r="J63" i="183"/>
  <c r="AY43" i="205"/>
  <c r="BC43" i="205" s="1"/>
  <c r="I55" i="184"/>
  <c r="I110" i="184"/>
  <c r="I155" i="184"/>
  <c r="J111" i="184"/>
  <c r="J128" i="184"/>
  <c r="AY61" i="203"/>
  <c r="AY36" i="203"/>
  <c r="BC36" i="203" s="1"/>
  <c r="BC37" i="203" s="1"/>
  <c r="AY20" i="203"/>
  <c r="C74" i="168"/>
  <c r="C72" i="168"/>
  <c r="K26" i="173"/>
  <c r="F8" i="168"/>
  <c r="G32" i="167"/>
  <c r="G35" i="167" s="1"/>
  <c r="G79" i="167" s="1"/>
  <c r="D32" i="167"/>
  <c r="D64" i="167"/>
  <c r="G41" i="206" s="1"/>
  <c r="G22" i="148"/>
  <c r="G19" i="148"/>
  <c r="F23" i="148"/>
  <c r="G23" i="148"/>
  <c r="G15" i="148" s="1"/>
  <c r="G28" i="148" s="1"/>
  <c r="G32" i="148"/>
  <c r="G31" i="148"/>
  <c r="G33" i="148"/>
  <c r="F39" i="167"/>
  <c r="U39" i="206" s="1"/>
  <c r="D39" i="167"/>
  <c r="E39" i="167"/>
  <c r="N39" i="206" s="1"/>
  <c r="E64" i="167"/>
  <c r="N41" i="206" s="1"/>
  <c r="F37" i="168"/>
  <c r="E44" i="6" s="1"/>
  <c r="F44" i="6" s="1"/>
  <c r="G44" i="6" s="1"/>
  <c r="F19" i="167"/>
  <c r="U19" i="206" s="1"/>
  <c r="D16" i="167"/>
  <c r="G16" i="206" s="1"/>
  <c r="C8" i="168"/>
  <c r="F18" i="167"/>
  <c r="U18" i="206" s="1"/>
  <c r="C13" i="168"/>
  <c r="C23" i="168" s="1"/>
  <c r="C75" i="168" s="1"/>
  <c r="D32" i="163"/>
  <c r="E22" i="163"/>
  <c r="T22" i="206" s="1"/>
  <c r="E16" i="163"/>
  <c r="T16" i="206" s="1"/>
  <c r="D33" i="163"/>
  <c r="D16" i="163"/>
  <c r="M16" i="206" s="1"/>
  <c r="E31" i="163"/>
  <c r="D22" i="163"/>
  <c r="M22" i="206" s="1"/>
  <c r="E19" i="163"/>
  <c r="T19" i="206" s="1"/>
  <c r="D31" i="148"/>
  <c r="D18" i="148"/>
  <c r="K51" i="180"/>
  <c r="K53" i="180" s="1"/>
  <c r="L62" i="180"/>
  <c r="L51" i="180"/>
  <c r="L53" i="180" s="1"/>
  <c r="F16" i="167"/>
  <c r="U16" i="206" s="1"/>
  <c r="F32" i="167"/>
  <c r="D19" i="167"/>
  <c r="G19" i="206" s="1"/>
  <c r="D31" i="167"/>
  <c r="E19" i="167"/>
  <c r="N19" i="206" s="1"/>
  <c r="F64" i="167"/>
  <c r="U41" i="206" s="1"/>
  <c r="E32" i="167"/>
  <c r="F22" i="148"/>
  <c r="E18" i="148"/>
  <c r="F19" i="148"/>
  <c r="E31" i="148"/>
  <c r="F32" i="148"/>
  <c r="F56" i="148"/>
  <c r="D56" i="148"/>
  <c r="O18" i="6"/>
  <c r="M17" i="6"/>
  <c r="M18" i="6"/>
  <c r="N18" i="6"/>
  <c r="E37" i="168"/>
  <c r="D44" i="6" s="1"/>
  <c r="D56" i="6" s="1"/>
  <c r="M43" i="6"/>
  <c r="N43" i="6"/>
  <c r="O43" i="6"/>
  <c r="O46" i="6" s="1"/>
  <c r="M70" i="6"/>
  <c r="N70" i="6"/>
  <c r="O70" i="6"/>
  <c r="M69" i="6"/>
  <c r="M72" i="6" s="1"/>
  <c r="N69" i="6"/>
  <c r="O69" i="6"/>
  <c r="O72" i="6" s="1"/>
  <c r="F46" i="175"/>
  <c r="F54" i="175"/>
  <c r="E54" i="175"/>
  <c r="E46" i="175"/>
  <c r="C46" i="175"/>
  <c r="C54" i="175"/>
  <c r="D54" i="175"/>
  <c r="D46" i="175"/>
  <c r="F71" i="172"/>
  <c r="F56" i="172"/>
  <c r="C71" i="172"/>
  <c r="C56" i="172"/>
  <c r="E71" i="172"/>
  <c r="E56" i="172"/>
  <c r="D71" i="172"/>
  <c r="D56" i="172"/>
  <c r="D13" i="163"/>
  <c r="E51" i="167"/>
  <c r="N40" i="206" s="1"/>
  <c r="E33" i="163"/>
  <c r="D18" i="163"/>
  <c r="M18" i="206" s="1"/>
  <c r="E32" i="163"/>
  <c r="D19" i="163"/>
  <c r="M19" i="206" s="1"/>
  <c r="E18" i="163"/>
  <c r="T18" i="206" s="1"/>
  <c r="D31" i="163"/>
  <c r="E48" i="163"/>
  <c r="T40" i="206" s="1"/>
  <c r="D68" i="163"/>
  <c r="M51" i="206" s="1"/>
  <c r="D48" i="163"/>
  <c r="M40" i="206" s="1"/>
  <c r="D22" i="148"/>
  <c r="E19" i="148"/>
  <c r="F31" i="148"/>
  <c r="E56" i="148"/>
  <c r="D16" i="148"/>
  <c r="F33" i="148"/>
  <c r="E22" i="148"/>
  <c r="D19" i="148"/>
  <c r="E26" i="149"/>
  <c r="Q26" i="205" s="1"/>
  <c r="V26" i="205" s="1"/>
  <c r="F51" i="148"/>
  <c r="D51" i="148"/>
  <c r="D51" i="167"/>
  <c r="G40" i="206" s="1"/>
  <c r="F51" i="167"/>
  <c r="U40" i="206" s="1"/>
  <c r="E43" i="163"/>
  <c r="E51" i="148"/>
  <c r="E15" i="167"/>
  <c r="N15" i="206" s="1"/>
  <c r="D23" i="168"/>
  <c r="D75" i="168" s="1"/>
  <c r="J23" i="168"/>
  <c r="J75" i="168" s="1"/>
  <c r="K23" i="168"/>
  <c r="K75" i="168" s="1"/>
  <c r="L23" i="168"/>
  <c r="L75" i="168" s="1"/>
  <c r="D37" i="168"/>
  <c r="C44" i="6" s="1"/>
  <c r="C56" i="6" s="1"/>
  <c r="E55" i="168"/>
  <c r="C37" i="168"/>
  <c r="D55" i="168"/>
  <c r="F79" i="166"/>
  <c r="E79" i="166"/>
  <c r="C79" i="166"/>
  <c r="D79" i="166"/>
  <c r="D169" i="166"/>
  <c r="E169" i="166"/>
  <c r="E221" i="166"/>
  <c r="F221" i="166"/>
  <c r="C221" i="166"/>
  <c r="F169" i="166"/>
  <c r="C205" i="166"/>
  <c r="D221" i="166"/>
  <c r="D205" i="166"/>
  <c r="E205" i="166"/>
  <c r="F205" i="166"/>
  <c r="C169" i="166"/>
  <c r="D52" i="166"/>
  <c r="F52" i="166"/>
  <c r="E52" i="166"/>
  <c r="C55" i="168"/>
  <c r="E13" i="168"/>
  <c r="F13" i="168"/>
  <c r="E38" i="163"/>
  <c r="D43" i="163"/>
  <c r="D38" i="163"/>
  <c r="C28" i="163"/>
  <c r="D143" i="162"/>
  <c r="C143" i="162"/>
  <c r="E143" i="162"/>
  <c r="C37" i="162"/>
  <c r="E37" i="162"/>
  <c r="D37" i="162"/>
  <c r="F38" i="148"/>
  <c r="F43" i="148"/>
  <c r="E43" i="148"/>
  <c r="D43" i="148"/>
  <c r="D38" i="148"/>
  <c r="E38" i="148"/>
  <c r="D239" i="147"/>
  <c r="E239" i="147"/>
  <c r="F239" i="147"/>
  <c r="C239" i="147"/>
  <c r="D182" i="147"/>
  <c r="E182" i="147"/>
  <c r="F182" i="147"/>
  <c r="C182" i="147"/>
  <c r="AC46" i="203" l="1"/>
  <c r="AC28" i="203"/>
  <c r="V33" i="203"/>
  <c r="C242" i="166"/>
  <c r="V29" i="203"/>
  <c r="C57" i="166"/>
  <c r="C58" i="166" s="1"/>
  <c r="C70" i="168"/>
  <c r="BH37" i="203"/>
  <c r="T37" i="203"/>
  <c r="T42" i="203"/>
  <c r="F42" i="203"/>
  <c r="F37" i="203"/>
  <c r="AC49" i="206"/>
  <c r="AE49" i="206" s="1"/>
  <c r="AE28" i="206"/>
  <c r="AA37" i="203"/>
  <c r="AA42" i="203"/>
  <c r="D15" i="167"/>
  <c r="G15" i="206" s="1"/>
  <c r="O29" i="203"/>
  <c r="H39" i="203"/>
  <c r="AC18" i="203"/>
  <c r="C71" i="168"/>
  <c r="X18" i="206"/>
  <c r="X16" i="206"/>
  <c r="Q16" i="206"/>
  <c r="M63" i="203"/>
  <c r="M56" i="203"/>
  <c r="M49" i="203"/>
  <c r="M51" i="203"/>
  <c r="M52" i="203" s="1"/>
  <c r="BH42" i="203"/>
  <c r="BL42" i="203" s="1"/>
  <c r="BL62" i="203" s="1"/>
  <c r="H29" i="203"/>
  <c r="AC31" i="203"/>
  <c r="O18" i="203"/>
  <c r="AC32" i="203"/>
  <c r="AC30" i="203"/>
  <c r="V32" i="203"/>
  <c r="H33" i="203"/>
  <c r="J33" i="206"/>
  <c r="S40" i="203"/>
  <c r="D72" i="194"/>
  <c r="D71" i="194"/>
  <c r="D73" i="194"/>
  <c r="D70" i="194"/>
  <c r="D74" i="194"/>
  <c r="L40" i="203"/>
  <c r="G39" i="206"/>
  <c r="N11" i="206"/>
  <c r="G32" i="206"/>
  <c r="J32" i="206" s="1"/>
  <c r="S13" i="203"/>
  <c r="S60" i="203"/>
  <c r="E35" i="167"/>
  <c r="N32" i="206"/>
  <c r="E21" i="203"/>
  <c r="G9" i="206"/>
  <c r="Z50" i="203"/>
  <c r="N13" i="206"/>
  <c r="U10" i="206"/>
  <c r="N9" i="206"/>
  <c r="Z21" i="203"/>
  <c r="U32" i="206"/>
  <c r="E40" i="203"/>
  <c r="S50" i="203"/>
  <c r="L50" i="203"/>
  <c r="G11" i="206"/>
  <c r="L53" i="203"/>
  <c r="E50" i="203"/>
  <c r="AG60" i="203"/>
  <c r="Z13" i="203"/>
  <c r="Z60" i="203"/>
  <c r="G10" i="206"/>
  <c r="Z40" i="203"/>
  <c r="G13" i="206"/>
  <c r="S21" i="203"/>
  <c r="E60" i="203"/>
  <c r="E13" i="203"/>
  <c r="U11" i="206"/>
  <c r="F71" i="194"/>
  <c r="F70" i="194"/>
  <c r="F73" i="194"/>
  <c r="F72" i="194"/>
  <c r="F74" i="194"/>
  <c r="Z53" i="203"/>
  <c r="G31" i="206"/>
  <c r="C72" i="194"/>
  <c r="C71" i="194"/>
  <c r="C70" i="194"/>
  <c r="C73" i="194"/>
  <c r="C74" i="194"/>
  <c r="U9" i="206"/>
  <c r="N10" i="206"/>
  <c r="L21" i="203"/>
  <c r="L60" i="203"/>
  <c r="L13" i="203"/>
  <c r="U13" i="206"/>
  <c r="E53" i="203"/>
  <c r="E72" i="194"/>
  <c r="E71" i="194"/>
  <c r="E70" i="194"/>
  <c r="E73" i="194"/>
  <c r="E74" i="194"/>
  <c r="S53" i="203"/>
  <c r="V54" i="203"/>
  <c r="V28" i="203"/>
  <c r="AC33" i="203"/>
  <c r="V46" i="203"/>
  <c r="O28" i="203"/>
  <c r="E56" i="6"/>
  <c r="F56" i="6" s="1"/>
  <c r="G56" i="6" s="1"/>
  <c r="BU20" i="203"/>
  <c r="BU61" i="203"/>
  <c r="BQ61" i="203"/>
  <c r="AC34" i="203"/>
  <c r="V34" i="203"/>
  <c r="O54" i="203"/>
  <c r="V39" i="203"/>
  <c r="O26" i="203"/>
  <c r="AC47" i="203"/>
  <c r="V47" i="203"/>
  <c r="R21" i="203"/>
  <c r="BQ36" i="203"/>
  <c r="BU36" i="203" s="1"/>
  <c r="BU37" i="203" s="1"/>
  <c r="BQ20" i="203"/>
  <c r="AM49" i="206"/>
  <c r="AO49" i="206" s="1"/>
  <c r="U20" i="203"/>
  <c r="U61" i="203"/>
  <c r="U36" i="203"/>
  <c r="N62" i="203"/>
  <c r="N48" i="203"/>
  <c r="N43" i="203"/>
  <c r="AB20" i="203"/>
  <c r="AB61" i="203"/>
  <c r="AB36" i="203"/>
  <c r="Y40" i="203"/>
  <c r="T32" i="206"/>
  <c r="T13" i="206"/>
  <c r="M9" i="206"/>
  <c r="M32" i="206"/>
  <c r="Q32" i="206" s="1"/>
  <c r="O31" i="203"/>
  <c r="T10" i="206"/>
  <c r="K21" i="203"/>
  <c r="T11" i="206"/>
  <c r="M10" i="206"/>
  <c r="M11" i="206"/>
  <c r="K13" i="203"/>
  <c r="K60" i="203"/>
  <c r="O27" i="203"/>
  <c r="R40" i="203"/>
  <c r="M38" i="206"/>
  <c r="T33" i="206"/>
  <c r="V31" i="203"/>
  <c r="O34" i="203"/>
  <c r="M39" i="206"/>
  <c r="T31" i="206"/>
  <c r="AC54" i="203"/>
  <c r="K40" i="203"/>
  <c r="T38" i="206"/>
  <c r="Y60" i="203"/>
  <c r="Y13" i="203"/>
  <c r="AF60" i="203"/>
  <c r="R13" i="203"/>
  <c r="R60" i="203"/>
  <c r="T39" i="206"/>
  <c r="O39" i="203"/>
  <c r="M31" i="206"/>
  <c r="M13" i="206"/>
  <c r="M33" i="206"/>
  <c r="Q33" i="206" s="1"/>
  <c r="O33" i="203"/>
  <c r="O46" i="203"/>
  <c r="AC39" i="203"/>
  <c r="O47" i="203"/>
  <c r="AC27" i="203"/>
  <c r="Y21" i="203"/>
  <c r="T9" i="206"/>
  <c r="E19" i="206"/>
  <c r="J19" i="206" s="1"/>
  <c r="Q37" i="205"/>
  <c r="V37" i="205" s="1"/>
  <c r="V38" i="205"/>
  <c r="C114" i="6" s="1"/>
  <c r="C113" i="6" s="1"/>
  <c r="L22" i="206"/>
  <c r="Q22" i="206" s="1"/>
  <c r="L19" i="206"/>
  <c r="Q19" i="206" s="1"/>
  <c r="E16" i="206"/>
  <c r="J16" i="206" s="1"/>
  <c r="S23" i="206"/>
  <c r="X23" i="206" s="1"/>
  <c r="S22" i="206"/>
  <c r="X22" i="206" s="1"/>
  <c r="E18" i="206"/>
  <c r="J18" i="206" s="1"/>
  <c r="AC39" i="205"/>
  <c r="S33" i="206"/>
  <c r="E22" i="206"/>
  <c r="J22" i="206" s="1"/>
  <c r="S19" i="206"/>
  <c r="X19" i="206" s="1"/>
  <c r="J37" i="205"/>
  <c r="O37" i="205" s="1"/>
  <c r="O38" i="205"/>
  <c r="C37" i="205"/>
  <c r="H37" i="205" s="1"/>
  <c r="H38" i="205"/>
  <c r="L18" i="206"/>
  <c r="Q18" i="206" s="1"/>
  <c r="L41" i="206"/>
  <c r="Q41" i="206" s="1"/>
  <c r="S41" i="206"/>
  <c r="X41" i="206" s="1"/>
  <c r="E41" i="206"/>
  <c r="J41" i="206" s="1"/>
  <c r="S40" i="206"/>
  <c r="X40" i="206" s="1"/>
  <c r="L40" i="206"/>
  <c r="Q40" i="206" s="1"/>
  <c r="E40" i="206"/>
  <c r="J40" i="206" s="1"/>
  <c r="S13" i="206"/>
  <c r="E10" i="206"/>
  <c r="J10" i="206" s="1"/>
  <c r="AC23" i="203"/>
  <c r="L13" i="206"/>
  <c r="V23" i="203"/>
  <c r="S9" i="206"/>
  <c r="C40" i="203"/>
  <c r="H40" i="203" s="1"/>
  <c r="S11" i="206"/>
  <c r="X40" i="203"/>
  <c r="E38" i="206"/>
  <c r="J38" i="206" s="1"/>
  <c r="Q40" i="203"/>
  <c r="L9" i="206"/>
  <c r="S31" i="206"/>
  <c r="L38" i="206"/>
  <c r="E13" i="206"/>
  <c r="L31" i="206"/>
  <c r="H23" i="203"/>
  <c r="O23" i="203"/>
  <c r="E11" i="206"/>
  <c r="S10" i="206"/>
  <c r="X10" i="206" s="1"/>
  <c r="L10" i="206"/>
  <c r="J50" i="203"/>
  <c r="E39" i="206"/>
  <c r="J39" i="206" s="1"/>
  <c r="J40" i="203"/>
  <c r="L39" i="206"/>
  <c r="S32" i="206"/>
  <c r="C50" i="203"/>
  <c r="H50" i="203" s="1"/>
  <c r="S39" i="206"/>
  <c r="X50" i="203"/>
  <c r="S38" i="206"/>
  <c r="E31" i="206"/>
  <c r="L11" i="206"/>
  <c r="Q50" i="203"/>
  <c r="E9" i="206"/>
  <c r="J9" i="206" s="1"/>
  <c r="AT22" i="206"/>
  <c r="AX22" i="206" s="1"/>
  <c r="J15" i="182"/>
  <c r="AT15" i="206" s="1"/>
  <c r="AX15" i="206" s="1"/>
  <c r="BL22" i="206"/>
  <c r="BP22" i="206" s="1"/>
  <c r="L15" i="182"/>
  <c r="BL15" i="206" s="1"/>
  <c r="BP15" i="206" s="1"/>
  <c r="J156" i="184"/>
  <c r="J135" i="184"/>
  <c r="J129" i="184"/>
  <c r="BC22" i="206"/>
  <c r="BG22" i="206" s="1"/>
  <c r="K15" i="182"/>
  <c r="BC15" i="206" s="1"/>
  <c r="BG15" i="206" s="1"/>
  <c r="BC41" i="205"/>
  <c r="AY41" i="205"/>
  <c r="I128" i="184"/>
  <c r="I111" i="184"/>
  <c r="BQ41" i="205"/>
  <c r="K128" i="184"/>
  <c r="K111" i="184"/>
  <c r="AY42" i="203"/>
  <c r="BC42" i="203" s="1"/>
  <c r="AY37" i="203"/>
  <c r="BH48" i="203"/>
  <c r="BL48" i="203" s="1"/>
  <c r="E57" i="166"/>
  <c r="E58" i="166" s="1"/>
  <c r="E74" i="168"/>
  <c r="E72" i="168"/>
  <c r="E70" i="168"/>
  <c r="E73" i="168"/>
  <c r="E71" i="168"/>
  <c r="F74" i="168"/>
  <c r="F72" i="168"/>
  <c r="F70" i="168"/>
  <c r="F73" i="168"/>
  <c r="F71" i="168"/>
  <c r="D242" i="166"/>
  <c r="D74" i="168"/>
  <c r="D72" i="168"/>
  <c r="D70" i="168"/>
  <c r="D73" i="168"/>
  <c r="D71" i="168"/>
  <c r="L26" i="173"/>
  <c r="G35" i="148"/>
  <c r="F15" i="167"/>
  <c r="U15" i="206" s="1"/>
  <c r="G242" i="166"/>
  <c r="E15" i="163"/>
  <c r="T15" i="206" s="1"/>
  <c r="D35" i="148"/>
  <c r="E35" i="148"/>
  <c r="D35" i="167"/>
  <c r="F35" i="167"/>
  <c r="F15" i="148"/>
  <c r="D15" i="148"/>
  <c r="D94" i="175"/>
  <c r="D68" i="175"/>
  <c r="D55" i="175"/>
  <c r="C68" i="175"/>
  <c r="C55" i="175"/>
  <c r="C94" i="175"/>
  <c r="E94" i="175"/>
  <c r="E68" i="175"/>
  <c r="E55" i="175"/>
  <c r="F55" i="175"/>
  <c r="F68" i="175"/>
  <c r="F94" i="175"/>
  <c r="E120" i="172"/>
  <c r="E83" i="172"/>
  <c r="E72" i="172"/>
  <c r="C72" i="172"/>
  <c r="C120" i="172"/>
  <c r="C83" i="172"/>
  <c r="D120" i="172"/>
  <c r="D83" i="172"/>
  <c r="D72" i="172"/>
  <c r="F83" i="172"/>
  <c r="F72" i="172"/>
  <c r="F120" i="172"/>
  <c r="E76" i="167"/>
  <c r="E15" i="148"/>
  <c r="F26" i="149"/>
  <c r="X26" i="205" s="1"/>
  <c r="AC26" i="205" s="1"/>
  <c r="F35" i="148"/>
  <c r="F76" i="167"/>
  <c r="E23" i="168"/>
  <c r="E75" i="168" s="1"/>
  <c r="F23" i="168"/>
  <c r="F75" i="168" s="1"/>
  <c r="F57" i="166"/>
  <c r="F58" i="166" s="1"/>
  <c r="D57" i="166"/>
  <c r="D58" i="166" s="1"/>
  <c r="E242" i="166"/>
  <c r="F242" i="166"/>
  <c r="C77" i="166"/>
  <c r="F92" i="147"/>
  <c r="E92" i="147"/>
  <c r="C92" i="147"/>
  <c r="F85" i="147"/>
  <c r="X25" i="203" s="1"/>
  <c r="AC25" i="203" s="1"/>
  <c r="E85" i="147"/>
  <c r="Q25" i="203" s="1"/>
  <c r="V25" i="203" s="1"/>
  <c r="C85" i="147"/>
  <c r="F82" i="147"/>
  <c r="D82" i="147"/>
  <c r="C82" i="147"/>
  <c r="E82" i="147"/>
  <c r="L61" i="147"/>
  <c r="K61" i="147"/>
  <c r="J61" i="147"/>
  <c r="I61" i="147"/>
  <c r="E38" i="147"/>
  <c r="F38" i="147"/>
  <c r="D38" i="147"/>
  <c r="C38" i="147"/>
  <c r="F226" i="147"/>
  <c r="E226" i="147"/>
  <c r="D226" i="147"/>
  <c r="C226" i="147"/>
  <c r="F171" i="147"/>
  <c r="E171" i="147"/>
  <c r="D171" i="147"/>
  <c r="C171" i="147"/>
  <c r="F21" i="147"/>
  <c r="E21" i="147"/>
  <c r="D21" i="147"/>
  <c r="C21" i="147"/>
  <c r="F6" i="147"/>
  <c r="E6" i="147"/>
  <c r="D6" i="147"/>
  <c r="C6" i="147"/>
  <c r="J31" i="206" l="1"/>
  <c r="BH43" i="203"/>
  <c r="BH62" i="203"/>
  <c r="BL43" i="203"/>
  <c r="AA62" i="203"/>
  <c r="AA48" i="203"/>
  <c r="AA43" i="203"/>
  <c r="F48" i="203"/>
  <c r="F56" i="203" s="1"/>
  <c r="F43" i="203"/>
  <c r="F62" i="203"/>
  <c r="T43" i="203"/>
  <c r="T62" i="203"/>
  <c r="T48" i="203"/>
  <c r="X32" i="206"/>
  <c r="X31" i="206"/>
  <c r="E8" i="174"/>
  <c r="O8" i="206" s="1"/>
  <c r="E8" i="201"/>
  <c r="E12" i="201" s="1"/>
  <c r="E28" i="201" s="1"/>
  <c r="E72" i="201" s="1"/>
  <c r="M57" i="203"/>
  <c r="M64" i="203"/>
  <c r="F8" i="174"/>
  <c r="V8" i="206" s="1"/>
  <c r="F8" i="201"/>
  <c r="F12" i="201" s="1"/>
  <c r="F28" i="201" s="1"/>
  <c r="F72" i="201" s="1"/>
  <c r="D8" i="174"/>
  <c r="H8" i="206" s="1"/>
  <c r="D8" i="201"/>
  <c r="D12" i="201" s="1"/>
  <c r="D28" i="201" s="1"/>
  <c r="D72" i="201" s="1"/>
  <c r="D75" i="201" s="1"/>
  <c r="J13" i="206"/>
  <c r="V40" i="203"/>
  <c r="U46" i="206"/>
  <c r="N46" i="206"/>
  <c r="E77" i="166"/>
  <c r="E78" i="166" s="1"/>
  <c r="J11" i="206"/>
  <c r="N35" i="206"/>
  <c r="L14" i="203"/>
  <c r="L19" i="203"/>
  <c r="S19" i="203"/>
  <c r="S14" i="203"/>
  <c r="G35" i="206"/>
  <c r="E19" i="203"/>
  <c r="E14" i="203"/>
  <c r="Z19" i="203"/>
  <c r="Z14" i="203"/>
  <c r="U35" i="206"/>
  <c r="Q11" i="206"/>
  <c r="BC62" i="203"/>
  <c r="BC43" i="203"/>
  <c r="BL49" i="203"/>
  <c r="BL63" i="203"/>
  <c r="X39" i="206"/>
  <c r="X38" i="206"/>
  <c r="Q13" i="206"/>
  <c r="Q39" i="206"/>
  <c r="Q10" i="206"/>
  <c r="Q9" i="206"/>
  <c r="X11" i="206"/>
  <c r="BQ37" i="203"/>
  <c r="O40" i="203"/>
  <c r="AC40" i="203"/>
  <c r="BQ42" i="203"/>
  <c r="BU42" i="203" s="1"/>
  <c r="C167" i="6" s="1"/>
  <c r="C169" i="6" s="1"/>
  <c r="C171" i="6" s="1"/>
  <c r="N56" i="203"/>
  <c r="N63" i="203"/>
  <c r="N51" i="203"/>
  <c r="N52" i="203" s="1"/>
  <c r="N49" i="203"/>
  <c r="U42" i="203"/>
  <c r="U37" i="203"/>
  <c r="F8" i="177"/>
  <c r="W8" i="206" s="1"/>
  <c r="F8" i="196"/>
  <c r="F12" i="196" s="1"/>
  <c r="F28" i="196" s="1"/>
  <c r="F62" i="196" s="1"/>
  <c r="E8" i="177"/>
  <c r="P8" i="206" s="1"/>
  <c r="E8" i="196"/>
  <c r="E12" i="196" s="1"/>
  <c r="E28" i="196" s="1"/>
  <c r="E62" i="196" s="1"/>
  <c r="E65" i="196" s="1"/>
  <c r="AB37" i="203"/>
  <c r="AB42" i="203"/>
  <c r="R19" i="203"/>
  <c r="R14" i="203"/>
  <c r="Y14" i="203"/>
  <c r="Y19" i="203"/>
  <c r="K19" i="203"/>
  <c r="K14" i="203"/>
  <c r="Q31" i="206"/>
  <c r="Q38" i="206"/>
  <c r="X9" i="206"/>
  <c r="X13" i="206"/>
  <c r="X33" i="206"/>
  <c r="S15" i="206"/>
  <c r="X15" i="206" s="1"/>
  <c r="L15" i="206"/>
  <c r="E15" i="206"/>
  <c r="J15" i="206" s="1"/>
  <c r="J8" i="203"/>
  <c r="O8" i="203" s="1"/>
  <c r="J45" i="203"/>
  <c r="O45" i="203" s="1"/>
  <c r="Q8" i="203"/>
  <c r="V8" i="203" s="1"/>
  <c r="Q45" i="203"/>
  <c r="V45" i="203" s="1"/>
  <c r="X8" i="203"/>
  <c r="AC8" i="203" s="1"/>
  <c r="X45" i="203"/>
  <c r="AC45" i="203" s="1"/>
  <c r="C26" i="203"/>
  <c r="H26" i="203" s="1"/>
  <c r="C7" i="203"/>
  <c r="C38" i="203"/>
  <c r="H38" i="203" s="1"/>
  <c r="C15" i="203"/>
  <c r="H15" i="203" s="1"/>
  <c r="Q24" i="203"/>
  <c r="Q26" i="203"/>
  <c r="V26" i="203" s="1"/>
  <c r="X7" i="203"/>
  <c r="X38" i="203"/>
  <c r="AC38" i="203" s="1"/>
  <c r="Q15" i="203"/>
  <c r="V15" i="203" s="1"/>
  <c r="J7" i="203"/>
  <c r="J38" i="203"/>
  <c r="O38" i="203" s="1"/>
  <c r="J15" i="203"/>
  <c r="O15" i="203" s="1"/>
  <c r="C24" i="203"/>
  <c r="X26" i="203"/>
  <c r="AC26" i="203" s="1"/>
  <c r="Q7" i="203"/>
  <c r="Q38" i="203"/>
  <c r="V38" i="203" s="1"/>
  <c r="X15" i="203"/>
  <c r="AC15" i="203" s="1"/>
  <c r="J24" i="203"/>
  <c r="L35" i="206"/>
  <c r="C8" i="203"/>
  <c r="H8" i="203" s="1"/>
  <c r="C45" i="203"/>
  <c r="H45" i="203" s="1"/>
  <c r="C25" i="203"/>
  <c r="H25" i="203" s="1"/>
  <c r="S35" i="206"/>
  <c r="X24" i="203"/>
  <c r="E35" i="206"/>
  <c r="K135" i="184"/>
  <c r="K129" i="184"/>
  <c r="K156" i="184"/>
  <c r="J157" i="184"/>
  <c r="K8" i="182"/>
  <c r="J150" i="184"/>
  <c r="J136" i="184"/>
  <c r="J143" i="184"/>
  <c r="J144" i="184" s="1"/>
  <c r="I129" i="184"/>
  <c r="I135" i="184"/>
  <c r="I156" i="184"/>
  <c r="BH49" i="203"/>
  <c r="BH51" i="203"/>
  <c r="BL51" i="203" s="1"/>
  <c r="BL52" i="203" s="1"/>
  <c r="BH56" i="203"/>
  <c r="BL56" i="203" s="1"/>
  <c r="BH63" i="203"/>
  <c r="AY43" i="203"/>
  <c r="AY62" i="203"/>
  <c r="AY48" i="203"/>
  <c r="BC48" i="203" s="1"/>
  <c r="G26" i="149"/>
  <c r="C78" i="166"/>
  <c r="O17" i="6"/>
  <c r="N17" i="6"/>
  <c r="E88" i="175"/>
  <c r="E77" i="175"/>
  <c r="E78" i="175" s="1"/>
  <c r="E69" i="175"/>
  <c r="E95" i="175"/>
  <c r="C88" i="175"/>
  <c r="C95" i="175"/>
  <c r="C77" i="175"/>
  <c r="C78" i="175" s="1"/>
  <c r="C69" i="175"/>
  <c r="F88" i="175"/>
  <c r="F77" i="175"/>
  <c r="F78" i="175" s="1"/>
  <c r="F69" i="175"/>
  <c r="F95" i="175"/>
  <c r="D95" i="175"/>
  <c r="D88" i="175"/>
  <c r="D77" i="175"/>
  <c r="D78" i="175" s="1"/>
  <c r="D69" i="175"/>
  <c r="C84" i="172"/>
  <c r="C121" i="172"/>
  <c r="C114" i="172"/>
  <c r="C99" i="172"/>
  <c r="C100" i="172" s="1"/>
  <c r="D121" i="172"/>
  <c r="D114" i="172"/>
  <c r="D99" i="172"/>
  <c r="D100" i="172" s="1"/>
  <c r="D84" i="172"/>
  <c r="F114" i="172"/>
  <c r="F99" i="172"/>
  <c r="F100" i="172" s="1"/>
  <c r="F121" i="172"/>
  <c r="F84" i="172"/>
  <c r="E114" i="172"/>
  <c r="E99" i="172"/>
  <c r="E100" i="172" s="1"/>
  <c r="E84" i="172"/>
  <c r="E121" i="172"/>
  <c r="D77" i="166"/>
  <c r="F77" i="166"/>
  <c r="C157" i="166"/>
  <c r="C158" i="166" s="1"/>
  <c r="C243" i="166"/>
  <c r="E243" i="166"/>
  <c r="E157" i="166"/>
  <c r="E158" i="166" s="1"/>
  <c r="I244" i="166"/>
  <c r="E69" i="147"/>
  <c r="C69" i="147"/>
  <c r="D69" i="147"/>
  <c r="F69" i="147"/>
  <c r="C72" i="161"/>
  <c r="C53" i="161"/>
  <c r="C51" i="161"/>
  <c r="C50" i="161"/>
  <c r="C49" i="161"/>
  <c r="C46" i="161"/>
  <c r="C45" i="161"/>
  <c r="D72" i="161"/>
  <c r="D53" i="161"/>
  <c r="D51" i="161"/>
  <c r="D50" i="161"/>
  <c r="D49" i="161"/>
  <c r="D46" i="161"/>
  <c r="D45" i="161"/>
  <c r="E72" i="161"/>
  <c r="E53" i="161"/>
  <c r="E51" i="161"/>
  <c r="E50" i="161"/>
  <c r="E49" i="161"/>
  <c r="E46" i="161"/>
  <c r="E45" i="161"/>
  <c r="F72" i="161"/>
  <c r="F53" i="161"/>
  <c r="F51" i="161"/>
  <c r="F50" i="161"/>
  <c r="F49" i="161"/>
  <c r="F46" i="161"/>
  <c r="F45" i="161"/>
  <c r="C12" i="161"/>
  <c r="D12" i="161"/>
  <c r="E12" i="161"/>
  <c r="F12" i="161"/>
  <c r="C31" i="161"/>
  <c r="C26" i="161"/>
  <c r="C16" i="161"/>
  <c r="C14" i="161"/>
  <c r="D31" i="161"/>
  <c r="D26" i="161"/>
  <c r="D16" i="161"/>
  <c r="E31" i="161"/>
  <c r="E26" i="161"/>
  <c r="E16" i="161"/>
  <c r="F31" i="161"/>
  <c r="F26" i="161"/>
  <c r="F16" i="161"/>
  <c r="F53" i="153"/>
  <c r="D53" i="153"/>
  <c r="E53" i="153"/>
  <c r="C86" i="153"/>
  <c r="D54" i="153"/>
  <c r="D51" i="153"/>
  <c r="D50" i="153"/>
  <c r="D49" i="153"/>
  <c r="D47" i="153"/>
  <c r="D46" i="153"/>
  <c r="D45" i="153"/>
  <c r="D72" i="153"/>
  <c r="E72" i="153"/>
  <c r="E51" i="153"/>
  <c r="E50" i="153"/>
  <c r="E49" i="153"/>
  <c r="E47" i="153"/>
  <c r="E46" i="153"/>
  <c r="E45" i="153"/>
  <c r="F72" i="153"/>
  <c r="F51" i="153"/>
  <c r="F50" i="153"/>
  <c r="F49" i="153"/>
  <c r="F47" i="153"/>
  <c r="F46" i="153"/>
  <c r="F45" i="153"/>
  <c r="F21" i="153"/>
  <c r="D12" i="153"/>
  <c r="E12" i="153"/>
  <c r="F12" i="153"/>
  <c r="D26" i="153"/>
  <c r="D16" i="153"/>
  <c r="D14" i="153"/>
  <c r="E31" i="153"/>
  <c r="E26" i="153"/>
  <c r="E16" i="153"/>
  <c r="E14" i="153"/>
  <c r="F31" i="153"/>
  <c r="F26" i="153"/>
  <c r="F16" i="153"/>
  <c r="F14" i="153"/>
  <c r="C72" i="21"/>
  <c r="C63" i="21"/>
  <c r="C62" i="21"/>
  <c r="C55" i="21"/>
  <c r="C54" i="21"/>
  <c r="C53" i="21"/>
  <c r="C51" i="21"/>
  <c r="C50" i="21"/>
  <c r="C49" i="21"/>
  <c r="C46" i="21"/>
  <c r="C45" i="21"/>
  <c r="D72" i="21"/>
  <c r="D70" i="21"/>
  <c r="D62" i="21"/>
  <c r="D55" i="21"/>
  <c r="D54" i="21"/>
  <c r="D53" i="21"/>
  <c r="D51" i="21"/>
  <c r="D50" i="21"/>
  <c r="D46" i="21"/>
  <c r="D45" i="21"/>
  <c r="E72" i="21"/>
  <c r="E54" i="21"/>
  <c r="E53" i="21"/>
  <c r="E51" i="21"/>
  <c r="E50" i="21"/>
  <c r="E47" i="21"/>
  <c r="E46" i="21"/>
  <c r="E45" i="21"/>
  <c r="F72" i="21"/>
  <c r="F54" i="21"/>
  <c r="F53" i="21"/>
  <c r="F51" i="21"/>
  <c r="F50" i="21"/>
  <c r="F47" i="21"/>
  <c r="F46" i="21"/>
  <c r="F45" i="21"/>
  <c r="F21" i="21"/>
  <c r="C12" i="21"/>
  <c r="D12" i="21"/>
  <c r="E12" i="21"/>
  <c r="F12" i="21"/>
  <c r="C26" i="21"/>
  <c r="C16" i="21"/>
  <c r="C14" i="21"/>
  <c r="D26" i="21"/>
  <c r="D16" i="21"/>
  <c r="D14" i="21"/>
  <c r="E31" i="21"/>
  <c r="E26" i="21"/>
  <c r="E16" i="21"/>
  <c r="F31" i="21"/>
  <c r="F26" i="21"/>
  <c r="F16" i="21"/>
  <c r="D35" i="163"/>
  <c r="E35" i="163"/>
  <c r="I35" i="163"/>
  <c r="J35" i="163"/>
  <c r="K35" i="163"/>
  <c r="D45" i="164"/>
  <c r="C45" i="164"/>
  <c r="K45" i="164"/>
  <c r="J45" i="164"/>
  <c r="I45" i="164"/>
  <c r="C37" i="164"/>
  <c r="C70" i="6" s="1"/>
  <c r="C82" i="6" s="1"/>
  <c r="K37" i="164"/>
  <c r="J37" i="164"/>
  <c r="I37" i="164"/>
  <c r="K33" i="164"/>
  <c r="J33" i="164"/>
  <c r="I33" i="164"/>
  <c r="E33" i="164"/>
  <c r="D33" i="164"/>
  <c r="C33" i="164"/>
  <c r="C13" i="164"/>
  <c r="K13" i="164"/>
  <c r="K23" i="164" s="1"/>
  <c r="K65" i="164" s="1"/>
  <c r="J13" i="164"/>
  <c r="I13" i="164"/>
  <c r="K15" i="163"/>
  <c r="I15" i="163"/>
  <c r="J15" i="163"/>
  <c r="D15" i="163"/>
  <c r="M15" i="206" s="1"/>
  <c r="K207" i="162"/>
  <c r="J207" i="162"/>
  <c r="I207" i="162"/>
  <c r="E207" i="162"/>
  <c r="D207" i="162"/>
  <c r="C207" i="162"/>
  <c r="C194" i="162"/>
  <c r="E194" i="162"/>
  <c r="D194" i="162"/>
  <c r="K15" i="162"/>
  <c r="J15" i="162"/>
  <c r="I15" i="162"/>
  <c r="H15" i="162"/>
  <c r="E15" i="162"/>
  <c r="D15" i="162"/>
  <c r="C15" i="162"/>
  <c r="C33" i="149"/>
  <c r="D33" i="149"/>
  <c r="E33" i="149"/>
  <c r="E60" i="148"/>
  <c r="F60" i="148"/>
  <c r="D60" i="148"/>
  <c r="J35" i="206" l="1"/>
  <c r="F12" i="174"/>
  <c r="T63" i="203"/>
  <c r="T49" i="203"/>
  <c r="T56" i="203"/>
  <c r="T51" i="203"/>
  <c r="T52" i="203" s="1"/>
  <c r="E12" i="174"/>
  <c r="O12" i="206" s="1"/>
  <c r="D12" i="174"/>
  <c r="H12" i="206" s="1"/>
  <c r="F63" i="203"/>
  <c r="F51" i="203"/>
  <c r="F52" i="203" s="1"/>
  <c r="F49" i="203"/>
  <c r="AA51" i="203"/>
  <c r="AA52" i="203" s="1"/>
  <c r="AA56" i="203"/>
  <c r="AA49" i="203"/>
  <c r="AA63" i="203"/>
  <c r="Q15" i="206"/>
  <c r="E74" i="201"/>
  <c r="E75" i="201" s="1"/>
  <c r="D77" i="201"/>
  <c r="F29" i="173"/>
  <c r="AA29" i="205" s="1"/>
  <c r="F29" i="202"/>
  <c r="D29" i="173"/>
  <c r="M29" i="205" s="1"/>
  <c r="M25" i="205" s="1"/>
  <c r="M51" i="205" s="1"/>
  <c r="M53" i="205" s="1"/>
  <c r="D29" i="202"/>
  <c r="F28" i="174"/>
  <c r="V28" i="206" s="1"/>
  <c r="V12" i="206"/>
  <c r="E12" i="177"/>
  <c r="P12" i="206" s="1"/>
  <c r="E29" i="173"/>
  <c r="T29" i="205" s="1"/>
  <c r="E29" i="202"/>
  <c r="L61" i="203"/>
  <c r="L36" i="203"/>
  <c r="L20" i="203"/>
  <c r="Z20" i="203"/>
  <c r="Z36" i="203"/>
  <c r="Z61" i="203"/>
  <c r="E36" i="203"/>
  <c r="E61" i="203"/>
  <c r="E20" i="203"/>
  <c r="S61" i="203"/>
  <c r="S36" i="203"/>
  <c r="S20" i="203"/>
  <c r="BU43" i="203"/>
  <c r="BU62" i="203"/>
  <c r="BL64" i="203"/>
  <c r="BL57" i="203"/>
  <c r="BQ43" i="203"/>
  <c r="BC63" i="203"/>
  <c r="BC49" i="203"/>
  <c r="BQ62" i="203"/>
  <c r="BQ48" i="203"/>
  <c r="BU48" i="203" s="1"/>
  <c r="F12" i="177"/>
  <c r="W12" i="206" s="1"/>
  <c r="U62" i="203"/>
  <c r="U43" i="203"/>
  <c r="U48" i="203"/>
  <c r="AB62" i="203"/>
  <c r="AB43" i="203"/>
  <c r="AB48" i="203"/>
  <c r="D29" i="176"/>
  <c r="E28" i="176" s="1"/>
  <c r="D29" i="199"/>
  <c r="F29" i="176"/>
  <c r="F29" i="199"/>
  <c r="E29" i="176"/>
  <c r="E29" i="199"/>
  <c r="F64" i="196"/>
  <c r="F65" i="196" s="1"/>
  <c r="E67" i="196"/>
  <c r="N64" i="203"/>
  <c r="N57" i="203"/>
  <c r="H64" i="164"/>
  <c r="H62" i="164"/>
  <c r="H60" i="164"/>
  <c r="H63" i="164"/>
  <c r="H61" i="164"/>
  <c r="J64" i="164"/>
  <c r="J62" i="164"/>
  <c r="J60" i="164"/>
  <c r="J63" i="164"/>
  <c r="J61" i="164"/>
  <c r="R50" i="203"/>
  <c r="V50" i="203" s="1"/>
  <c r="K61" i="203"/>
  <c r="K20" i="203"/>
  <c r="K36" i="203"/>
  <c r="Y61" i="203"/>
  <c r="Y20" i="203"/>
  <c r="Y36" i="203"/>
  <c r="F224" i="162"/>
  <c r="E64" i="191"/>
  <c r="E61" i="164"/>
  <c r="E61" i="191"/>
  <c r="E64" i="164"/>
  <c r="E63" i="191"/>
  <c r="E63" i="164"/>
  <c r="E62" i="164"/>
  <c r="E60" i="191"/>
  <c r="E62" i="191"/>
  <c r="E60" i="164"/>
  <c r="K53" i="203"/>
  <c r="T35" i="206"/>
  <c r="X35" i="206" s="1"/>
  <c r="D62" i="191"/>
  <c r="D64" i="164"/>
  <c r="D63" i="164"/>
  <c r="D62" i="164"/>
  <c r="D61" i="164"/>
  <c r="D60" i="164"/>
  <c r="D60" i="191"/>
  <c r="D61" i="191"/>
  <c r="D63" i="191"/>
  <c r="D64" i="191"/>
  <c r="R53" i="203"/>
  <c r="M35" i="206"/>
  <c r="Q35" i="206" s="1"/>
  <c r="I64" i="164"/>
  <c r="I62" i="164"/>
  <c r="I60" i="164"/>
  <c r="I63" i="164"/>
  <c r="I61" i="164"/>
  <c r="Y53" i="203"/>
  <c r="R61" i="203"/>
  <c r="R20" i="203"/>
  <c r="R36" i="203"/>
  <c r="C62" i="164"/>
  <c r="C62" i="191"/>
  <c r="C61" i="164"/>
  <c r="C60" i="164"/>
  <c r="C61" i="191"/>
  <c r="C63" i="191"/>
  <c r="C64" i="164"/>
  <c r="C60" i="191"/>
  <c r="C63" i="164"/>
  <c r="C64" i="191"/>
  <c r="Y50" i="203"/>
  <c r="AC50" i="203" s="1"/>
  <c r="K50" i="203"/>
  <c r="O50" i="203" s="1"/>
  <c r="K64" i="164"/>
  <c r="K62" i="164"/>
  <c r="K60" i="164"/>
  <c r="K63" i="164"/>
  <c r="K61" i="164"/>
  <c r="J35" i="205"/>
  <c r="C35" i="205"/>
  <c r="E42" i="206"/>
  <c r="J42" i="206" s="1"/>
  <c r="S42" i="206"/>
  <c r="X42" i="206" s="1"/>
  <c r="L42" i="206"/>
  <c r="Q42" i="206" s="1"/>
  <c r="AE26" i="205"/>
  <c r="AJ26" i="205" s="1"/>
  <c r="O24" i="203"/>
  <c r="J21" i="203"/>
  <c r="O21" i="203" s="1"/>
  <c r="J10" i="203"/>
  <c r="O7" i="203"/>
  <c r="H7" i="203"/>
  <c r="C10" i="203"/>
  <c r="H24" i="203"/>
  <c r="C21" i="203"/>
  <c r="H21" i="203" s="1"/>
  <c r="V24" i="203"/>
  <c r="Q21" i="203"/>
  <c r="V21" i="203" s="1"/>
  <c r="AC24" i="203"/>
  <c r="X21" i="203"/>
  <c r="AC21" i="203" s="1"/>
  <c r="V7" i="203"/>
  <c r="Q10" i="203"/>
  <c r="X10" i="203"/>
  <c r="AC7" i="203"/>
  <c r="K29" i="183"/>
  <c r="BH29" i="205" s="1"/>
  <c r="BL29" i="205" s="1"/>
  <c r="J158" i="184"/>
  <c r="J151" i="184"/>
  <c r="I157" i="184"/>
  <c r="I136" i="184"/>
  <c r="I150" i="184"/>
  <c r="I143" i="184"/>
  <c r="I144" i="184" s="1"/>
  <c r="J8" i="182"/>
  <c r="K12" i="182"/>
  <c r="BC8" i="206"/>
  <c r="BG8" i="206" s="1"/>
  <c r="K150" i="184"/>
  <c r="K157" i="184"/>
  <c r="K143" i="184"/>
  <c r="K144" i="184" s="1"/>
  <c r="K136" i="184"/>
  <c r="L8" i="182"/>
  <c r="AY63" i="203"/>
  <c r="AY56" i="203"/>
  <c r="BC56" i="203" s="1"/>
  <c r="AY51" i="203"/>
  <c r="BC51" i="203" s="1"/>
  <c r="BC52" i="203" s="1"/>
  <c r="AY49" i="203"/>
  <c r="BH52" i="203"/>
  <c r="BH57" i="203"/>
  <c r="BH64" i="203"/>
  <c r="K243" i="166"/>
  <c r="I243" i="166"/>
  <c r="J243" i="166"/>
  <c r="F78" i="166"/>
  <c r="D25" i="176"/>
  <c r="C96" i="175"/>
  <c r="C89" i="175"/>
  <c r="D96" i="175"/>
  <c r="D89" i="175"/>
  <c r="F89" i="175"/>
  <c r="F96" i="175"/>
  <c r="E96" i="175"/>
  <c r="E89" i="175"/>
  <c r="D115" i="172"/>
  <c r="D122" i="172"/>
  <c r="C122" i="172"/>
  <c r="C115" i="172"/>
  <c r="E122" i="172"/>
  <c r="E115" i="172"/>
  <c r="F122" i="172"/>
  <c r="F115" i="172"/>
  <c r="D243" i="166"/>
  <c r="D78" i="166"/>
  <c r="F243" i="166"/>
  <c r="D224" i="162"/>
  <c r="E224" i="162"/>
  <c r="D157" i="166"/>
  <c r="F157" i="166"/>
  <c r="I245" i="166"/>
  <c r="E188" i="166"/>
  <c r="C188" i="166"/>
  <c r="C77" i="194" s="1"/>
  <c r="I23" i="164"/>
  <c r="I65" i="164" s="1"/>
  <c r="J23" i="164"/>
  <c r="J65" i="164" s="1"/>
  <c r="C20" i="162"/>
  <c r="C224" i="162"/>
  <c r="H224" i="162"/>
  <c r="E37" i="149"/>
  <c r="D18" i="6" s="1"/>
  <c r="D30" i="6" s="1"/>
  <c r="J224" i="162"/>
  <c r="K224" i="162"/>
  <c r="D20" i="162"/>
  <c r="E20" i="162"/>
  <c r="E21" i="162" s="1"/>
  <c r="I224" i="162"/>
  <c r="H207" i="162"/>
  <c r="E13" i="164"/>
  <c r="D37" i="164"/>
  <c r="D70" i="6" s="1"/>
  <c r="D82" i="6" s="1"/>
  <c r="E37" i="164"/>
  <c r="E70" i="6" s="1"/>
  <c r="C8" i="164"/>
  <c r="E45" i="164"/>
  <c r="D8" i="164"/>
  <c r="E8" i="164"/>
  <c r="D13" i="164"/>
  <c r="H20" i="162"/>
  <c r="I20" i="162"/>
  <c r="J20" i="162"/>
  <c r="K20" i="162"/>
  <c r="D25" i="173" l="1"/>
  <c r="E28" i="173"/>
  <c r="T28" i="205" s="1"/>
  <c r="T25" i="205" s="1"/>
  <c r="T51" i="205" s="1"/>
  <c r="T53" i="205" s="1"/>
  <c r="E28" i="174"/>
  <c r="O28" i="206" s="1"/>
  <c r="O49" i="206" s="1"/>
  <c r="AA57" i="203"/>
  <c r="AA64" i="203"/>
  <c r="F57" i="203"/>
  <c r="F64" i="203"/>
  <c r="F72" i="174"/>
  <c r="V49" i="206" s="1"/>
  <c r="T64" i="203"/>
  <c r="T57" i="203"/>
  <c r="D28" i="174"/>
  <c r="H28" i="206" s="1"/>
  <c r="E28" i="177"/>
  <c r="P28" i="206" s="1"/>
  <c r="P49" i="206" s="1"/>
  <c r="P52" i="206" s="1"/>
  <c r="F28" i="177"/>
  <c r="W28" i="206" s="1"/>
  <c r="D25" i="202"/>
  <c r="D59" i="202" s="1"/>
  <c r="D61" i="202" s="1"/>
  <c r="E28" i="202"/>
  <c r="F74" i="201"/>
  <c r="F75" i="201" s="1"/>
  <c r="E77" i="201"/>
  <c r="E42" i="203"/>
  <c r="E37" i="203"/>
  <c r="E77" i="168"/>
  <c r="E77" i="194"/>
  <c r="Z42" i="203"/>
  <c r="Z37" i="203"/>
  <c r="L42" i="203"/>
  <c r="L37" i="203"/>
  <c r="S42" i="203"/>
  <c r="S37" i="203"/>
  <c r="BQ56" i="203"/>
  <c r="BU56" i="203" s="1"/>
  <c r="BU57" i="203" s="1"/>
  <c r="BQ51" i="203"/>
  <c r="BU51" i="203" s="1"/>
  <c r="BU52" i="203" s="1"/>
  <c r="BQ49" i="203"/>
  <c r="BQ63" i="203"/>
  <c r="BC64" i="203"/>
  <c r="BC57" i="203"/>
  <c r="BU63" i="203"/>
  <c r="BU49" i="203"/>
  <c r="N29" i="205"/>
  <c r="N25" i="205" s="1"/>
  <c r="N51" i="205" s="1"/>
  <c r="N53" i="205" s="1"/>
  <c r="AB56" i="203"/>
  <c r="AB63" i="203"/>
  <c r="AB49" i="203"/>
  <c r="AB51" i="203"/>
  <c r="AB52" i="203" s="1"/>
  <c r="U28" i="205"/>
  <c r="H64" i="196"/>
  <c r="H65" i="196" s="1"/>
  <c r="F67" i="196"/>
  <c r="U63" i="203"/>
  <c r="U56" i="203"/>
  <c r="U51" i="203"/>
  <c r="U52" i="203" s="1"/>
  <c r="U49" i="203"/>
  <c r="U29" i="205"/>
  <c r="AB29" i="205"/>
  <c r="D25" i="199"/>
  <c r="D55" i="199" s="1"/>
  <c r="D57" i="199" s="1"/>
  <c r="E28" i="199"/>
  <c r="K42" i="203"/>
  <c r="K37" i="203"/>
  <c r="Y37" i="203"/>
  <c r="Y42" i="203"/>
  <c r="R42" i="203"/>
  <c r="R37" i="203"/>
  <c r="O35" i="205"/>
  <c r="J33" i="205"/>
  <c r="O33" i="205" s="1"/>
  <c r="C33" i="205"/>
  <c r="H33" i="205" s="1"/>
  <c r="H35" i="205"/>
  <c r="X60" i="203"/>
  <c r="AC10" i="203"/>
  <c r="AE60" i="203"/>
  <c r="C60" i="203"/>
  <c r="H60" i="203"/>
  <c r="J60" i="203"/>
  <c r="O10" i="203"/>
  <c r="Q60" i="203"/>
  <c r="V10" i="203"/>
  <c r="J12" i="182"/>
  <c r="AT8" i="206"/>
  <c r="AX8" i="206" s="1"/>
  <c r="L12" i="182"/>
  <c r="BL8" i="206"/>
  <c r="BP8" i="206" s="1"/>
  <c r="J29" i="183"/>
  <c r="I158" i="184"/>
  <c r="I151" i="184"/>
  <c r="L29" i="183"/>
  <c r="BQ29" i="205" s="1"/>
  <c r="BU29" i="205" s="1"/>
  <c r="K158" i="184"/>
  <c r="K151" i="184"/>
  <c r="BC12" i="206"/>
  <c r="BG12" i="206" s="1"/>
  <c r="K28" i="182"/>
  <c r="AY64" i="203"/>
  <c r="AY57" i="203"/>
  <c r="AY52" i="203"/>
  <c r="C189" i="166"/>
  <c r="C77" i="168"/>
  <c r="F70" i="6"/>
  <c r="G70" i="6" s="1"/>
  <c r="E82" i="6"/>
  <c r="F82" i="6" s="1"/>
  <c r="G82" i="6" s="1"/>
  <c r="J21" i="162"/>
  <c r="J35" i="162"/>
  <c r="J36" i="162" s="1"/>
  <c r="K21" i="162"/>
  <c r="K35" i="162"/>
  <c r="K36" i="162" s="1"/>
  <c r="I21" i="162"/>
  <c r="I35" i="162"/>
  <c r="I36" i="162" s="1"/>
  <c r="H21" i="162"/>
  <c r="H35" i="162"/>
  <c r="H36" i="162" s="1"/>
  <c r="F62" i="177"/>
  <c r="W49" i="206" s="1"/>
  <c r="L243" i="166"/>
  <c r="E72" i="174"/>
  <c r="E189" i="166"/>
  <c r="D41" i="6"/>
  <c r="D55" i="176"/>
  <c r="D57" i="176" s="1"/>
  <c r="F28" i="176"/>
  <c r="E25" i="176"/>
  <c r="F28" i="173"/>
  <c r="E25" i="173"/>
  <c r="D58" i="173"/>
  <c r="D60" i="173" s="1"/>
  <c r="F188" i="166"/>
  <c r="F77" i="194" s="1"/>
  <c r="F158" i="166"/>
  <c r="D188" i="166"/>
  <c r="D77" i="194" s="1"/>
  <c r="D158" i="166"/>
  <c r="C35" i="162"/>
  <c r="C36" i="162" s="1"/>
  <c r="C21" i="162"/>
  <c r="D35" i="162"/>
  <c r="D129" i="162" s="1"/>
  <c r="D21" i="162"/>
  <c r="D23" i="164"/>
  <c r="D65" i="164" s="1"/>
  <c r="J244" i="166"/>
  <c r="K244" i="166"/>
  <c r="I246" i="166"/>
  <c r="C244" i="166"/>
  <c r="C203" i="166"/>
  <c r="C204" i="166" s="1"/>
  <c r="E244" i="166"/>
  <c r="E203" i="166"/>
  <c r="E8" i="195" s="1"/>
  <c r="E12" i="195" s="1"/>
  <c r="E28" i="195" s="1"/>
  <c r="E79" i="195" s="1"/>
  <c r="L244" i="166"/>
  <c r="E23" i="164"/>
  <c r="E65" i="164" s="1"/>
  <c r="C23" i="164"/>
  <c r="C65" i="164" s="1"/>
  <c r="E35" i="162"/>
  <c r="E36" i="162" s="1"/>
  <c r="E62" i="177" l="1"/>
  <c r="E65" i="177" s="1"/>
  <c r="D72" i="174"/>
  <c r="H49" i="206" s="1"/>
  <c r="H74" i="201"/>
  <c r="H75" i="201" s="1"/>
  <c r="F77" i="201"/>
  <c r="H28" i="173"/>
  <c r="AH28" i="205" s="1"/>
  <c r="AH25" i="205" s="1"/>
  <c r="AH51" i="205" s="1"/>
  <c r="AA28" i="205"/>
  <c r="AA25" i="205" s="1"/>
  <c r="AA51" i="205" s="1"/>
  <c r="AA53" i="205" s="1"/>
  <c r="F28" i="202"/>
  <c r="E25" i="202"/>
  <c r="E59" i="202" s="1"/>
  <c r="E61" i="202" s="1"/>
  <c r="BQ64" i="203"/>
  <c r="BQ57" i="203"/>
  <c r="BQ52" i="203"/>
  <c r="BU64" i="203"/>
  <c r="S62" i="203"/>
  <c r="S43" i="203"/>
  <c r="S48" i="203"/>
  <c r="L43" i="203"/>
  <c r="L48" i="203"/>
  <c r="L62" i="203"/>
  <c r="Z62" i="203"/>
  <c r="Z43" i="203"/>
  <c r="Z48" i="203"/>
  <c r="E48" i="203"/>
  <c r="E56" i="203" s="1"/>
  <c r="E43" i="203"/>
  <c r="E62" i="203"/>
  <c r="U25" i="205"/>
  <c r="U51" i="205" s="1"/>
  <c r="U53" i="205" s="1"/>
  <c r="H28" i="176"/>
  <c r="H25" i="176" s="1"/>
  <c r="H55" i="176" s="1"/>
  <c r="AB28" i="205"/>
  <c r="F28" i="199"/>
  <c r="E25" i="199"/>
  <c r="E55" i="199" s="1"/>
  <c r="E57" i="199" s="1"/>
  <c r="U64" i="203"/>
  <c r="U57" i="203"/>
  <c r="AB57" i="203"/>
  <c r="AB64" i="203"/>
  <c r="I64" i="196"/>
  <c r="I65" i="196" s="1"/>
  <c r="V60" i="203"/>
  <c r="R48" i="203"/>
  <c r="R62" i="203"/>
  <c r="R43" i="203"/>
  <c r="Y43" i="203"/>
  <c r="Y62" i="203"/>
  <c r="Y48" i="203"/>
  <c r="K43" i="203"/>
  <c r="K62" i="203"/>
  <c r="K48" i="203"/>
  <c r="O60" i="203"/>
  <c r="AJ60" i="203"/>
  <c r="AC60" i="203"/>
  <c r="AY29" i="205"/>
  <c r="BC29" i="205" s="1"/>
  <c r="K28" i="183"/>
  <c r="J25" i="183"/>
  <c r="J54" i="183" s="1"/>
  <c r="BC28" i="206"/>
  <c r="BG28" i="206" s="1"/>
  <c r="L28" i="182"/>
  <c r="BL12" i="206"/>
  <c r="BP12" i="206" s="1"/>
  <c r="J28" i="182"/>
  <c r="AT12" i="206"/>
  <c r="AX12" i="206" s="1"/>
  <c r="F203" i="166"/>
  <c r="F8" i="195" s="1"/>
  <c r="F12" i="195" s="1"/>
  <c r="F28" i="195" s="1"/>
  <c r="F79" i="195" s="1"/>
  <c r="F77" i="168"/>
  <c r="D244" i="166"/>
  <c r="D77" i="168"/>
  <c r="I28" i="173"/>
  <c r="F25" i="176"/>
  <c r="F55" i="176" s="1"/>
  <c r="F57" i="176" s="1"/>
  <c r="E67" i="177"/>
  <c r="F64" i="177"/>
  <c r="C225" i="162"/>
  <c r="F25" i="173"/>
  <c r="C104" i="6" s="1"/>
  <c r="C105" i="6" s="1"/>
  <c r="D75" i="174"/>
  <c r="D203" i="166"/>
  <c r="F244" i="166"/>
  <c r="F189" i="166"/>
  <c r="E41" i="6"/>
  <c r="F41" i="6" s="1"/>
  <c r="F43" i="6" s="1"/>
  <c r="F45" i="6" s="1"/>
  <c r="N42" i="6"/>
  <c r="N45" i="6" s="1"/>
  <c r="D53" i="6" s="1"/>
  <c r="D43" i="6"/>
  <c r="D45" i="6" s="1"/>
  <c r="D189" i="166"/>
  <c r="C41" i="6"/>
  <c r="E55" i="176"/>
  <c r="E57" i="176" s="1"/>
  <c r="E58" i="173"/>
  <c r="E60" i="173" s="1"/>
  <c r="E8" i="167"/>
  <c r="E204" i="166"/>
  <c r="C129" i="162"/>
  <c r="C130" i="162" s="1"/>
  <c r="D225" i="162"/>
  <c r="D36" i="162"/>
  <c r="D170" i="162"/>
  <c r="D67" i="191" s="1"/>
  <c r="D130" i="162"/>
  <c r="E225" i="162"/>
  <c r="L245" i="166"/>
  <c r="E219" i="166"/>
  <c r="E220" i="166" s="1"/>
  <c r="E245" i="166"/>
  <c r="E238" i="166"/>
  <c r="E29" i="194" s="1"/>
  <c r="E25" i="194" s="1"/>
  <c r="K245" i="166"/>
  <c r="J245" i="166"/>
  <c r="C245" i="166"/>
  <c r="C219" i="166"/>
  <c r="C220" i="166" s="1"/>
  <c r="C238" i="166"/>
  <c r="C29" i="194" s="1"/>
  <c r="C25" i="194" s="1"/>
  <c r="E129" i="162"/>
  <c r="E130" i="162" s="1"/>
  <c r="K129" i="162"/>
  <c r="K130" i="162" s="1"/>
  <c r="K225" i="162"/>
  <c r="H225" i="162"/>
  <c r="H129" i="162"/>
  <c r="H130" i="162" s="1"/>
  <c r="I129" i="162"/>
  <c r="I130" i="162" s="1"/>
  <c r="I225" i="162"/>
  <c r="J129" i="162"/>
  <c r="J130" i="162" s="1"/>
  <c r="J225" i="162"/>
  <c r="H25" i="173" l="1"/>
  <c r="I28" i="176"/>
  <c r="F25" i="202"/>
  <c r="F59" i="202" s="1"/>
  <c r="F61" i="202" s="1"/>
  <c r="H28" i="202"/>
  <c r="I74" i="201"/>
  <c r="I75" i="201" s="1"/>
  <c r="H18" i="202"/>
  <c r="H77" i="201" s="1"/>
  <c r="F238" i="166"/>
  <c r="F29" i="194" s="1"/>
  <c r="F25" i="194" s="1"/>
  <c r="F219" i="166"/>
  <c r="F220" i="166" s="1"/>
  <c r="E63" i="203"/>
  <c r="E51" i="203"/>
  <c r="E52" i="203" s="1"/>
  <c r="E49" i="203"/>
  <c r="Z63" i="203"/>
  <c r="Z56" i="203"/>
  <c r="Z51" i="203"/>
  <c r="Z52" i="203" s="1"/>
  <c r="Z49" i="203"/>
  <c r="F245" i="166"/>
  <c r="C65" i="194"/>
  <c r="C67" i="194" s="1"/>
  <c r="C76" i="194"/>
  <c r="F204" i="166"/>
  <c r="D245" i="166"/>
  <c r="D8" i="195"/>
  <c r="D12" i="195" s="1"/>
  <c r="D28" i="195" s="1"/>
  <c r="L49" i="203"/>
  <c r="L63" i="203"/>
  <c r="L56" i="203"/>
  <c r="L51" i="203"/>
  <c r="L52" i="203" s="1"/>
  <c r="N8" i="206"/>
  <c r="S51" i="203"/>
  <c r="S52" i="203" s="1"/>
  <c r="S49" i="203"/>
  <c r="S56" i="203"/>
  <c r="S63" i="203"/>
  <c r="F8" i="167"/>
  <c r="E76" i="194"/>
  <c r="E65" i="194"/>
  <c r="E67" i="194" s="1"/>
  <c r="H28" i="199"/>
  <c r="F25" i="199"/>
  <c r="F55" i="199" s="1"/>
  <c r="F57" i="199" s="1"/>
  <c r="J64" i="196"/>
  <c r="J65" i="196" s="1"/>
  <c r="AB25" i="205"/>
  <c r="AB51" i="205" s="1"/>
  <c r="AB53" i="205" s="1"/>
  <c r="AC28" i="205"/>
  <c r="AI28" i="205"/>
  <c r="AI25" i="205" s="1"/>
  <c r="AI51" i="205" s="1"/>
  <c r="W51" i="206"/>
  <c r="W52" i="206" s="1"/>
  <c r="AD51" i="206" s="1"/>
  <c r="AD52" i="206" s="1"/>
  <c r="AM51" i="206" s="1"/>
  <c r="AM52" i="206" s="1"/>
  <c r="AV51" i="206" s="1"/>
  <c r="AV52" i="206" s="1"/>
  <c r="BE51" i="206" s="1"/>
  <c r="BE52" i="206" s="1"/>
  <c r="BN51" i="206" s="1"/>
  <c r="BN52" i="206" s="1"/>
  <c r="Y56" i="203"/>
  <c r="Y63" i="203"/>
  <c r="Y51" i="203"/>
  <c r="Y52" i="203" s="1"/>
  <c r="Y49" i="203"/>
  <c r="K63" i="203"/>
  <c r="K51" i="203"/>
  <c r="K52" i="203" s="1"/>
  <c r="K49" i="203"/>
  <c r="K56" i="203"/>
  <c r="R63" i="203"/>
  <c r="R56" i="203"/>
  <c r="R49" i="203"/>
  <c r="R51" i="203"/>
  <c r="R52" i="203" s="1"/>
  <c r="BL28" i="206"/>
  <c r="BP28" i="206" s="1"/>
  <c r="BC49" i="206"/>
  <c r="BG49" i="206" s="1"/>
  <c r="BH28" i="205"/>
  <c r="L28" i="183"/>
  <c r="K25" i="183"/>
  <c r="K54" i="183" s="1"/>
  <c r="AT28" i="206"/>
  <c r="AX28" i="206" s="1"/>
  <c r="AY25" i="205"/>
  <c r="AY51" i="205" s="1"/>
  <c r="D67" i="6"/>
  <c r="N68" i="6" s="1"/>
  <c r="N71" i="6" s="1"/>
  <c r="D79" i="6" s="1"/>
  <c r="D67" i="164"/>
  <c r="F65" i="177"/>
  <c r="H64" i="177" s="1"/>
  <c r="H65" i="177" s="1"/>
  <c r="H18" i="199" s="1"/>
  <c r="H13" i="199" s="1"/>
  <c r="H23" i="199" s="1"/>
  <c r="J28" i="176"/>
  <c r="I25" i="176"/>
  <c r="I55" i="176" s="1"/>
  <c r="H58" i="173"/>
  <c r="H60" i="173" s="1"/>
  <c r="J28" i="173"/>
  <c r="I25" i="173"/>
  <c r="F58" i="173"/>
  <c r="F60" i="173" s="1"/>
  <c r="D219" i="166"/>
  <c r="D220" i="166" s="1"/>
  <c r="D204" i="166"/>
  <c r="D8" i="167"/>
  <c r="D238" i="166"/>
  <c r="D77" i="174"/>
  <c r="E74" i="174"/>
  <c r="O51" i="206" s="1"/>
  <c r="O52" i="206" s="1"/>
  <c r="E12" i="167"/>
  <c r="M42" i="6"/>
  <c r="M45" i="6" s="1"/>
  <c r="C53" i="6" s="1"/>
  <c r="C43" i="6"/>
  <c r="C45" i="6" s="1"/>
  <c r="G41" i="6"/>
  <c r="G43" i="6" s="1"/>
  <c r="G45" i="6" s="1"/>
  <c r="D55" i="6"/>
  <c r="D57" i="6" s="1"/>
  <c r="O42" i="6"/>
  <c r="O45" i="6" s="1"/>
  <c r="E53" i="6" s="1"/>
  <c r="E55" i="6" s="1"/>
  <c r="E57" i="6" s="1"/>
  <c r="E43" i="6"/>
  <c r="E45" i="6" s="1"/>
  <c r="C170" i="162"/>
  <c r="C67" i="191" s="1"/>
  <c r="D192" i="162"/>
  <c r="C29" i="168"/>
  <c r="C239" i="166"/>
  <c r="E29" i="168"/>
  <c r="E239" i="166"/>
  <c r="D226" i="162"/>
  <c r="D171" i="162"/>
  <c r="C246" i="166"/>
  <c r="F246" i="166"/>
  <c r="K246" i="166"/>
  <c r="E246" i="166"/>
  <c r="L246" i="166"/>
  <c r="J246" i="166"/>
  <c r="E170" i="162"/>
  <c r="K170" i="162"/>
  <c r="J170" i="162"/>
  <c r="I170" i="162"/>
  <c r="H170" i="162"/>
  <c r="F239" i="166" l="1"/>
  <c r="G28" i="194"/>
  <c r="I28" i="194" s="1"/>
  <c r="F29" i="168"/>
  <c r="F67" i="177"/>
  <c r="H13" i="202"/>
  <c r="H23" i="202" s="1"/>
  <c r="AH18" i="205"/>
  <c r="AH13" i="205" s="1"/>
  <c r="AH23" i="205" s="1"/>
  <c r="AH53" i="205" s="1"/>
  <c r="J74" i="201"/>
  <c r="I18" i="202"/>
  <c r="H25" i="202"/>
  <c r="H59" i="202" s="1"/>
  <c r="I28" i="202"/>
  <c r="D246" i="166"/>
  <c r="D29" i="194"/>
  <c r="D25" i="194" s="1"/>
  <c r="G25" i="194"/>
  <c r="F76" i="194"/>
  <c r="F65" i="194"/>
  <c r="F67" i="194" s="1"/>
  <c r="G8" i="206"/>
  <c r="L64" i="203"/>
  <c r="L57" i="203"/>
  <c r="Z57" i="203"/>
  <c r="Z64" i="203"/>
  <c r="E25" i="168"/>
  <c r="E76" i="168" s="1"/>
  <c r="S29" i="205"/>
  <c r="S25" i="205" s="1"/>
  <c r="S51" i="205" s="1"/>
  <c r="S53" i="205" s="1"/>
  <c r="E57" i="203"/>
  <c r="E64" i="203"/>
  <c r="C25" i="168"/>
  <c r="C65" i="168" s="1"/>
  <c r="C67" i="168" s="1"/>
  <c r="E29" i="205"/>
  <c r="E25" i="205" s="1"/>
  <c r="E51" i="205" s="1"/>
  <c r="E53" i="205" s="1"/>
  <c r="F12" i="167"/>
  <c r="U8" i="206"/>
  <c r="G28" i="168"/>
  <c r="AG28" i="205" s="1"/>
  <c r="AG25" i="205" s="1"/>
  <c r="AG51" i="205" s="1"/>
  <c r="AG53" i="205" s="1"/>
  <c r="Z29" i="205"/>
  <c r="Z25" i="205" s="1"/>
  <c r="Z51" i="205" s="1"/>
  <c r="Z53" i="205" s="1"/>
  <c r="E28" i="167"/>
  <c r="N28" i="206" s="1"/>
  <c r="N49" i="206" s="1"/>
  <c r="N12" i="206"/>
  <c r="S64" i="203"/>
  <c r="S57" i="203"/>
  <c r="D69" i="6"/>
  <c r="D71" i="6" s="1"/>
  <c r="K64" i="196"/>
  <c r="K65" i="196" s="1"/>
  <c r="I28" i="199"/>
  <c r="H25" i="199"/>
  <c r="H55" i="199" s="1"/>
  <c r="H57" i="199" s="1"/>
  <c r="K57" i="203"/>
  <c r="K64" i="203"/>
  <c r="K171" i="162"/>
  <c r="K67" i="164"/>
  <c r="E67" i="164"/>
  <c r="E67" i="191"/>
  <c r="R64" i="203"/>
  <c r="R57" i="203"/>
  <c r="H171" i="162"/>
  <c r="H67" i="164"/>
  <c r="D193" i="162"/>
  <c r="D8" i="192"/>
  <c r="D12" i="192" s="1"/>
  <c r="D28" i="192" s="1"/>
  <c r="I171" i="162"/>
  <c r="I67" i="164"/>
  <c r="J171" i="162"/>
  <c r="J67" i="164"/>
  <c r="Y57" i="203"/>
  <c r="Y64" i="203"/>
  <c r="BQ28" i="205"/>
  <c r="L25" i="183"/>
  <c r="L54" i="183" s="1"/>
  <c r="BH25" i="205"/>
  <c r="BH51" i="205" s="1"/>
  <c r="AT49" i="206"/>
  <c r="AX49" i="206" s="1"/>
  <c r="BL49" i="206"/>
  <c r="BP49" i="206" s="1"/>
  <c r="C192" i="162"/>
  <c r="C220" i="162" s="1"/>
  <c r="C29" i="191" s="1"/>
  <c r="C67" i="164"/>
  <c r="K28" i="176"/>
  <c r="J25" i="176"/>
  <c r="J55" i="176" s="1"/>
  <c r="H18" i="176"/>
  <c r="K28" i="173"/>
  <c r="J25" i="173"/>
  <c r="I58" i="173"/>
  <c r="I60" i="173" s="1"/>
  <c r="D8" i="163"/>
  <c r="D227" i="162"/>
  <c r="F25" i="168"/>
  <c r="D239" i="166"/>
  <c r="D29" i="168"/>
  <c r="D12" i="167"/>
  <c r="I64" i="177"/>
  <c r="E75" i="174"/>
  <c r="F53" i="6"/>
  <c r="F55" i="6" s="1"/>
  <c r="F57" i="6" s="1"/>
  <c r="C55" i="6"/>
  <c r="C57" i="6" s="1"/>
  <c r="G53" i="6"/>
  <c r="G55" i="6" s="1"/>
  <c r="G57" i="6" s="1"/>
  <c r="D220" i="162"/>
  <c r="D81" i="6"/>
  <c r="D83" i="6" s="1"/>
  <c r="D205" i="162"/>
  <c r="D206" i="162" s="1"/>
  <c r="E171" i="162"/>
  <c r="E67" i="6"/>
  <c r="C171" i="162"/>
  <c r="C67" i="6"/>
  <c r="C226" i="162"/>
  <c r="C29" i="164"/>
  <c r="C221" i="162"/>
  <c r="C227" i="162"/>
  <c r="C193" i="162"/>
  <c r="C205" i="162"/>
  <c r="C206" i="162" s="1"/>
  <c r="C228" i="162"/>
  <c r="E226" i="162"/>
  <c r="E192" i="162"/>
  <c r="E8" i="192" s="1"/>
  <c r="E12" i="192" s="1"/>
  <c r="E28" i="192" s="1"/>
  <c r="J192" i="162"/>
  <c r="J226" i="162"/>
  <c r="H226" i="162"/>
  <c r="H192" i="162"/>
  <c r="I226" i="162"/>
  <c r="I192" i="162"/>
  <c r="K192" i="162"/>
  <c r="K226" i="162"/>
  <c r="D46" i="6" l="1"/>
  <c r="D58" i="6" s="1"/>
  <c r="E65" i="168"/>
  <c r="E67" i="168" s="1"/>
  <c r="C76" i="168"/>
  <c r="AQ28" i="205"/>
  <c r="AQ25" i="205" s="1"/>
  <c r="AQ51" i="205" s="1"/>
  <c r="I25" i="202"/>
  <c r="I59" i="202" s="1"/>
  <c r="J28" i="202"/>
  <c r="I77" i="201"/>
  <c r="AQ18" i="205"/>
  <c r="AQ13" i="205" s="1"/>
  <c r="AQ23" i="205" s="1"/>
  <c r="I13" i="202"/>
  <c r="I23" i="202" s="1"/>
  <c r="H61" i="202"/>
  <c r="E79" i="167"/>
  <c r="D25" i="168"/>
  <c r="C46" i="6" s="1"/>
  <c r="C58" i="6" s="1"/>
  <c r="L29" i="205"/>
  <c r="L25" i="205" s="1"/>
  <c r="L51" i="205" s="1"/>
  <c r="L53" i="205" s="1"/>
  <c r="G12" i="206"/>
  <c r="U12" i="206"/>
  <c r="F28" i="167"/>
  <c r="G65" i="194"/>
  <c r="G67" i="194" s="1"/>
  <c r="G76" i="194"/>
  <c r="AO28" i="205"/>
  <c r="AO25" i="205" s="1"/>
  <c r="AO51" i="205" s="1"/>
  <c r="J28" i="194"/>
  <c r="I25" i="194"/>
  <c r="I65" i="194" s="1"/>
  <c r="D65" i="194"/>
  <c r="D67" i="194" s="1"/>
  <c r="D76" i="194"/>
  <c r="G25" i="168"/>
  <c r="G76" i="168" s="1"/>
  <c r="J28" i="199"/>
  <c r="AR28" i="205"/>
  <c r="AR25" i="205" s="1"/>
  <c r="AR51" i="205" s="1"/>
  <c r="I25" i="199"/>
  <c r="I55" i="199" s="1"/>
  <c r="H67" i="177"/>
  <c r="AI18" i="205"/>
  <c r="H67" i="196"/>
  <c r="L64" i="196"/>
  <c r="L65" i="196" s="1"/>
  <c r="D12" i="163"/>
  <c r="M12" i="206" s="1"/>
  <c r="M8" i="206"/>
  <c r="D28" i="191"/>
  <c r="C25" i="191"/>
  <c r="D29" i="164"/>
  <c r="D29" i="191"/>
  <c r="K29" i="205"/>
  <c r="K25" i="205" s="1"/>
  <c r="K51" i="205" s="1"/>
  <c r="K53" i="205" s="1"/>
  <c r="AT52" i="206"/>
  <c r="BQ25" i="205"/>
  <c r="BQ51" i="205" s="1"/>
  <c r="E46" i="6"/>
  <c r="C48" i="6" s="1"/>
  <c r="F76" i="168"/>
  <c r="L28" i="176"/>
  <c r="L25" i="176" s="1"/>
  <c r="L55" i="176" s="1"/>
  <c r="K25" i="176"/>
  <c r="K55" i="176" s="1"/>
  <c r="H13" i="176"/>
  <c r="H23" i="176" s="1"/>
  <c r="J58" i="173"/>
  <c r="J60" i="173" s="1"/>
  <c r="L28" i="173"/>
  <c r="L25" i="173" s="1"/>
  <c r="K25" i="173"/>
  <c r="F65" i="168"/>
  <c r="F67" i="168" s="1"/>
  <c r="K193" i="162"/>
  <c r="K8" i="163"/>
  <c r="K12" i="163" s="1"/>
  <c r="K28" i="163" s="1"/>
  <c r="J193" i="162"/>
  <c r="J8" i="163"/>
  <c r="J12" i="163" s="1"/>
  <c r="J28" i="163" s="1"/>
  <c r="I193" i="162"/>
  <c r="I8" i="163"/>
  <c r="I12" i="163" s="1"/>
  <c r="I28" i="163" s="1"/>
  <c r="H193" i="162"/>
  <c r="D228" i="162"/>
  <c r="D221" i="162"/>
  <c r="D28" i="167"/>
  <c r="E77" i="174"/>
  <c r="F74" i="174"/>
  <c r="V51" i="206" s="1"/>
  <c r="V52" i="206" s="1"/>
  <c r="AC51" i="206" s="1"/>
  <c r="AC52" i="206" s="1"/>
  <c r="AL51" i="206" s="1"/>
  <c r="AL52" i="206" s="1"/>
  <c r="AU51" i="206" s="1"/>
  <c r="AU52" i="206" s="1"/>
  <c r="BD51" i="206" s="1"/>
  <c r="BD52" i="206" s="1"/>
  <c r="BM51" i="206" s="1"/>
  <c r="BM52" i="206" s="1"/>
  <c r="C69" i="6"/>
  <c r="C71" i="6" s="1"/>
  <c r="M68" i="6"/>
  <c r="M71" i="6" s="1"/>
  <c r="C79" i="6" s="1"/>
  <c r="G67" i="6"/>
  <c r="G69" i="6" s="1"/>
  <c r="G71" i="6" s="1"/>
  <c r="E69" i="6"/>
  <c r="E71" i="6" s="1"/>
  <c r="O68" i="6"/>
  <c r="O71" i="6" s="1"/>
  <c r="E79" i="6" s="1"/>
  <c r="F67" i="6"/>
  <c r="F69" i="6" s="1"/>
  <c r="F71" i="6" s="1"/>
  <c r="C25" i="164"/>
  <c r="C72" i="6" s="1"/>
  <c r="C84" i="6" s="1"/>
  <c r="D28" i="164"/>
  <c r="E8" i="163"/>
  <c r="E193" i="162"/>
  <c r="E227" i="162"/>
  <c r="E220" i="162"/>
  <c r="E29" i="191" s="1"/>
  <c r="E205" i="162"/>
  <c r="E206" i="162" s="1"/>
  <c r="I220" i="162"/>
  <c r="I205" i="162"/>
  <c r="I206" i="162" s="1"/>
  <c r="I227" i="162"/>
  <c r="H220" i="162"/>
  <c r="H205" i="162"/>
  <c r="H206" i="162" s="1"/>
  <c r="H227" i="162"/>
  <c r="K220" i="162"/>
  <c r="K205" i="162"/>
  <c r="K206" i="162" s="1"/>
  <c r="K227" i="162"/>
  <c r="J220" i="162"/>
  <c r="J205" i="162"/>
  <c r="J206" i="162" s="1"/>
  <c r="J227" i="162"/>
  <c r="D76" i="168" l="1"/>
  <c r="D65" i="168"/>
  <c r="D67" i="168" s="1"/>
  <c r="G65" i="168"/>
  <c r="G67" i="168" s="1"/>
  <c r="AZ28" i="205"/>
  <c r="AZ25" i="205" s="1"/>
  <c r="AZ51" i="205" s="1"/>
  <c r="K28" i="202"/>
  <c r="J25" i="202"/>
  <c r="J59" i="202" s="1"/>
  <c r="I61" i="202"/>
  <c r="AQ53" i="205"/>
  <c r="E58" i="6"/>
  <c r="C60" i="6" s="1"/>
  <c r="AX28" i="205"/>
  <c r="AX25" i="205" s="1"/>
  <c r="AX51" i="205" s="1"/>
  <c r="J25" i="194"/>
  <c r="J65" i="194" s="1"/>
  <c r="K28" i="194"/>
  <c r="U28" i="206"/>
  <c r="U49" i="206" s="1"/>
  <c r="F79" i="167"/>
  <c r="G28" i="206"/>
  <c r="D28" i="163"/>
  <c r="M28" i="206" s="1"/>
  <c r="AI13" i="205"/>
  <c r="AI23" i="205" s="1"/>
  <c r="AI53" i="205" s="1"/>
  <c r="AJ18" i="205"/>
  <c r="K28" i="199"/>
  <c r="BA28" i="205"/>
  <c r="BA25" i="205" s="1"/>
  <c r="BA51" i="205" s="1"/>
  <c r="J25" i="199"/>
  <c r="J55" i="199" s="1"/>
  <c r="E25" i="191"/>
  <c r="F28" i="191"/>
  <c r="R29" i="205"/>
  <c r="C55" i="191"/>
  <c r="C57" i="191" s="1"/>
  <c r="C66" i="191"/>
  <c r="T8" i="206"/>
  <c r="D25" i="191"/>
  <c r="R28" i="205"/>
  <c r="E57" i="192"/>
  <c r="E63" i="192" s="1"/>
  <c r="E66" i="192" s="1"/>
  <c r="D57" i="192"/>
  <c r="D63" i="192" s="1"/>
  <c r="D66" i="192" s="1"/>
  <c r="D69" i="192" s="1"/>
  <c r="BC51" i="206"/>
  <c r="H57" i="176"/>
  <c r="L58" i="173"/>
  <c r="L60" i="173" s="1"/>
  <c r="K58" i="173"/>
  <c r="K60" i="173" s="1"/>
  <c r="I221" i="162"/>
  <c r="I29" i="164"/>
  <c r="H221" i="162"/>
  <c r="J221" i="162"/>
  <c r="J29" i="164"/>
  <c r="K221" i="162"/>
  <c r="K29" i="164"/>
  <c r="K25" i="164" s="1"/>
  <c r="K66" i="164" s="1"/>
  <c r="D25" i="164"/>
  <c r="J28" i="168"/>
  <c r="C66" i="164"/>
  <c r="E57" i="163"/>
  <c r="C55" i="164"/>
  <c r="C57" i="164" s="1"/>
  <c r="D57" i="163"/>
  <c r="D63" i="163" s="1"/>
  <c r="E12" i="163"/>
  <c r="F75" i="174"/>
  <c r="E81" i="6"/>
  <c r="E83" i="6" s="1"/>
  <c r="F79" i="6"/>
  <c r="F81" i="6" s="1"/>
  <c r="F83" i="6" s="1"/>
  <c r="C81" i="6"/>
  <c r="C83" i="6" s="1"/>
  <c r="G79" i="6"/>
  <c r="G81" i="6" s="1"/>
  <c r="G83" i="6" s="1"/>
  <c r="E29" i="164"/>
  <c r="E221" i="162"/>
  <c r="E228" i="162"/>
  <c r="J228" i="162"/>
  <c r="H228" i="162"/>
  <c r="K228" i="162"/>
  <c r="I228" i="162"/>
  <c r="AJ13" i="205" l="1"/>
  <c r="AJ23" i="205" s="1"/>
  <c r="E114" i="6"/>
  <c r="E113" i="6" s="1"/>
  <c r="E112" i="6" s="1"/>
  <c r="BI28" i="205"/>
  <c r="BI25" i="205" s="1"/>
  <c r="BI51" i="205" s="1"/>
  <c r="L28" i="202"/>
  <c r="K25" i="202"/>
  <c r="K59" i="202" s="1"/>
  <c r="BG28" i="205"/>
  <c r="BG25" i="205" s="1"/>
  <c r="BG51" i="205" s="1"/>
  <c r="L28" i="194"/>
  <c r="K25" i="194"/>
  <c r="K65" i="194" s="1"/>
  <c r="L28" i="199"/>
  <c r="BJ28" i="205"/>
  <c r="BJ25" i="205" s="1"/>
  <c r="BJ51" i="205" s="1"/>
  <c r="K25" i="199"/>
  <c r="K55" i="199" s="1"/>
  <c r="E68" i="192"/>
  <c r="E69" i="192" s="1"/>
  <c r="D71" i="192"/>
  <c r="D66" i="163"/>
  <c r="M46" i="206"/>
  <c r="M49" i="206" s="1"/>
  <c r="M52" i="206" s="1"/>
  <c r="E63" i="163"/>
  <c r="T43" i="206"/>
  <c r="R25" i="205"/>
  <c r="R51" i="205" s="1"/>
  <c r="R53" i="205" s="1"/>
  <c r="V28" i="205"/>
  <c r="D55" i="191"/>
  <c r="D57" i="191" s="1"/>
  <c r="D66" i="191"/>
  <c r="F25" i="191"/>
  <c r="H28" i="191"/>
  <c r="Y29" i="205"/>
  <c r="Y25" i="205" s="1"/>
  <c r="Y51" i="205" s="1"/>
  <c r="Y53" i="205" s="1"/>
  <c r="E28" i="163"/>
  <c r="T12" i="206"/>
  <c r="E55" i="191"/>
  <c r="E57" i="191" s="1"/>
  <c r="E66" i="191"/>
  <c r="BC52" i="206"/>
  <c r="D72" i="6"/>
  <c r="D84" i="6" s="1"/>
  <c r="D66" i="164"/>
  <c r="F28" i="164"/>
  <c r="AF28" i="205" s="1"/>
  <c r="AF25" i="205" s="1"/>
  <c r="AF51" i="205" s="1"/>
  <c r="AF53" i="205" s="1"/>
  <c r="D55" i="164"/>
  <c r="D57" i="164" s="1"/>
  <c r="K57" i="163"/>
  <c r="K63" i="163" s="1"/>
  <c r="K66" i="163" s="1"/>
  <c r="J25" i="164"/>
  <c r="J66" i="164" s="1"/>
  <c r="K55" i="164"/>
  <c r="K57" i="164" s="1"/>
  <c r="I57" i="163"/>
  <c r="I63" i="163" s="1"/>
  <c r="I66" i="163" s="1"/>
  <c r="J57" i="163"/>
  <c r="J63" i="163" s="1"/>
  <c r="J66" i="163" s="1"/>
  <c r="I25" i="164"/>
  <c r="I66" i="164" s="1"/>
  <c r="E25" i="164"/>
  <c r="K28" i="168"/>
  <c r="J25" i="168"/>
  <c r="J76" i="168" s="1"/>
  <c r="F77" i="174"/>
  <c r="H74" i="174"/>
  <c r="H75" i="174" s="1"/>
  <c r="H77" i="174" s="1"/>
  <c r="D255" i="147"/>
  <c r="E255" i="147"/>
  <c r="F255" i="147"/>
  <c r="E66" i="163" l="1"/>
  <c r="BR28" i="205"/>
  <c r="BR25" i="205" s="1"/>
  <c r="BR51" i="205" s="1"/>
  <c r="L25" i="202"/>
  <c r="L59" i="202" s="1"/>
  <c r="L25" i="194"/>
  <c r="L65" i="194" s="1"/>
  <c r="BP28" i="205"/>
  <c r="BP25" i="205" s="1"/>
  <c r="BP51" i="205" s="1"/>
  <c r="BS28" i="205"/>
  <c r="BS25" i="205" s="1"/>
  <c r="BS51" i="205" s="1"/>
  <c r="L25" i="199"/>
  <c r="L55" i="199" s="1"/>
  <c r="F57" i="192"/>
  <c r="F63" i="192" s="1"/>
  <c r="F66" i="192" s="1"/>
  <c r="T46" i="206"/>
  <c r="AN28" i="205"/>
  <c r="AN25" i="205" s="1"/>
  <c r="AN51" i="205" s="1"/>
  <c r="H25" i="191"/>
  <c r="H55" i="191" s="1"/>
  <c r="I28" i="191"/>
  <c r="F66" i="191"/>
  <c r="F55" i="191"/>
  <c r="F57" i="191" s="1"/>
  <c r="T28" i="206"/>
  <c r="F68" i="192"/>
  <c r="E71" i="192"/>
  <c r="J53" i="203"/>
  <c r="X53" i="203"/>
  <c r="Q53" i="203"/>
  <c r="BL51" i="206"/>
  <c r="F25" i="164"/>
  <c r="F66" i="164" s="1"/>
  <c r="E55" i="164"/>
  <c r="E57" i="164" s="1"/>
  <c r="E66" i="164"/>
  <c r="F57" i="163"/>
  <c r="F63" i="163" s="1"/>
  <c r="F66" i="163" s="1"/>
  <c r="E72" i="6"/>
  <c r="E84" i="6" s="1"/>
  <c r="J55" i="164"/>
  <c r="J57" i="164" s="1"/>
  <c r="I55" i="164"/>
  <c r="I57" i="164" s="1"/>
  <c r="J65" i="168"/>
  <c r="J67" i="168" s="1"/>
  <c r="L28" i="168"/>
  <c r="L25" i="168" s="1"/>
  <c r="L76" i="168" s="1"/>
  <c r="K25" i="168"/>
  <c r="K76" i="168" s="1"/>
  <c r="I74" i="174"/>
  <c r="C255" i="147"/>
  <c r="D34" i="147"/>
  <c r="J11" i="203" s="1"/>
  <c r="E34" i="147"/>
  <c r="Q11" i="203" s="1"/>
  <c r="F34" i="147"/>
  <c r="X11" i="203" s="1"/>
  <c r="D35" i="147"/>
  <c r="J12" i="203" s="1"/>
  <c r="O12" i="203" s="1"/>
  <c r="E35" i="147"/>
  <c r="Q12" i="203" s="1"/>
  <c r="V12" i="203" s="1"/>
  <c r="F35" i="147"/>
  <c r="X12" i="203" s="1"/>
  <c r="AC12" i="203" s="1"/>
  <c r="C35" i="147"/>
  <c r="C12" i="203" s="1"/>
  <c r="H12" i="203" s="1"/>
  <c r="C34" i="147"/>
  <c r="C11" i="203" s="1"/>
  <c r="AC11" i="203" l="1"/>
  <c r="X13" i="203"/>
  <c r="O11" i="203"/>
  <c r="J13" i="203"/>
  <c r="V11" i="203"/>
  <c r="Q13" i="203"/>
  <c r="H11" i="203"/>
  <c r="C13" i="203"/>
  <c r="T49" i="206"/>
  <c r="F69" i="192"/>
  <c r="F71" i="192" s="1"/>
  <c r="AW28" i="205"/>
  <c r="AW25" i="205" s="1"/>
  <c r="AW51" i="205" s="1"/>
  <c r="I25" i="191"/>
  <c r="I55" i="191" s="1"/>
  <c r="J28" i="191"/>
  <c r="F55" i="164"/>
  <c r="F57" i="164" s="1"/>
  <c r="V53" i="203"/>
  <c r="O53" i="203"/>
  <c r="C53" i="203"/>
  <c r="AC53" i="203"/>
  <c r="BL52" i="206"/>
  <c r="L65" i="168"/>
  <c r="L67" i="168" s="1"/>
  <c r="K65" i="168"/>
  <c r="K67" i="168" s="1"/>
  <c r="C33" i="147"/>
  <c r="D33" i="147"/>
  <c r="E33" i="147"/>
  <c r="F33" i="147"/>
  <c r="C56" i="161"/>
  <c r="D48" i="161"/>
  <c r="C48" i="161"/>
  <c r="D21" i="161"/>
  <c r="C108" i="161"/>
  <c r="D107" i="161" s="1"/>
  <c r="E105" i="161"/>
  <c r="D105" i="161"/>
  <c r="F101" i="161"/>
  <c r="F100" i="161"/>
  <c r="E100" i="161"/>
  <c r="D100" i="161"/>
  <c r="F99" i="161"/>
  <c r="E99" i="161"/>
  <c r="F98" i="161"/>
  <c r="E75" i="161"/>
  <c r="F75" i="161"/>
  <c r="C75" i="161"/>
  <c r="E98" i="161"/>
  <c r="F67" i="161"/>
  <c r="E67" i="161"/>
  <c r="D67" i="161"/>
  <c r="C67" i="161"/>
  <c r="E101" i="161"/>
  <c r="D101" i="161"/>
  <c r="F61" i="161"/>
  <c r="E61" i="161"/>
  <c r="D61" i="161"/>
  <c r="C61" i="161"/>
  <c r="E56" i="161"/>
  <c r="F56" i="161"/>
  <c r="D56" i="161"/>
  <c r="F52" i="161"/>
  <c r="E52" i="161"/>
  <c r="E48" i="161"/>
  <c r="F48" i="161"/>
  <c r="F43" i="161"/>
  <c r="F90" i="161" s="1"/>
  <c r="E43" i="161"/>
  <c r="E90" i="161" s="1"/>
  <c r="D43" i="161"/>
  <c r="D90" i="161" s="1"/>
  <c r="C43" i="161"/>
  <c r="C90" i="161" s="1"/>
  <c r="F42" i="161"/>
  <c r="F89" i="161" s="1"/>
  <c r="F30" i="161"/>
  <c r="E30" i="161"/>
  <c r="D30" i="161"/>
  <c r="C30" i="161"/>
  <c r="F92" i="161"/>
  <c r="E92" i="161"/>
  <c r="D92" i="161"/>
  <c r="F21" i="161"/>
  <c r="E21" i="161"/>
  <c r="C21" i="161"/>
  <c r="F8" i="161"/>
  <c r="E8" i="161"/>
  <c r="D8" i="161"/>
  <c r="D77" i="161" s="1"/>
  <c r="C8" i="161"/>
  <c r="C35" i="161" s="1"/>
  <c r="E99" i="153"/>
  <c r="E98" i="153"/>
  <c r="D108" i="153"/>
  <c r="E56" i="153"/>
  <c r="E67" i="153"/>
  <c r="H68" i="192" l="1"/>
  <c r="H69" i="192" s="1"/>
  <c r="J14" i="203"/>
  <c r="O13" i="203"/>
  <c r="O14" i="203" s="1"/>
  <c r="J19" i="203"/>
  <c r="C14" i="203"/>
  <c r="C19" i="203"/>
  <c r="H13" i="203"/>
  <c r="H14" i="203" s="1"/>
  <c r="Q14" i="203"/>
  <c r="V13" i="203"/>
  <c r="V14" i="203" s="1"/>
  <c r="Q19" i="203"/>
  <c r="X19" i="203"/>
  <c r="X14" i="203"/>
  <c r="AC13" i="203"/>
  <c r="AC14" i="203" s="1"/>
  <c r="BF28" i="205"/>
  <c r="BF25" i="205" s="1"/>
  <c r="BF51" i="205" s="1"/>
  <c r="K28" i="191"/>
  <c r="J25" i="191"/>
  <c r="J55" i="191" s="1"/>
  <c r="H18" i="191"/>
  <c r="I68" i="192"/>
  <c r="I69" i="192" s="1"/>
  <c r="H53" i="203"/>
  <c r="E63" i="188"/>
  <c r="E65" i="188"/>
  <c r="E62" i="188"/>
  <c r="E66" i="188"/>
  <c r="E64" i="188"/>
  <c r="D62" i="188"/>
  <c r="D65" i="188"/>
  <c r="D63" i="188"/>
  <c r="D66" i="188"/>
  <c r="D64" i="188"/>
  <c r="F66" i="188"/>
  <c r="F63" i="188"/>
  <c r="F65" i="188"/>
  <c r="F62" i="188"/>
  <c r="F64" i="188"/>
  <c r="C64" i="188"/>
  <c r="C63" i="188"/>
  <c r="C62" i="188"/>
  <c r="C65" i="188"/>
  <c r="C66" i="188"/>
  <c r="G275" i="147"/>
  <c r="F63" i="183"/>
  <c r="F60" i="183"/>
  <c r="F61" i="183"/>
  <c r="F62" i="183"/>
  <c r="F59" i="183"/>
  <c r="D63" i="183"/>
  <c r="D59" i="183"/>
  <c r="D60" i="183"/>
  <c r="D61" i="183"/>
  <c r="D62" i="183"/>
  <c r="E63" i="183"/>
  <c r="E60" i="183"/>
  <c r="E61" i="183"/>
  <c r="E62" i="183"/>
  <c r="E59" i="183"/>
  <c r="C59" i="183"/>
  <c r="C60" i="183"/>
  <c r="C63" i="183"/>
  <c r="C61" i="183"/>
  <c r="C62" i="183"/>
  <c r="C60" i="180"/>
  <c r="C59" i="180"/>
  <c r="C58" i="180"/>
  <c r="C57" i="180"/>
  <c r="C56" i="180"/>
  <c r="F56" i="180"/>
  <c r="F58" i="180"/>
  <c r="F57" i="180"/>
  <c r="F60" i="180"/>
  <c r="F66" i="149"/>
  <c r="F59" i="180"/>
  <c r="E57" i="180"/>
  <c r="E59" i="180"/>
  <c r="E56" i="180"/>
  <c r="E58" i="180"/>
  <c r="E60" i="180"/>
  <c r="D58" i="180"/>
  <c r="D57" i="180"/>
  <c r="D56" i="180"/>
  <c r="D60" i="180"/>
  <c r="D59" i="180"/>
  <c r="F63" i="149"/>
  <c r="F275" i="147"/>
  <c r="E275" i="147"/>
  <c r="D275" i="147"/>
  <c r="E36" i="147"/>
  <c r="E37" i="147" s="1"/>
  <c r="C36" i="147"/>
  <c r="C37" i="147" s="1"/>
  <c r="C275" i="147"/>
  <c r="C52" i="161"/>
  <c r="D52" i="161"/>
  <c r="D80" i="161" s="1"/>
  <c r="F99" i="153"/>
  <c r="E62" i="149"/>
  <c r="F62" i="149"/>
  <c r="F36" i="147"/>
  <c r="F67" i="147" s="1"/>
  <c r="F68" i="147" s="1"/>
  <c r="D36" i="147"/>
  <c r="D62" i="149"/>
  <c r="F104" i="161"/>
  <c r="F68" i="161"/>
  <c r="F83" i="161" s="1"/>
  <c r="F35" i="161"/>
  <c r="E35" i="161"/>
  <c r="E104" i="161"/>
  <c r="D68" i="161"/>
  <c r="E68" i="161"/>
  <c r="E83" i="161" s="1"/>
  <c r="F79" i="161"/>
  <c r="C79" i="161"/>
  <c r="C77" i="161"/>
  <c r="E77" i="161"/>
  <c r="F77" i="161"/>
  <c r="D79" i="161"/>
  <c r="E79" i="161"/>
  <c r="F82" i="161"/>
  <c r="E82" i="161"/>
  <c r="F96" i="161"/>
  <c r="F97" i="161" s="1"/>
  <c r="D82" i="161"/>
  <c r="E96" i="161"/>
  <c r="E97" i="161" s="1"/>
  <c r="C82" i="161"/>
  <c r="D96" i="161"/>
  <c r="D97" i="161" s="1"/>
  <c r="C80" i="161"/>
  <c r="C57" i="161"/>
  <c r="C81" i="161" s="1"/>
  <c r="D57" i="161"/>
  <c r="C68" i="161"/>
  <c r="C83" i="161" s="1"/>
  <c r="E80" i="161"/>
  <c r="E57" i="161"/>
  <c r="F57" i="161"/>
  <c r="F80" i="161"/>
  <c r="C78" i="161"/>
  <c r="D78" i="161"/>
  <c r="E78" i="161"/>
  <c r="F78" i="161"/>
  <c r="D75" i="161"/>
  <c r="D35" i="161"/>
  <c r="D98" i="161"/>
  <c r="D104" i="161" s="1"/>
  <c r="D31" i="153"/>
  <c r="E30" i="21"/>
  <c r="F30" i="21"/>
  <c r="F98" i="21"/>
  <c r="C108" i="21"/>
  <c r="C63" i="149"/>
  <c r="H71" i="192" l="1"/>
  <c r="Q36" i="203"/>
  <c r="V19" i="203"/>
  <c r="Q61" i="203"/>
  <c r="Q20" i="203"/>
  <c r="H19" i="203"/>
  <c r="C20" i="203"/>
  <c r="C36" i="203"/>
  <c r="C61" i="203"/>
  <c r="X36" i="203"/>
  <c r="X61" i="203"/>
  <c r="AC19" i="203"/>
  <c r="X20" i="203"/>
  <c r="J36" i="203"/>
  <c r="J20" i="203"/>
  <c r="O19" i="203"/>
  <c r="J61" i="203"/>
  <c r="I18" i="191"/>
  <c r="I71" i="192" s="1"/>
  <c r="J68" i="192"/>
  <c r="J69" i="192" s="1"/>
  <c r="K25" i="191"/>
  <c r="K55" i="191" s="1"/>
  <c r="BO28" i="205"/>
  <c r="H67" i="191"/>
  <c r="AN18" i="205"/>
  <c r="AN13" i="205" s="1"/>
  <c r="AN23" i="205" s="1"/>
  <c r="AN53" i="205" s="1"/>
  <c r="H66" i="191"/>
  <c r="H13" i="191"/>
  <c r="H23" i="191" s="1"/>
  <c r="E67" i="147"/>
  <c r="C67" i="147"/>
  <c r="F169" i="147"/>
  <c r="F170" i="147" s="1"/>
  <c r="F276" i="147"/>
  <c r="F37" i="147"/>
  <c r="C37" i="149"/>
  <c r="C47" i="149"/>
  <c r="C64" i="149"/>
  <c r="D47" i="149"/>
  <c r="D67" i="147"/>
  <c r="D37" i="147"/>
  <c r="E8" i="149"/>
  <c r="E63" i="149"/>
  <c r="E65" i="149"/>
  <c r="E66" i="149"/>
  <c r="F65" i="149"/>
  <c r="F99" i="21"/>
  <c r="D64" i="149"/>
  <c r="E47" i="149"/>
  <c r="E64" i="149"/>
  <c r="F64" i="149"/>
  <c r="D63" i="149"/>
  <c r="D66" i="149"/>
  <c r="D65" i="149"/>
  <c r="D37" i="149"/>
  <c r="C18" i="6" s="1"/>
  <c r="C30" i="6" s="1"/>
  <c r="F69" i="161"/>
  <c r="F86" i="161" s="1"/>
  <c r="E69" i="161"/>
  <c r="E86" i="161" s="1"/>
  <c r="D69" i="161"/>
  <c r="D86" i="161" s="1"/>
  <c r="D83" i="161"/>
  <c r="C69" i="161"/>
  <c r="C86" i="161" s="1"/>
  <c r="D94" i="161"/>
  <c r="D81" i="161"/>
  <c r="F94" i="161"/>
  <c r="F81" i="161"/>
  <c r="E94" i="161"/>
  <c r="E81" i="161"/>
  <c r="AC61" i="203" l="1"/>
  <c r="AC20" i="203"/>
  <c r="H20" i="203"/>
  <c r="H61" i="203"/>
  <c r="C42" i="203"/>
  <c r="H36" i="203"/>
  <c r="H37" i="203" s="1"/>
  <c r="C37" i="203"/>
  <c r="O61" i="203"/>
  <c r="O20" i="203"/>
  <c r="X37" i="203"/>
  <c r="X42" i="203"/>
  <c r="AC36" i="203"/>
  <c r="AC37" i="203" s="1"/>
  <c r="V61" i="203"/>
  <c r="V20" i="203"/>
  <c r="J37" i="203"/>
  <c r="O36" i="203"/>
  <c r="O37" i="203" s="1"/>
  <c r="J42" i="203"/>
  <c r="Q42" i="203"/>
  <c r="Q37" i="203"/>
  <c r="V36" i="203"/>
  <c r="V37" i="203" s="1"/>
  <c r="BO25" i="205"/>
  <c r="BO51" i="205" s="1"/>
  <c r="H65" i="191"/>
  <c r="H57" i="191"/>
  <c r="K68" i="192"/>
  <c r="K69" i="192" s="1"/>
  <c r="J18" i="191"/>
  <c r="J71" i="192" s="1"/>
  <c r="AW18" i="205"/>
  <c r="AW13" i="205" s="1"/>
  <c r="AW23" i="205" s="1"/>
  <c r="AW53" i="205" s="1"/>
  <c r="I13" i="191"/>
  <c r="I23" i="191" s="1"/>
  <c r="I66" i="191"/>
  <c r="I67" i="191"/>
  <c r="E276" i="147"/>
  <c r="E68" i="147"/>
  <c r="E169" i="147"/>
  <c r="E170" i="147" s="1"/>
  <c r="D276" i="147"/>
  <c r="D68" i="147"/>
  <c r="C169" i="147"/>
  <c r="C170" i="147" s="1"/>
  <c r="C68" i="147"/>
  <c r="C276" i="147"/>
  <c r="D169" i="147"/>
  <c r="D170" i="147" s="1"/>
  <c r="O42" i="203" l="1"/>
  <c r="J62" i="203"/>
  <c r="J43" i="203"/>
  <c r="J48" i="203"/>
  <c r="AC42" i="203"/>
  <c r="X43" i="203"/>
  <c r="X62" i="203"/>
  <c r="X48" i="203"/>
  <c r="C43" i="203"/>
  <c r="C48" i="203"/>
  <c r="C56" i="203" s="1"/>
  <c r="H42" i="203"/>
  <c r="C62" i="203"/>
  <c r="Q62" i="203"/>
  <c r="Q48" i="203"/>
  <c r="Q43" i="203"/>
  <c r="V42" i="203"/>
  <c r="K18" i="191"/>
  <c r="K71" i="192" s="1"/>
  <c r="BF18" i="205"/>
  <c r="BF13" i="205" s="1"/>
  <c r="BF23" i="205" s="1"/>
  <c r="BF53" i="205" s="1"/>
  <c r="J67" i="191"/>
  <c r="J13" i="191"/>
  <c r="J23" i="191" s="1"/>
  <c r="J66" i="191"/>
  <c r="I65" i="191"/>
  <c r="I57" i="191"/>
  <c r="D43" i="21"/>
  <c r="E43" i="21"/>
  <c r="F43" i="21"/>
  <c r="C43" i="21"/>
  <c r="C8" i="21"/>
  <c r="F38" i="149"/>
  <c r="X38" i="205" s="1"/>
  <c r="F33" i="149"/>
  <c r="H62" i="203" l="1"/>
  <c r="H43" i="203"/>
  <c r="D111" i="6"/>
  <c r="AC43" i="203"/>
  <c r="AC62" i="203"/>
  <c r="C111" i="6"/>
  <c r="V43" i="203"/>
  <c r="V62" i="203"/>
  <c r="AC48" i="203"/>
  <c r="X51" i="203"/>
  <c r="X63" i="203"/>
  <c r="X49" i="203"/>
  <c r="X56" i="203"/>
  <c r="Q51" i="203"/>
  <c r="Q49" i="203"/>
  <c r="V48" i="203"/>
  <c r="Q63" i="203"/>
  <c r="Q56" i="203"/>
  <c r="H48" i="203"/>
  <c r="C63" i="203"/>
  <c r="C49" i="203"/>
  <c r="C51" i="203"/>
  <c r="O48" i="203"/>
  <c r="J51" i="203"/>
  <c r="J63" i="203"/>
  <c r="J49" i="203"/>
  <c r="J56" i="203"/>
  <c r="O43" i="203"/>
  <c r="O62" i="203"/>
  <c r="J65" i="191"/>
  <c r="J57" i="191"/>
  <c r="BO18" i="205"/>
  <c r="BO13" i="205" s="1"/>
  <c r="BO23" i="205" s="1"/>
  <c r="BO53" i="205" s="1"/>
  <c r="K13" i="191"/>
  <c r="K23" i="191" s="1"/>
  <c r="K67" i="191"/>
  <c r="K66" i="191"/>
  <c r="AC38" i="205"/>
  <c r="D114" i="6" s="1"/>
  <c r="D113" i="6" s="1"/>
  <c r="X37" i="205"/>
  <c r="AC37" i="205" s="1"/>
  <c r="F37" i="149"/>
  <c r="E18" i="6" s="1"/>
  <c r="D8" i="149"/>
  <c r="C8" i="149"/>
  <c r="C62" i="149"/>
  <c r="C65" i="149"/>
  <c r="C66" i="149"/>
  <c r="D98" i="21"/>
  <c r="E98" i="21"/>
  <c r="E99" i="21"/>
  <c r="F47" i="149"/>
  <c r="F8" i="149"/>
  <c r="O63" i="203" l="1"/>
  <c r="O49" i="203"/>
  <c r="AC51" i="203"/>
  <c r="AC52" i="203" s="1"/>
  <c r="X52" i="203"/>
  <c r="J57" i="203"/>
  <c r="O56" i="203"/>
  <c r="J64" i="203"/>
  <c r="C52" i="203"/>
  <c r="H51" i="203"/>
  <c r="H52" i="203" s="1"/>
  <c r="F111" i="6"/>
  <c r="D112" i="6"/>
  <c r="F112" i="6" s="1"/>
  <c r="I112" i="6" s="1"/>
  <c r="C112" i="6"/>
  <c r="G111" i="6"/>
  <c r="V51" i="203"/>
  <c r="V52" i="203" s="1"/>
  <c r="Q52" i="203"/>
  <c r="C64" i="203"/>
  <c r="C57" i="203"/>
  <c r="H56" i="203"/>
  <c r="AC49" i="203"/>
  <c r="AC63" i="203"/>
  <c r="H63" i="203"/>
  <c r="H49" i="203"/>
  <c r="V56" i="203"/>
  <c r="Q64" i="203"/>
  <c r="Q57" i="203"/>
  <c r="V49" i="203"/>
  <c r="V63" i="203"/>
  <c r="J52" i="203"/>
  <c r="O51" i="203"/>
  <c r="O52" i="203" s="1"/>
  <c r="X64" i="203"/>
  <c r="AC56" i="203"/>
  <c r="X57" i="203"/>
  <c r="K65" i="191"/>
  <c r="K57" i="191"/>
  <c r="F18" i="6"/>
  <c r="G18" i="6" s="1"/>
  <c r="E30" i="6"/>
  <c r="F30" i="6" s="1"/>
  <c r="G30" i="6" s="1"/>
  <c r="K33" i="149"/>
  <c r="L33" i="149"/>
  <c r="J26" i="149"/>
  <c r="K26" i="149" s="1"/>
  <c r="J27" i="149"/>
  <c r="K27" i="149" s="1"/>
  <c r="L27" i="149" s="1"/>
  <c r="K35" i="148"/>
  <c r="L35" i="148"/>
  <c r="G112" i="6" l="1"/>
  <c r="O64" i="203"/>
  <c r="O57" i="203"/>
  <c r="V57" i="203"/>
  <c r="V64" i="203"/>
  <c r="AC64" i="203"/>
  <c r="AC57" i="203"/>
  <c r="H57" i="203"/>
  <c r="H64" i="203"/>
  <c r="L26" i="149"/>
  <c r="J19" i="149"/>
  <c r="K19" i="149" l="1"/>
  <c r="K20" i="148" s="1"/>
  <c r="K15" i="148" s="1"/>
  <c r="J20" i="148"/>
  <c r="J15" i="148" s="1"/>
  <c r="L19" i="149"/>
  <c r="L20" i="148" s="1"/>
  <c r="L15" i="148" s="1"/>
  <c r="K13" i="149"/>
  <c r="K23" i="149" s="1"/>
  <c r="L13" i="149" l="1"/>
  <c r="L23" i="149" s="1"/>
  <c r="N157" i="6" l="1"/>
  <c r="Q151" i="6"/>
  <c r="S151" i="6"/>
  <c r="Q157" i="6" l="1"/>
  <c r="R148" i="6"/>
  <c r="R154" i="6"/>
  <c r="R151" i="6"/>
  <c r="M148" i="6"/>
  <c r="T148" i="6"/>
  <c r="T151" i="6" s="1"/>
  <c r="R153" i="6"/>
  <c r="M157" i="6" l="1"/>
  <c r="R157" i="6"/>
  <c r="J35" i="148" l="1"/>
  <c r="L47" i="149"/>
  <c r="K47" i="149"/>
  <c r="J47" i="149"/>
  <c r="J33" i="149"/>
  <c r="J13" i="149" l="1"/>
  <c r="J23" i="149" s="1"/>
  <c r="L37" i="149" l="1"/>
  <c r="K37" i="149"/>
  <c r="J37" i="149" l="1"/>
  <c r="L171" i="147" l="1"/>
  <c r="K171" i="147"/>
  <c r="J171" i="147"/>
  <c r="I171" i="147"/>
  <c r="L260" i="147"/>
  <c r="L9" i="148" s="1"/>
  <c r="K260" i="147"/>
  <c r="K9" i="148" s="1"/>
  <c r="J260" i="147"/>
  <c r="J9" i="148" s="1"/>
  <c r="I260" i="147"/>
  <c r="L265" i="147"/>
  <c r="L11" i="148" s="1"/>
  <c r="K265" i="147"/>
  <c r="K11" i="148" s="1"/>
  <c r="J265" i="147"/>
  <c r="J11" i="148" s="1"/>
  <c r="I265" i="147"/>
  <c r="L233" i="147"/>
  <c r="K233" i="147"/>
  <c r="J233" i="147"/>
  <c r="I233" i="147"/>
  <c r="L226" i="147"/>
  <c r="K226" i="147"/>
  <c r="J226" i="147"/>
  <c r="I226" i="147"/>
  <c r="L220" i="147"/>
  <c r="K220" i="147"/>
  <c r="J220" i="147"/>
  <c r="I220" i="147"/>
  <c r="F105" i="21" l="1"/>
  <c r="F105" i="153"/>
  <c r="E105" i="153"/>
  <c r="F101" i="153"/>
  <c r="E101" i="153"/>
  <c r="F100" i="153"/>
  <c r="E100" i="153"/>
  <c r="F98" i="153"/>
  <c r="F92" i="153"/>
  <c r="E92" i="153"/>
  <c r="F75" i="153"/>
  <c r="E75" i="153"/>
  <c r="D75" i="153"/>
  <c r="F67" i="153"/>
  <c r="D67" i="153"/>
  <c r="F61" i="153"/>
  <c r="E61" i="153"/>
  <c r="E68" i="153" s="1"/>
  <c r="D61" i="153"/>
  <c r="F56" i="153"/>
  <c r="D56" i="153"/>
  <c r="F52" i="153"/>
  <c r="E52" i="153"/>
  <c r="D52" i="153"/>
  <c r="F48" i="153"/>
  <c r="E48" i="153"/>
  <c r="D48" i="153"/>
  <c r="F43" i="153"/>
  <c r="F90" i="153" s="1"/>
  <c r="E43" i="153"/>
  <c r="E90" i="153" s="1"/>
  <c r="D43" i="153"/>
  <c r="D90" i="153" s="1"/>
  <c r="F42" i="153"/>
  <c r="F89" i="153" s="1"/>
  <c r="F30" i="153"/>
  <c r="E30" i="153"/>
  <c r="D30" i="153"/>
  <c r="E21" i="153"/>
  <c r="D21" i="153"/>
  <c r="F8" i="153"/>
  <c r="E8" i="153"/>
  <c r="E79" i="153" s="1"/>
  <c r="D8" i="153"/>
  <c r="D79" i="153" s="1"/>
  <c r="E105" i="21"/>
  <c r="E104" i="153" l="1"/>
  <c r="F79" i="153"/>
  <c r="F35" i="153"/>
  <c r="F80" i="153"/>
  <c r="E83" i="153"/>
  <c r="F68" i="153"/>
  <c r="F83" i="153" s="1"/>
  <c r="F82" i="153"/>
  <c r="D68" i="153"/>
  <c r="D83" i="153" s="1"/>
  <c r="F57" i="153"/>
  <c r="F81" i="153" s="1"/>
  <c r="E35" i="153"/>
  <c r="D80" i="153"/>
  <c r="E57" i="153"/>
  <c r="F104" i="153"/>
  <c r="F96" i="153"/>
  <c r="F97" i="153" s="1"/>
  <c r="E77" i="153"/>
  <c r="D82" i="153"/>
  <c r="E78" i="153"/>
  <c r="E96" i="153"/>
  <c r="E97" i="153" s="1"/>
  <c r="E82" i="153"/>
  <c r="F78" i="153"/>
  <c r="D35" i="153"/>
  <c r="D78" i="153"/>
  <c r="D77" i="153"/>
  <c r="E80" i="153"/>
  <c r="D57" i="153"/>
  <c r="F77" i="153"/>
  <c r="E81" i="153" l="1"/>
  <c r="E69" i="153"/>
  <c r="E86" i="153" s="1"/>
  <c r="F69" i="153"/>
  <c r="F86" i="153" s="1"/>
  <c r="F94" i="153"/>
  <c r="D81" i="153"/>
  <c r="E94" i="153"/>
  <c r="D69" i="153"/>
  <c r="D86" i="153" s="1"/>
  <c r="E107" i="153" l="1"/>
  <c r="K33" i="147" l="1"/>
  <c r="L33" i="147"/>
  <c r="I33" i="147"/>
  <c r="J33" i="147"/>
  <c r="I61" i="183" l="1"/>
  <c r="I62" i="183"/>
  <c r="I63" i="183"/>
  <c r="I59" i="183"/>
  <c r="I60" i="183"/>
  <c r="J66" i="149"/>
  <c r="L59" i="180"/>
  <c r="L58" i="180"/>
  <c r="L60" i="180"/>
  <c r="L57" i="180"/>
  <c r="L56" i="180"/>
  <c r="L66" i="149"/>
  <c r="K66" i="149"/>
  <c r="J275" i="147"/>
  <c r="I275" i="147"/>
  <c r="L275" i="147"/>
  <c r="K275" i="147"/>
  <c r="J64" i="149"/>
  <c r="K64" i="149"/>
  <c r="J36" i="147"/>
  <c r="J37" i="147" s="1"/>
  <c r="I36" i="147"/>
  <c r="J63" i="149"/>
  <c r="L64" i="149"/>
  <c r="K36" i="147"/>
  <c r="I37" i="147" l="1"/>
  <c r="K63" i="149"/>
  <c r="I67" i="147"/>
  <c r="I68" i="147" s="1"/>
  <c r="J67" i="147"/>
  <c r="J68" i="147" s="1"/>
  <c r="L36" i="147"/>
  <c r="K37" i="147"/>
  <c r="I276" i="147" l="1"/>
  <c r="L63" i="149"/>
  <c r="J276" i="147"/>
  <c r="K67" i="147"/>
  <c r="K68" i="147" s="1"/>
  <c r="L37" i="147"/>
  <c r="I255" i="147" l="1"/>
  <c r="K276" i="147"/>
  <c r="L67" i="147"/>
  <c r="L68" i="147" s="1"/>
  <c r="J255" i="147" l="1"/>
  <c r="L276" i="147"/>
  <c r="J65" i="149" l="1"/>
  <c r="J62" i="149"/>
  <c r="K255" i="147"/>
  <c r="K65" i="149" l="1"/>
  <c r="K62" i="149"/>
  <c r="I169" i="147"/>
  <c r="I170" i="147" s="1"/>
  <c r="L255" i="147"/>
  <c r="L62" i="149" l="1"/>
  <c r="L65" i="149"/>
  <c r="I218" i="147"/>
  <c r="J169" i="147"/>
  <c r="J170" i="147" s="1"/>
  <c r="I66" i="183" l="1"/>
  <c r="I219" i="147"/>
  <c r="J218" i="147"/>
  <c r="K169" i="147"/>
  <c r="K170" i="147" s="1"/>
  <c r="L169" i="147"/>
  <c r="L170" i="147" s="1"/>
  <c r="I277" i="147"/>
  <c r="J219" i="147" l="1"/>
  <c r="J69" i="149"/>
  <c r="L218" i="147"/>
  <c r="L63" i="180" s="1"/>
  <c r="K218" i="147"/>
  <c r="J277" i="147"/>
  <c r="K219" i="147" l="1"/>
  <c r="L219" i="147"/>
  <c r="I16" i="6"/>
  <c r="K69" i="149"/>
  <c r="L69" i="149"/>
  <c r="K277" i="147"/>
  <c r="L277" i="147"/>
  <c r="D167" i="6" l="1"/>
  <c r="D169" i="6" s="1"/>
  <c r="D171" i="6" s="1"/>
  <c r="E167" i="6" l="1"/>
  <c r="F167" i="6" l="1"/>
  <c r="E169" i="6"/>
  <c r="E171" i="6" s="1"/>
  <c r="F101" i="21"/>
  <c r="F100" i="21"/>
  <c r="F92" i="21"/>
  <c r="F75" i="21"/>
  <c r="F67" i="21"/>
  <c r="F61" i="21"/>
  <c r="F56" i="21"/>
  <c r="F52" i="21"/>
  <c r="F48" i="21"/>
  <c r="F90" i="21"/>
  <c r="F218" i="147"/>
  <c r="F69" i="188" s="1"/>
  <c r="F8" i="21"/>
  <c r="F42" i="21"/>
  <c r="F89" i="21" s="1"/>
  <c r="F63" i="180" l="1"/>
  <c r="F66" i="183"/>
  <c r="F219" i="147"/>
  <c r="E15" i="6"/>
  <c r="F277" i="147"/>
  <c r="F13" i="149"/>
  <c r="F69" i="149"/>
  <c r="F237" i="147"/>
  <c r="F78" i="21"/>
  <c r="F82" i="21"/>
  <c r="F104" i="21"/>
  <c r="F57" i="21"/>
  <c r="F81" i="21" s="1"/>
  <c r="F77" i="21"/>
  <c r="F79" i="21"/>
  <c r="F80" i="21"/>
  <c r="F68" i="21"/>
  <c r="F83" i="21" s="1"/>
  <c r="E101" i="21"/>
  <c r="E100" i="21"/>
  <c r="E92" i="21"/>
  <c r="F238" i="147" l="1"/>
  <c r="F8" i="189"/>
  <c r="F12" i="189" s="1"/>
  <c r="F28" i="189" s="1"/>
  <c r="F23" i="149"/>
  <c r="O16" i="6"/>
  <c r="O19" i="6" s="1"/>
  <c r="E27" i="6" s="1"/>
  <c r="E29" i="6" s="1"/>
  <c r="E31" i="6" s="1"/>
  <c r="E17" i="6"/>
  <c r="E19" i="6" s="1"/>
  <c r="F278" i="147"/>
  <c r="F8" i="148"/>
  <c r="S8" i="206" s="1"/>
  <c r="X8" i="206" s="1"/>
  <c r="F67" i="149"/>
  <c r="F253" i="147"/>
  <c r="F254" i="147" s="1"/>
  <c r="F271" i="147"/>
  <c r="F29" i="188" s="1"/>
  <c r="E104" i="21"/>
  <c r="F69" i="21"/>
  <c r="F86" i="21" s="1"/>
  <c r="G28" i="188" l="1"/>
  <c r="F25" i="188"/>
  <c r="F29" i="149"/>
  <c r="F272" i="147"/>
  <c r="F25" i="149"/>
  <c r="F12" i="148"/>
  <c r="F279" i="147"/>
  <c r="I237" i="147"/>
  <c r="D92" i="21"/>
  <c r="D101" i="21"/>
  <c r="D100" i="21"/>
  <c r="D56" i="21"/>
  <c r="D67" i="21"/>
  <c r="D61" i="21"/>
  <c r="D52" i="21"/>
  <c r="D48" i="21"/>
  <c r="D90" i="21"/>
  <c r="D30" i="21"/>
  <c r="D21" i="21"/>
  <c r="D218" i="147" s="1"/>
  <c r="D69" i="188" s="1"/>
  <c r="D8" i="21"/>
  <c r="S12" i="206" l="1"/>
  <c r="X12" i="206" s="1"/>
  <c r="F57" i="188"/>
  <c r="F59" i="188" s="1"/>
  <c r="F68" i="188"/>
  <c r="X29" i="205"/>
  <c r="I28" i="188"/>
  <c r="AM28" i="205" s="1"/>
  <c r="AT28" i="205" s="1"/>
  <c r="G25" i="188"/>
  <c r="F28" i="148"/>
  <c r="G28" i="149"/>
  <c r="AE28" i="205" s="1"/>
  <c r="D63" i="180"/>
  <c r="D66" i="183"/>
  <c r="D219" i="147"/>
  <c r="C15" i="6"/>
  <c r="F57" i="149"/>
  <c r="F59" i="149" s="1"/>
  <c r="E20" i="6"/>
  <c r="E32" i="6" s="1"/>
  <c r="F68" i="149"/>
  <c r="I238" i="147"/>
  <c r="D277" i="147"/>
  <c r="D69" i="163"/>
  <c r="E73" i="148"/>
  <c r="D13" i="149"/>
  <c r="D23" i="149" s="1"/>
  <c r="D69" i="149"/>
  <c r="D237" i="147"/>
  <c r="D79" i="21"/>
  <c r="D68" i="21"/>
  <c r="I278" i="147"/>
  <c r="J237" i="147"/>
  <c r="J8" i="148" s="1"/>
  <c r="J12" i="148" s="1"/>
  <c r="D82" i="21"/>
  <c r="D77" i="21"/>
  <c r="D80" i="21"/>
  <c r="D78" i="21"/>
  <c r="D75" i="21"/>
  <c r="D57" i="21"/>
  <c r="D81" i="21" s="1"/>
  <c r="D105" i="21"/>
  <c r="D104" i="21"/>
  <c r="G62" i="189" l="1"/>
  <c r="G68" i="189" s="1"/>
  <c r="G71" i="189" s="1"/>
  <c r="G74" i="189" s="1"/>
  <c r="I73" i="189" s="1"/>
  <c r="I74" i="189" s="1"/>
  <c r="L51" i="206"/>
  <c r="G68" i="188"/>
  <c r="G57" i="188"/>
  <c r="G59" i="188" s="1"/>
  <c r="AC29" i="205"/>
  <c r="X25" i="205"/>
  <c r="AJ28" i="205"/>
  <c r="AJ25" i="205" s="1"/>
  <c r="AJ51" i="205" s="1"/>
  <c r="AJ53" i="205" s="1"/>
  <c r="AE25" i="205"/>
  <c r="AE51" i="205" s="1"/>
  <c r="AE53" i="205" s="1"/>
  <c r="D238" i="147"/>
  <c r="D8" i="189"/>
  <c r="D12" i="189" s="1"/>
  <c r="D28" i="189" s="1"/>
  <c r="S28" i="206"/>
  <c r="X28" i="206" s="1"/>
  <c r="G25" i="149"/>
  <c r="G57" i="149" s="1"/>
  <c r="G59" i="149" s="1"/>
  <c r="G62" i="148"/>
  <c r="G68" i="148" s="1"/>
  <c r="G71" i="148" s="1"/>
  <c r="G74" i="148" s="1"/>
  <c r="G76" i="148" s="1"/>
  <c r="C17" i="6"/>
  <c r="C19" i="6" s="1"/>
  <c r="M16" i="6"/>
  <c r="M19" i="6" s="1"/>
  <c r="C27" i="6" s="1"/>
  <c r="J28" i="148"/>
  <c r="J238" i="147"/>
  <c r="D71" i="163"/>
  <c r="D278" i="147"/>
  <c r="D8" i="148"/>
  <c r="E8" i="206" s="1"/>
  <c r="J8" i="206" s="1"/>
  <c r="E68" i="163"/>
  <c r="D67" i="149"/>
  <c r="D271" i="147"/>
  <c r="D29" i="188" s="1"/>
  <c r="D253" i="147"/>
  <c r="D254" i="147" s="1"/>
  <c r="D83" i="21"/>
  <c r="J278" i="147"/>
  <c r="L237" i="147"/>
  <c r="L8" i="148" s="1"/>
  <c r="L12" i="148" s="1"/>
  <c r="K237" i="147"/>
  <c r="K8" i="148" s="1"/>
  <c r="K12" i="148" s="1"/>
  <c r="D69" i="21"/>
  <c r="D86" i="21" s="1"/>
  <c r="G76" i="189" l="1"/>
  <c r="T51" i="206"/>
  <c r="T52" i="206" s="1"/>
  <c r="AA51" i="206" s="1"/>
  <c r="AA52" i="206" s="1"/>
  <c r="AI51" i="206" s="1"/>
  <c r="AI52" i="206" s="1"/>
  <c r="AR51" i="206" s="1"/>
  <c r="AR52" i="206" s="1"/>
  <c r="BA51" i="206" s="1"/>
  <c r="BA52" i="206" s="1"/>
  <c r="BJ51" i="206" s="1"/>
  <c r="BJ52" i="206" s="1"/>
  <c r="X51" i="205"/>
  <c r="AC25" i="205"/>
  <c r="G68" i="149"/>
  <c r="J73" i="189"/>
  <c r="I18" i="188"/>
  <c r="I76" i="189" s="1"/>
  <c r="C29" i="6"/>
  <c r="C31" i="6" s="1"/>
  <c r="L28" i="148"/>
  <c r="L238" i="147"/>
  <c r="K28" i="148"/>
  <c r="K238" i="147"/>
  <c r="D29" i="149"/>
  <c r="D272" i="147"/>
  <c r="D12" i="148"/>
  <c r="E12" i="206" s="1"/>
  <c r="J12" i="206" s="1"/>
  <c r="D279" i="147"/>
  <c r="L278" i="147"/>
  <c r="K278" i="147"/>
  <c r="J29" i="205" l="1"/>
  <c r="O29" i="205" s="1"/>
  <c r="I13" i="188"/>
  <c r="I23" i="188" s="1"/>
  <c r="AM18" i="205"/>
  <c r="X53" i="205"/>
  <c r="AC51" i="205"/>
  <c r="AC53" i="205" s="1"/>
  <c r="D28" i="148"/>
  <c r="BB41" i="23"/>
  <c r="BB37" i="23"/>
  <c r="BB36" i="23"/>
  <c r="BB32" i="23"/>
  <c r="BB31" i="23"/>
  <c r="BB27" i="23"/>
  <c r="BB26" i="23"/>
  <c r="BB22" i="23"/>
  <c r="BB21" i="23"/>
  <c r="BB20" i="23"/>
  <c r="BB16" i="23"/>
  <c r="BB15" i="23"/>
  <c r="BB12" i="23"/>
  <c r="BB9" i="23"/>
  <c r="BB8" i="23"/>
  <c r="BA41" i="23"/>
  <c r="BA37" i="23"/>
  <c r="BA36" i="23"/>
  <c r="BA32" i="23"/>
  <c r="BA31" i="23"/>
  <c r="BA27" i="23"/>
  <c r="BA26" i="23"/>
  <c r="BA22" i="23"/>
  <c r="BA21" i="23"/>
  <c r="BA20" i="23"/>
  <c r="BA16" i="23"/>
  <c r="BA15" i="23"/>
  <c r="BA12" i="23"/>
  <c r="BA9" i="23"/>
  <c r="BA8" i="23"/>
  <c r="AZ41" i="23"/>
  <c r="AZ37" i="23"/>
  <c r="AZ36" i="23"/>
  <c r="AZ32" i="23"/>
  <c r="AZ31" i="23"/>
  <c r="AZ27" i="23"/>
  <c r="AZ26" i="23"/>
  <c r="AZ22" i="23"/>
  <c r="AZ21" i="23"/>
  <c r="AZ20" i="23"/>
  <c r="AZ16" i="23"/>
  <c r="AZ15" i="23"/>
  <c r="AZ12" i="23"/>
  <c r="AZ9" i="23"/>
  <c r="AZ8" i="23"/>
  <c r="AY41" i="23"/>
  <c r="AY27" i="23"/>
  <c r="AY26" i="23"/>
  <c r="AV41" i="23"/>
  <c r="AV37" i="23"/>
  <c r="AV36" i="23"/>
  <c r="AV32" i="23"/>
  <c r="AV31" i="23"/>
  <c r="AV27" i="23"/>
  <c r="AV26" i="23"/>
  <c r="AV22" i="23"/>
  <c r="AV21" i="23"/>
  <c r="AV20" i="23"/>
  <c r="AV16" i="23"/>
  <c r="AV15" i="23"/>
  <c r="AV12" i="23"/>
  <c r="AV9" i="23"/>
  <c r="AV8" i="23"/>
  <c r="AU41" i="23"/>
  <c r="AU37" i="23"/>
  <c r="AU36" i="23"/>
  <c r="AU32" i="23"/>
  <c r="AU31" i="23"/>
  <c r="AU27" i="23"/>
  <c r="AU26" i="23"/>
  <c r="AU22" i="23"/>
  <c r="AU21" i="23"/>
  <c r="AU20" i="23"/>
  <c r="AU16" i="23"/>
  <c r="AU15" i="23"/>
  <c r="AU12" i="23"/>
  <c r="AU9" i="23"/>
  <c r="AU8" i="23"/>
  <c r="AT15" i="23"/>
  <c r="AT41" i="23"/>
  <c r="AT37" i="23"/>
  <c r="AT36" i="23"/>
  <c r="AT32" i="23"/>
  <c r="AT31" i="23"/>
  <c r="AT27" i="23"/>
  <c r="AT26" i="23"/>
  <c r="AT22" i="23"/>
  <c r="AT21" i="23"/>
  <c r="AT20" i="23"/>
  <c r="AT16" i="23"/>
  <c r="AT12" i="23"/>
  <c r="AT9" i="23"/>
  <c r="AT8" i="23"/>
  <c r="AS41" i="23"/>
  <c r="AS27" i="23"/>
  <c r="AS26" i="23"/>
  <c r="AP41" i="23"/>
  <c r="AP37" i="23"/>
  <c r="AP36" i="23"/>
  <c r="AP32" i="23"/>
  <c r="AP31" i="23"/>
  <c r="AP27" i="23"/>
  <c r="AP26" i="23"/>
  <c r="AP22" i="23"/>
  <c r="AP21" i="23"/>
  <c r="AP20" i="23"/>
  <c r="AP16" i="23"/>
  <c r="AP15" i="23"/>
  <c r="AP12" i="23"/>
  <c r="AP9" i="23"/>
  <c r="AP8" i="23"/>
  <c r="AO41" i="23"/>
  <c r="AO37" i="23"/>
  <c r="AO36" i="23"/>
  <c r="AO32" i="23"/>
  <c r="AO31" i="23"/>
  <c r="AO27" i="23"/>
  <c r="AO26" i="23"/>
  <c r="AO22" i="23"/>
  <c r="AO21" i="23"/>
  <c r="AO20" i="23"/>
  <c r="AO16" i="23"/>
  <c r="AO15" i="23"/>
  <c r="AO12" i="23"/>
  <c r="AO9" i="23"/>
  <c r="AO8" i="23"/>
  <c r="AN41" i="23"/>
  <c r="AN37" i="23"/>
  <c r="AN36" i="23"/>
  <c r="AN32" i="23"/>
  <c r="AN31" i="23"/>
  <c r="AN27" i="23"/>
  <c r="AN26" i="23"/>
  <c r="AN22" i="23"/>
  <c r="AN21" i="23"/>
  <c r="AN20" i="23"/>
  <c r="AN16" i="23"/>
  <c r="AN15" i="23"/>
  <c r="AN12" i="23"/>
  <c r="AN9" i="23"/>
  <c r="AN8" i="23"/>
  <c r="AM41" i="23"/>
  <c r="AM27" i="23"/>
  <c r="AM26" i="23"/>
  <c r="AJ41" i="23"/>
  <c r="AJ37" i="23"/>
  <c r="AJ36" i="23"/>
  <c r="AJ32" i="23"/>
  <c r="AJ31" i="23"/>
  <c r="AJ27" i="23"/>
  <c r="AJ26" i="23"/>
  <c r="AJ22" i="23"/>
  <c r="AJ21" i="23"/>
  <c r="AJ20" i="23"/>
  <c r="AJ16" i="23"/>
  <c r="AJ15" i="23"/>
  <c r="AJ12" i="23"/>
  <c r="AJ9" i="23"/>
  <c r="AJ8" i="23"/>
  <c r="AI41" i="23"/>
  <c r="AI37" i="23"/>
  <c r="AI36" i="23"/>
  <c r="AI32" i="23"/>
  <c r="AI31" i="23"/>
  <c r="AI27" i="23"/>
  <c r="AI26" i="23"/>
  <c r="AI22" i="23"/>
  <c r="AI21" i="23"/>
  <c r="AI20" i="23"/>
  <c r="AI16" i="23"/>
  <c r="AI15" i="23"/>
  <c r="AI12" i="23"/>
  <c r="AI9" i="23"/>
  <c r="AI8" i="23"/>
  <c r="AH41" i="23"/>
  <c r="AH37" i="23"/>
  <c r="AH36" i="23"/>
  <c r="AH32" i="23"/>
  <c r="AH31" i="23"/>
  <c r="AH27" i="23"/>
  <c r="AH26" i="23"/>
  <c r="AH22" i="23"/>
  <c r="AH21" i="23"/>
  <c r="AH20" i="23"/>
  <c r="AH16" i="23"/>
  <c r="AH15" i="23"/>
  <c r="AH12" i="23"/>
  <c r="AH9" i="23"/>
  <c r="AH8" i="23"/>
  <c r="AG41" i="23"/>
  <c r="AG27" i="23"/>
  <c r="AG26" i="23"/>
  <c r="AD41" i="23"/>
  <c r="AD37" i="23"/>
  <c r="AD36" i="23"/>
  <c r="AD32" i="23"/>
  <c r="AD31" i="23"/>
  <c r="AD27" i="23"/>
  <c r="AD26" i="23"/>
  <c r="AD22" i="23"/>
  <c r="AD21" i="23"/>
  <c r="AD20" i="23"/>
  <c r="AD16" i="23"/>
  <c r="AD15" i="23"/>
  <c r="AD12" i="23"/>
  <c r="AD9" i="23"/>
  <c r="AD8" i="23"/>
  <c r="AC41" i="23"/>
  <c r="AC37" i="23"/>
  <c r="AC36" i="23"/>
  <c r="AC32" i="23"/>
  <c r="AC31" i="23"/>
  <c r="AC27" i="23"/>
  <c r="AC26" i="23"/>
  <c r="AC22" i="23"/>
  <c r="AC21" i="23"/>
  <c r="AC20" i="23"/>
  <c r="AC16" i="23"/>
  <c r="AC15" i="23"/>
  <c r="AC12" i="23"/>
  <c r="AC9" i="23"/>
  <c r="AC8" i="23"/>
  <c r="AB41" i="23"/>
  <c r="AB37" i="23"/>
  <c r="AB36" i="23"/>
  <c r="AB32" i="23"/>
  <c r="AB31" i="23"/>
  <c r="AB27" i="23"/>
  <c r="AB26" i="23"/>
  <c r="AB22" i="23"/>
  <c r="AB21" i="23"/>
  <c r="AB20" i="23"/>
  <c r="AB16" i="23"/>
  <c r="AB15" i="23"/>
  <c r="AB12" i="23"/>
  <c r="AB9" i="23"/>
  <c r="AB8" i="23"/>
  <c r="AA41" i="23"/>
  <c r="AA27" i="23"/>
  <c r="AA26" i="23"/>
  <c r="X41" i="23"/>
  <c r="X37" i="23"/>
  <c r="X36" i="23"/>
  <c r="X32" i="23"/>
  <c r="X31" i="23"/>
  <c r="X27" i="23"/>
  <c r="X26" i="23"/>
  <c r="X22" i="23"/>
  <c r="X21" i="23"/>
  <c r="X20" i="23"/>
  <c r="X16" i="23"/>
  <c r="X15" i="23"/>
  <c r="X12" i="23"/>
  <c r="X9" i="23"/>
  <c r="X8" i="23"/>
  <c r="W41" i="23"/>
  <c r="W37" i="23"/>
  <c r="W36" i="23"/>
  <c r="W32" i="23"/>
  <c r="W31" i="23"/>
  <c r="W27" i="23"/>
  <c r="W26" i="23"/>
  <c r="W22" i="23"/>
  <c r="W21" i="23"/>
  <c r="W20" i="23"/>
  <c r="W16" i="23"/>
  <c r="W15" i="23"/>
  <c r="W12" i="23"/>
  <c r="W9" i="23"/>
  <c r="W8" i="23"/>
  <c r="V41" i="23"/>
  <c r="V37" i="23"/>
  <c r="V36" i="23"/>
  <c r="V32" i="23"/>
  <c r="V31" i="23"/>
  <c r="V27" i="23"/>
  <c r="V26" i="23"/>
  <c r="V22" i="23"/>
  <c r="V21" i="23"/>
  <c r="V20" i="23"/>
  <c r="V16" i="23"/>
  <c r="V15" i="23"/>
  <c r="V12" i="23"/>
  <c r="V9" i="23"/>
  <c r="V8" i="23"/>
  <c r="U41" i="23"/>
  <c r="U27" i="23"/>
  <c r="U26" i="23"/>
  <c r="R41" i="23"/>
  <c r="R37" i="23"/>
  <c r="R36" i="23"/>
  <c r="R32" i="23"/>
  <c r="R31" i="23"/>
  <c r="R27" i="23"/>
  <c r="R26" i="23"/>
  <c r="R22" i="23"/>
  <c r="R21" i="23"/>
  <c r="R20" i="23"/>
  <c r="R16" i="23"/>
  <c r="R15" i="23"/>
  <c r="R12" i="23"/>
  <c r="R9" i="23"/>
  <c r="R8" i="23"/>
  <c r="Q41" i="23"/>
  <c r="Q37" i="23"/>
  <c r="Q36" i="23"/>
  <c r="Q32" i="23"/>
  <c r="Q31" i="23"/>
  <c r="Q27" i="23"/>
  <c r="Q26" i="23"/>
  <c r="Q22" i="23"/>
  <c r="Q21" i="23"/>
  <c r="Q20" i="23"/>
  <c r="Q16" i="23"/>
  <c r="Q15" i="23"/>
  <c r="Q12" i="23"/>
  <c r="Q9" i="23"/>
  <c r="Q8" i="23"/>
  <c r="P41" i="23"/>
  <c r="P37" i="23"/>
  <c r="P36" i="23"/>
  <c r="P32" i="23"/>
  <c r="P31" i="23"/>
  <c r="P27" i="23"/>
  <c r="P26" i="23"/>
  <c r="P22" i="23"/>
  <c r="P21" i="23"/>
  <c r="P20" i="23"/>
  <c r="P16" i="23"/>
  <c r="P15" i="23"/>
  <c r="P12" i="23"/>
  <c r="P9" i="23"/>
  <c r="P8" i="23"/>
  <c r="O41" i="23"/>
  <c r="O27" i="23"/>
  <c r="O26" i="23"/>
  <c r="L41" i="23"/>
  <c r="L37" i="23"/>
  <c r="L36" i="23"/>
  <c r="L32" i="23"/>
  <c r="L31" i="23"/>
  <c r="L27" i="23"/>
  <c r="L26" i="23"/>
  <c r="L22" i="23"/>
  <c r="L21" i="23"/>
  <c r="L20" i="23"/>
  <c r="L16" i="23"/>
  <c r="L15" i="23"/>
  <c r="L12" i="23"/>
  <c r="L9" i="23"/>
  <c r="L8" i="23"/>
  <c r="AM13" i="205" l="1"/>
  <c r="AM23" i="205" s="1"/>
  <c r="E28" i="206"/>
  <c r="J28" i="206" s="1"/>
  <c r="K27" i="23"/>
  <c r="J41" i="23"/>
  <c r="J37" i="23"/>
  <c r="J36" i="23"/>
  <c r="J38" i="23" s="1"/>
  <c r="J32" i="23"/>
  <c r="J31" i="23"/>
  <c r="J27" i="23"/>
  <c r="J26" i="23"/>
  <c r="J22" i="23"/>
  <c r="J21" i="23"/>
  <c r="J20" i="23"/>
  <c r="J16" i="23"/>
  <c r="J15" i="23"/>
  <c r="J12" i="23"/>
  <c r="J9" i="23"/>
  <c r="J8" i="23"/>
  <c r="J10" i="23" s="1"/>
  <c r="I41" i="23"/>
  <c r="I27" i="23"/>
  <c r="I26" i="23"/>
  <c r="BC41" i="23"/>
  <c r="BB38" i="23"/>
  <c r="BA38" i="23"/>
  <c r="AZ38" i="23"/>
  <c r="BB33" i="23"/>
  <c r="BA33" i="23"/>
  <c r="AZ33" i="23"/>
  <c r="BC27" i="23"/>
  <c r="BC26" i="23"/>
  <c r="BB10" i="23"/>
  <c r="BB13" i="23" s="1"/>
  <c r="BB17" i="23" s="1"/>
  <c r="BB23" i="23" s="1"/>
  <c r="BA10" i="23"/>
  <c r="BA13" i="23" s="1"/>
  <c r="BA17" i="23" s="1"/>
  <c r="AZ10" i="23"/>
  <c r="AZ13" i="23" s="1"/>
  <c r="AZ17" i="23" s="1"/>
  <c r="AW41" i="23"/>
  <c r="AV38" i="23"/>
  <c r="AU38" i="23"/>
  <c r="AT38" i="23"/>
  <c r="AV33" i="23"/>
  <c r="AU33" i="23"/>
  <c r="AT33" i="23"/>
  <c r="AW27" i="23"/>
  <c r="AW26" i="23"/>
  <c r="AV10" i="23"/>
  <c r="AV13" i="23" s="1"/>
  <c r="AV17" i="23" s="1"/>
  <c r="AU10" i="23"/>
  <c r="AU13" i="23" s="1"/>
  <c r="AU17" i="23" s="1"/>
  <c r="AT10" i="23"/>
  <c r="AT13" i="23" s="1"/>
  <c r="AT17" i="23" s="1"/>
  <c r="AQ41" i="23"/>
  <c r="AP38" i="23"/>
  <c r="AO38" i="23"/>
  <c r="AN38" i="23"/>
  <c r="AP33" i="23"/>
  <c r="AO33" i="23"/>
  <c r="AN33" i="23"/>
  <c r="AQ27" i="23"/>
  <c r="AQ26" i="23"/>
  <c r="AP10" i="23"/>
  <c r="AP13" i="23" s="1"/>
  <c r="AP17" i="23" s="1"/>
  <c r="AO10" i="23"/>
  <c r="AO13" i="23" s="1"/>
  <c r="AO17" i="23" s="1"/>
  <c r="AN10" i="23"/>
  <c r="AN13" i="23" s="1"/>
  <c r="AN17" i="23" s="1"/>
  <c r="AK41" i="23"/>
  <c r="AJ38" i="23"/>
  <c r="AI38" i="23"/>
  <c r="AH38" i="23"/>
  <c r="AJ33" i="23"/>
  <c r="AI33" i="23"/>
  <c r="AH33" i="23"/>
  <c r="AK27" i="23"/>
  <c r="AK26" i="23"/>
  <c r="AJ10" i="23"/>
  <c r="AJ13" i="23" s="1"/>
  <c r="AJ17" i="23" s="1"/>
  <c r="AI10" i="23"/>
  <c r="AI13" i="23" s="1"/>
  <c r="AI17" i="23" s="1"/>
  <c r="AI23" i="23" s="1"/>
  <c r="AH10" i="23"/>
  <c r="AH13" i="23" s="1"/>
  <c r="AH17" i="23" s="1"/>
  <c r="AE41" i="23"/>
  <c r="AD38" i="23"/>
  <c r="AC38" i="23"/>
  <c r="AB38" i="23"/>
  <c r="AD33" i="23"/>
  <c r="AC33" i="23"/>
  <c r="AB33" i="23"/>
  <c r="AE27" i="23"/>
  <c r="AE26" i="23"/>
  <c r="AD10" i="23"/>
  <c r="AD13" i="23" s="1"/>
  <c r="AD17" i="23" s="1"/>
  <c r="AC10" i="23"/>
  <c r="AC13" i="23" s="1"/>
  <c r="AC17" i="23" s="1"/>
  <c r="AC23" i="23" s="1"/>
  <c r="AB10" i="23"/>
  <c r="AB13" i="23" s="1"/>
  <c r="AB17" i="23" s="1"/>
  <c r="Y41" i="23"/>
  <c r="X38" i="23"/>
  <c r="W38" i="23"/>
  <c r="V38" i="23"/>
  <c r="X33" i="23"/>
  <c r="W33" i="23"/>
  <c r="V33" i="23"/>
  <c r="Y27" i="23"/>
  <c r="Y26" i="23"/>
  <c r="X10" i="23"/>
  <c r="X13" i="23" s="1"/>
  <c r="X17" i="23" s="1"/>
  <c r="W10" i="23"/>
  <c r="W13" i="23" s="1"/>
  <c r="W17" i="23" s="1"/>
  <c r="W23" i="23" s="1"/>
  <c r="V10" i="23"/>
  <c r="V13" i="23" s="1"/>
  <c r="V17" i="23" s="1"/>
  <c r="S41" i="23"/>
  <c r="R38" i="23"/>
  <c r="Q38" i="23"/>
  <c r="P38" i="23"/>
  <c r="R33" i="23"/>
  <c r="Q33" i="23"/>
  <c r="P33" i="23"/>
  <c r="S27" i="23"/>
  <c r="S26" i="23"/>
  <c r="R10" i="23"/>
  <c r="R13" i="23" s="1"/>
  <c r="R17" i="23" s="1"/>
  <c r="Q10" i="23"/>
  <c r="Q13" i="23" s="1"/>
  <c r="Q17" i="23" s="1"/>
  <c r="Q23" i="23" s="1"/>
  <c r="P10" i="23"/>
  <c r="P13" i="23" s="1"/>
  <c r="P17" i="23" s="1"/>
  <c r="L38" i="23"/>
  <c r="L33" i="23"/>
  <c r="L10" i="23"/>
  <c r="L13" i="23" s="1"/>
  <c r="L17" i="23" s="1"/>
  <c r="F41" i="23"/>
  <c r="F37" i="23"/>
  <c r="F36" i="23"/>
  <c r="F32" i="23"/>
  <c r="F31" i="23"/>
  <c r="F27" i="23"/>
  <c r="F26" i="23"/>
  <c r="F22" i="23"/>
  <c r="F21" i="23"/>
  <c r="F20" i="23"/>
  <c r="F16" i="23"/>
  <c r="F15" i="23"/>
  <c r="F12" i="23"/>
  <c r="F9" i="23"/>
  <c r="F10" i="23" s="1"/>
  <c r="F8" i="23"/>
  <c r="E41" i="23"/>
  <c r="E27" i="23"/>
  <c r="D37" i="23"/>
  <c r="D36" i="23"/>
  <c r="D32" i="23"/>
  <c r="D31" i="23"/>
  <c r="D27" i="23"/>
  <c r="D26" i="23"/>
  <c r="D22" i="23"/>
  <c r="D21" i="23"/>
  <c r="D20" i="23"/>
  <c r="D16" i="23"/>
  <c r="D15" i="23"/>
  <c r="D12" i="23"/>
  <c r="D9" i="23"/>
  <c r="D8" i="23"/>
  <c r="C41" i="23"/>
  <c r="C27" i="23"/>
  <c r="C26" i="23"/>
  <c r="J33" i="23" l="1"/>
  <c r="J13" i="23"/>
  <c r="J17" i="23" s="1"/>
  <c r="J23" i="23" s="1"/>
  <c r="D33" i="23"/>
  <c r="M27" i="23"/>
  <c r="L18" i="23"/>
  <c r="L23" i="23"/>
  <c r="J18" i="23"/>
  <c r="AZ23" i="23"/>
  <c r="AZ18" i="23"/>
  <c r="BA23" i="23"/>
  <c r="BA18" i="23"/>
  <c r="BB24" i="23"/>
  <c r="BB28" i="23"/>
  <c r="BB18" i="23"/>
  <c r="AT23" i="23"/>
  <c r="AT18" i="23"/>
  <c r="AU23" i="23"/>
  <c r="AU18" i="23"/>
  <c r="AV23" i="23"/>
  <c r="AV18" i="23"/>
  <c r="AO23" i="23"/>
  <c r="AO18" i="23"/>
  <c r="AP23" i="23"/>
  <c r="AP18" i="23"/>
  <c r="AN23" i="23"/>
  <c r="AN18" i="23"/>
  <c r="AH23" i="23"/>
  <c r="AH18" i="23"/>
  <c r="AI24" i="23"/>
  <c r="AI28" i="23"/>
  <c r="AJ23" i="23"/>
  <c r="AJ18" i="23"/>
  <c r="AI18" i="23"/>
  <c r="AB23" i="23"/>
  <c r="AB18" i="23"/>
  <c r="AC24" i="23"/>
  <c r="AC28" i="23"/>
  <c r="AD23" i="23"/>
  <c r="AD18" i="23"/>
  <c r="AC18" i="23"/>
  <c r="V18" i="23"/>
  <c r="V23" i="23"/>
  <c r="V28" i="23" s="1"/>
  <c r="W24" i="23"/>
  <c r="W28" i="23"/>
  <c r="X23" i="23"/>
  <c r="X18" i="23"/>
  <c r="W18" i="23"/>
  <c r="P23" i="23"/>
  <c r="P18" i="23"/>
  <c r="Q24" i="23"/>
  <c r="Q28" i="23"/>
  <c r="R23" i="23"/>
  <c r="R18" i="23"/>
  <c r="Q18" i="23"/>
  <c r="G41" i="23"/>
  <c r="F38" i="23"/>
  <c r="F33" i="23"/>
  <c r="F13" i="23"/>
  <c r="F17" i="23" s="1"/>
  <c r="F18" i="23" s="1"/>
  <c r="G27" i="23"/>
  <c r="D38" i="23"/>
  <c r="D10" i="23"/>
  <c r="D13" i="23" s="1"/>
  <c r="D17" i="23" s="1"/>
  <c r="D23" i="23" s="1"/>
  <c r="K37" i="23"/>
  <c r="E37" i="23"/>
  <c r="K36" i="23"/>
  <c r="E36" i="23"/>
  <c r="E32" i="23"/>
  <c r="E31" i="23"/>
  <c r="K31" i="23"/>
  <c r="E26" i="23"/>
  <c r="G26" i="23" s="1"/>
  <c r="E21" i="23"/>
  <c r="E22" i="23"/>
  <c r="E20" i="23"/>
  <c r="E16" i="23"/>
  <c r="E8" i="23"/>
  <c r="AY37" i="23"/>
  <c r="BC37" i="23" s="1"/>
  <c r="AS37" i="23"/>
  <c r="AW37" i="23" s="1"/>
  <c r="AM37" i="23"/>
  <c r="AQ37" i="23" s="1"/>
  <c r="AG37" i="23"/>
  <c r="AK37" i="23" s="1"/>
  <c r="AA37" i="23"/>
  <c r="AE37" i="23" s="1"/>
  <c r="U37" i="23"/>
  <c r="Y37" i="23" s="1"/>
  <c r="O37" i="23"/>
  <c r="S37" i="23" s="1"/>
  <c r="I37" i="23"/>
  <c r="C37" i="23"/>
  <c r="AY36" i="23"/>
  <c r="AS36" i="23"/>
  <c r="AM36" i="23"/>
  <c r="AG36" i="23"/>
  <c r="AA36" i="23"/>
  <c r="U36" i="23"/>
  <c r="O36" i="23"/>
  <c r="I36" i="23"/>
  <c r="C36" i="23"/>
  <c r="C38" i="23" s="1"/>
  <c r="AY31" i="23"/>
  <c r="AS31" i="23"/>
  <c r="AM31" i="23"/>
  <c r="AG31" i="23"/>
  <c r="AA31" i="23"/>
  <c r="U31" i="23"/>
  <c r="O31" i="23"/>
  <c r="I31" i="23"/>
  <c r="C31" i="23"/>
  <c r="AY32" i="23"/>
  <c r="BC32" i="23" s="1"/>
  <c r="AS32" i="23"/>
  <c r="AW32" i="23" s="1"/>
  <c r="AM32" i="23"/>
  <c r="AQ32" i="23" s="1"/>
  <c r="AG32" i="23"/>
  <c r="AK32" i="23" s="1"/>
  <c r="AA32" i="23"/>
  <c r="AE32" i="23" s="1"/>
  <c r="U32" i="23"/>
  <c r="Y32" i="23" s="1"/>
  <c r="O32" i="23"/>
  <c r="S32" i="23" s="1"/>
  <c r="I32" i="23"/>
  <c r="C32" i="23"/>
  <c r="AY22" i="23"/>
  <c r="BC22" i="23" s="1"/>
  <c r="AS22" i="23"/>
  <c r="AW22" i="23" s="1"/>
  <c r="AM22" i="23"/>
  <c r="AQ22" i="23" s="1"/>
  <c r="AG22" i="23"/>
  <c r="AK22" i="23" s="1"/>
  <c r="AA22" i="23"/>
  <c r="AE22" i="23" s="1"/>
  <c r="U22" i="23"/>
  <c r="Y22" i="23" s="1"/>
  <c r="O22" i="23"/>
  <c r="S22" i="23" s="1"/>
  <c r="I22" i="23"/>
  <c r="C22" i="23"/>
  <c r="AY21" i="23"/>
  <c r="BC21" i="23" s="1"/>
  <c r="AS21" i="23"/>
  <c r="AW21" i="23" s="1"/>
  <c r="AM21" i="23"/>
  <c r="AQ21" i="23" s="1"/>
  <c r="AG21" i="23"/>
  <c r="AK21" i="23" s="1"/>
  <c r="AA21" i="23"/>
  <c r="AE21" i="23" s="1"/>
  <c r="U21" i="23"/>
  <c r="Y21" i="23" s="1"/>
  <c r="O21" i="23"/>
  <c r="S21" i="23" s="1"/>
  <c r="I21" i="23"/>
  <c r="C21" i="23"/>
  <c r="AY20" i="23"/>
  <c r="BC20" i="23" s="1"/>
  <c r="AS20" i="23"/>
  <c r="AW20" i="23" s="1"/>
  <c r="AM20" i="23"/>
  <c r="AQ20" i="23" s="1"/>
  <c r="AG20" i="23"/>
  <c r="AK20" i="23" s="1"/>
  <c r="AA20" i="23"/>
  <c r="AE20" i="23" s="1"/>
  <c r="U20" i="23"/>
  <c r="Y20" i="23" s="1"/>
  <c r="O20" i="23"/>
  <c r="S20" i="23" s="1"/>
  <c r="I20" i="23"/>
  <c r="C20" i="23"/>
  <c r="AY16" i="23"/>
  <c r="BC16" i="23" s="1"/>
  <c r="AS16" i="23"/>
  <c r="AW16" i="23" s="1"/>
  <c r="AM16" i="23"/>
  <c r="AQ16" i="23" s="1"/>
  <c r="AG16" i="23"/>
  <c r="AK16" i="23" s="1"/>
  <c r="AA16" i="23"/>
  <c r="AE16" i="23" s="1"/>
  <c r="U16" i="23"/>
  <c r="Y16" i="23" s="1"/>
  <c r="O16" i="23"/>
  <c r="S16" i="23" s="1"/>
  <c r="I16" i="23"/>
  <c r="C16" i="23"/>
  <c r="AY15" i="23"/>
  <c r="BC15" i="23" s="1"/>
  <c r="AS15" i="23"/>
  <c r="AW15" i="23" s="1"/>
  <c r="AM15" i="23"/>
  <c r="AQ15" i="23" s="1"/>
  <c r="AG15" i="23"/>
  <c r="AK15" i="23" s="1"/>
  <c r="AA15" i="23"/>
  <c r="AE15" i="23" s="1"/>
  <c r="U15" i="23"/>
  <c r="Y15" i="23" s="1"/>
  <c r="O15" i="23"/>
  <c r="S15" i="23" s="1"/>
  <c r="I15" i="23"/>
  <c r="C15" i="23"/>
  <c r="AY12" i="23"/>
  <c r="BC12" i="23" s="1"/>
  <c r="AS12" i="23"/>
  <c r="AW12" i="23" s="1"/>
  <c r="AM12" i="23"/>
  <c r="AQ12" i="23" s="1"/>
  <c r="AG12" i="23"/>
  <c r="AK12" i="23" s="1"/>
  <c r="AA12" i="23"/>
  <c r="AE12" i="23" s="1"/>
  <c r="U12" i="23"/>
  <c r="Y12" i="23" s="1"/>
  <c r="O12" i="23"/>
  <c r="S12" i="23" s="1"/>
  <c r="I12" i="23"/>
  <c r="C12" i="23"/>
  <c r="AY9" i="23"/>
  <c r="BC9" i="23" s="1"/>
  <c r="AS9" i="23"/>
  <c r="AW9" i="23" s="1"/>
  <c r="AM9" i="23"/>
  <c r="AQ9" i="23" s="1"/>
  <c r="AG9" i="23"/>
  <c r="AK9" i="23" s="1"/>
  <c r="AA9" i="23"/>
  <c r="AE9" i="23" s="1"/>
  <c r="U9" i="23"/>
  <c r="Y9" i="23" s="1"/>
  <c r="O9" i="23"/>
  <c r="S9" i="23" s="1"/>
  <c r="I9" i="23"/>
  <c r="C9" i="23"/>
  <c r="AY8" i="23"/>
  <c r="AS8" i="23"/>
  <c r="AM8" i="23"/>
  <c r="AG8" i="23"/>
  <c r="AA8" i="23"/>
  <c r="U8" i="23"/>
  <c r="O8" i="23"/>
  <c r="I8" i="23"/>
  <c r="I10" i="23" s="1"/>
  <c r="I13" i="23" s="1"/>
  <c r="C8" i="23"/>
  <c r="I38" i="23" l="1"/>
  <c r="I17" i="23"/>
  <c r="I18" i="23" s="1"/>
  <c r="C33" i="23"/>
  <c r="O10" i="23"/>
  <c r="O13" i="23" s="1"/>
  <c r="O17" i="23" s="1"/>
  <c r="S8" i="23"/>
  <c r="S10" i="23" s="1"/>
  <c r="S13" i="23" s="1"/>
  <c r="S17" i="23" s="1"/>
  <c r="S18" i="23" s="1"/>
  <c r="I33" i="23"/>
  <c r="AK31" i="23"/>
  <c r="AK33" i="23" s="1"/>
  <c r="AG33" i="23"/>
  <c r="AE36" i="23"/>
  <c r="AE38" i="23" s="1"/>
  <c r="AA38" i="23"/>
  <c r="BC36" i="23"/>
  <c r="BC38" i="23" s="1"/>
  <c r="AY38" i="23"/>
  <c r="G22" i="23"/>
  <c r="I23" i="23"/>
  <c r="I24" i="23" s="1"/>
  <c r="AM10" i="23"/>
  <c r="AM13" i="23" s="1"/>
  <c r="AM17" i="23" s="1"/>
  <c r="AQ8" i="23"/>
  <c r="AQ10" i="23" s="1"/>
  <c r="AQ13" i="23" s="1"/>
  <c r="AQ17" i="23" s="1"/>
  <c r="Y8" i="23"/>
  <c r="Y10" i="23" s="1"/>
  <c r="Y13" i="23" s="1"/>
  <c r="Y17" i="23" s="1"/>
  <c r="Y23" i="23" s="1"/>
  <c r="Y28" i="23" s="1"/>
  <c r="U10" i="23"/>
  <c r="U13" i="23" s="1"/>
  <c r="U17" i="23" s="1"/>
  <c r="S31" i="23"/>
  <c r="S33" i="23" s="1"/>
  <c r="O33" i="23"/>
  <c r="AQ31" i="23"/>
  <c r="AQ33" i="23" s="1"/>
  <c r="AM33" i="23"/>
  <c r="AG38" i="23"/>
  <c r="AK36" i="23"/>
  <c r="AK38" i="23" s="1"/>
  <c r="G20" i="23"/>
  <c r="G21" i="23"/>
  <c r="G32" i="23"/>
  <c r="M37" i="23"/>
  <c r="AW8" i="23"/>
  <c r="AW10" i="23" s="1"/>
  <c r="AW13" i="23" s="1"/>
  <c r="AW17" i="23" s="1"/>
  <c r="AS10" i="23"/>
  <c r="AS13" i="23" s="1"/>
  <c r="AS17" i="23" s="1"/>
  <c r="C10" i="23"/>
  <c r="C13" i="23" s="1"/>
  <c r="C17" i="23" s="1"/>
  <c r="AE8" i="23"/>
  <c r="AE10" i="23" s="1"/>
  <c r="AE13" i="23" s="1"/>
  <c r="AE17" i="23" s="1"/>
  <c r="AE18" i="23" s="1"/>
  <c r="AA10" i="23"/>
  <c r="AA13" i="23" s="1"/>
  <c r="AA17" i="23" s="1"/>
  <c r="BC8" i="23"/>
  <c r="BC10" i="23" s="1"/>
  <c r="BC13" i="23" s="1"/>
  <c r="BC17" i="23" s="1"/>
  <c r="BC23" i="23" s="1"/>
  <c r="AY10" i="23"/>
  <c r="AY13" i="23" s="1"/>
  <c r="AY17" i="23" s="1"/>
  <c r="U33" i="23"/>
  <c r="Y31" i="23"/>
  <c r="Y33" i="23" s="1"/>
  <c r="AS33" i="23"/>
  <c r="AW31" i="23"/>
  <c r="AW33" i="23" s="1"/>
  <c r="O38" i="23"/>
  <c r="S36" i="23"/>
  <c r="S38" i="23" s="1"/>
  <c r="AM38" i="23"/>
  <c r="AQ36" i="23"/>
  <c r="AQ38" i="23" s="1"/>
  <c r="AG10" i="23"/>
  <c r="AG13" i="23" s="1"/>
  <c r="AG17" i="23" s="1"/>
  <c r="AK8" i="23"/>
  <c r="AK10" i="23" s="1"/>
  <c r="AK13" i="23" s="1"/>
  <c r="AK17" i="23" s="1"/>
  <c r="AK23" i="23" s="1"/>
  <c r="AK28" i="23" s="1"/>
  <c r="AA33" i="23"/>
  <c r="AE31" i="23"/>
  <c r="AE33" i="23" s="1"/>
  <c r="AY33" i="23"/>
  <c r="BC31" i="23"/>
  <c r="BC33" i="23" s="1"/>
  <c r="Y36" i="23"/>
  <c r="Y38" i="23" s="1"/>
  <c r="U38" i="23"/>
  <c r="AW36" i="23"/>
  <c r="AW38" i="23" s="1"/>
  <c r="AS38" i="23"/>
  <c r="G16" i="23"/>
  <c r="G36" i="23"/>
  <c r="BC18" i="23"/>
  <c r="L24" i="23"/>
  <c r="L28" i="23"/>
  <c r="E38" i="23"/>
  <c r="E33" i="23"/>
  <c r="K38" i="23"/>
  <c r="M36" i="23"/>
  <c r="M38" i="23" s="1"/>
  <c r="G37" i="23"/>
  <c r="M31" i="23"/>
  <c r="J28" i="23"/>
  <c r="J24" i="23"/>
  <c r="BB34" i="23"/>
  <c r="BB39" i="23" s="1"/>
  <c r="BB42" i="23" s="1"/>
  <c r="BB43" i="23" s="1"/>
  <c r="BB29" i="23"/>
  <c r="BA28" i="23"/>
  <c r="BA24" i="23"/>
  <c r="AZ24" i="23"/>
  <c r="AZ28" i="23"/>
  <c r="AU28" i="23"/>
  <c r="AU24" i="23"/>
  <c r="AT24" i="23"/>
  <c r="AT28" i="23"/>
  <c r="AV24" i="23"/>
  <c r="AV28" i="23"/>
  <c r="AP24" i="23"/>
  <c r="AP28" i="23"/>
  <c r="AN24" i="23"/>
  <c r="AN28" i="23"/>
  <c r="AO24" i="23"/>
  <c r="AO28" i="23"/>
  <c r="AI34" i="23"/>
  <c r="AI39" i="23" s="1"/>
  <c r="AI42" i="23" s="1"/>
  <c r="AI43" i="23" s="1"/>
  <c r="AI29" i="23"/>
  <c r="AJ24" i="23"/>
  <c r="AJ28" i="23"/>
  <c r="AH28" i="23"/>
  <c r="AH24" i="23"/>
  <c r="AB28" i="23"/>
  <c r="AB24" i="23"/>
  <c r="AC34" i="23"/>
  <c r="AC39" i="23" s="1"/>
  <c r="AC42" i="23" s="1"/>
  <c r="AC43" i="23" s="1"/>
  <c r="AC29" i="23"/>
  <c r="AD24" i="23"/>
  <c r="AD28" i="23"/>
  <c r="W34" i="23"/>
  <c r="W39" i="23" s="1"/>
  <c r="W42" i="23" s="1"/>
  <c r="W43" i="23" s="1"/>
  <c r="W29" i="23"/>
  <c r="V24" i="23"/>
  <c r="X24" i="23"/>
  <c r="X28" i="23"/>
  <c r="P28" i="23"/>
  <c r="P24" i="23"/>
  <c r="Q34" i="23"/>
  <c r="Q39" i="23" s="1"/>
  <c r="Q42" i="23" s="1"/>
  <c r="Q43" i="23" s="1"/>
  <c r="Q29" i="23"/>
  <c r="R24" i="23"/>
  <c r="R28" i="23"/>
  <c r="F23" i="23"/>
  <c r="F24" i="23" s="1"/>
  <c r="G8" i="23"/>
  <c r="G31" i="23"/>
  <c r="G33" i="23" s="1"/>
  <c r="D18" i="23"/>
  <c r="D24" i="23"/>
  <c r="D28" i="23"/>
  <c r="K32" i="23"/>
  <c r="M32" i="23" s="1"/>
  <c r="K26" i="23"/>
  <c r="M26" i="23" s="1"/>
  <c r="K20" i="23"/>
  <c r="M20" i="23" s="1"/>
  <c r="E15" i="23"/>
  <c r="G15" i="23" s="1"/>
  <c r="K16" i="23"/>
  <c r="M16" i="23" s="1"/>
  <c r="E12" i="23"/>
  <c r="G12" i="23" s="1"/>
  <c r="K12" i="23"/>
  <c r="M12" i="23" s="1"/>
  <c r="K8" i="23"/>
  <c r="S23" i="23" l="1"/>
  <c r="S24" i="23" s="1"/>
  <c r="I28" i="23"/>
  <c r="AK18" i="23"/>
  <c r="Y18" i="23"/>
  <c r="BC24" i="23"/>
  <c r="BC28" i="23"/>
  <c r="BC34" i="23" s="1"/>
  <c r="BC39" i="23" s="1"/>
  <c r="BC42" i="23" s="1"/>
  <c r="BC43" i="23" s="1"/>
  <c r="G38" i="23"/>
  <c r="AE23" i="23"/>
  <c r="AE24" i="23" s="1"/>
  <c r="AW18" i="23"/>
  <c r="AW23" i="23"/>
  <c r="AW28" i="23" s="1"/>
  <c r="AW34" i="23" s="1"/>
  <c r="AW39" i="23" s="1"/>
  <c r="AW42" i="23" s="1"/>
  <c r="AW43" i="23" s="1"/>
  <c r="AQ23" i="23"/>
  <c r="AQ18" i="23"/>
  <c r="AG23" i="23"/>
  <c r="AG18" i="23"/>
  <c r="AA23" i="23"/>
  <c r="AA18" i="23"/>
  <c r="O23" i="23"/>
  <c r="O18" i="23"/>
  <c r="AY23" i="23"/>
  <c r="AY18" i="23"/>
  <c r="C18" i="23"/>
  <c r="C23" i="23"/>
  <c r="AM23" i="23"/>
  <c r="AM18" i="23"/>
  <c r="AS23" i="23"/>
  <c r="AS18" i="23"/>
  <c r="U18" i="23"/>
  <c r="U23" i="23"/>
  <c r="AK24" i="23"/>
  <c r="Y24" i="23"/>
  <c r="S28" i="23"/>
  <c r="S29" i="23" s="1"/>
  <c r="L29" i="23"/>
  <c r="L34" i="23"/>
  <c r="L39" i="23" s="1"/>
  <c r="L42" i="23" s="1"/>
  <c r="L43" i="23" s="1"/>
  <c r="M33" i="23"/>
  <c r="M8" i="23"/>
  <c r="K33" i="23"/>
  <c r="J29" i="23"/>
  <c r="J34" i="23"/>
  <c r="J39" i="23" s="1"/>
  <c r="J42" i="23" s="1"/>
  <c r="J43" i="23" s="1"/>
  <c r="I29" i="23"/>
  <c r="I34" i="23"/>
  <c r="I39" i="23" s="1"/>
  <c r="I42" i="23" s="1"/>
  <c r="I43" i="23" s="1"/>
  <c r="AZ29" i="23"/>
  <c r="AZ34" i="23"/>
  <c r="AZ39" i="23" s="1"/>
  <c r="AZ42" i="23" s="1"/>
  <c r="AZ43" i="23" s="1"/>
  <c r="BA34" i="23"/>
  <c r="BA39" i="23" s="1"/>
  <c r="BA42" i="23" s="1"/>
  <c r="BA43" i="23" s="1"/>
  <c r="BA29" i="23"/>
  <c r="AT34" i="23"/>
  <c r="AT39" i="23" s="1"/>
  <c r="AT42" i="23" s="1"/>
  <c r="AT43" i="23" s="1"/>
  <c r="AT29" i="23"/>
  <c r="AV34" i="23"/>
  <c r="AV39" i="23" s="1"/>
  <c r="AV42" i="23" s="1"/>
  <c r="AV43" i="23" s="1"/>
  <c r="AV29" i="23"/>
  <c r="AU34" i="23"/>
  <c r="AU39" i="23" s="1"/>
  <c r="AU42" i="23" s="1"/>
  <c r="AU43" i="23" s="1"/>
  <c r="AU29" i="23"/>
  <c r="AP34" i="23"/>
  <c r="AP39" i="23" s="1"/>
  <c r="AP42" i="23" s="1"/>
  <c r="AP43" i="23" s="1"/>
  <c r="AP29" i="23"/>
  <c r="AO34" i="23"/>
  <c r="AO39" i="23" s="1"/>
  <c r="AO42" i="23" s="1"/>
  <c r="AO43" i="23" s="1"/>
  <c r="AO29" i="23"/>
  <c r="AN34" i="23"/>
  <c r="AN39" i="23" s="1"/>
  <c r="AN42" i="23" s="1"/>
  <c r="AN43" i="23" s="1"/>
  <c r="AN29" i="23"/>
  <c r="AH34" i="23"/>
  <c r="AH39" i="23" s="1"/>
  <c r="AH42" i="23" s="1"/>
  <c r="AH43" i="23" s="1"/>
  <c r="AH29" i="23"/>
  <c r="AK34" i="23"/>
  <c r="AK39" i="23" s="1"/>
  <c r="AK42" i="23" s="1"/>
  <c r="AK43" i="23" s="1"/>
  <c r="AK29" i="23"/>
  <c r="AJ34" i="23"/>
  <c r="AJ39" i="23" s="1"/>
  <c r="AJ42" i="23" s="1"/>
  <c r="AJ43" i="23" s="1"/>
  <c r="AJ29" i="23"/>
  <c r="AD34" i="23"/>
  <c r="AD39" i="23" s="1"/>
  <c r="AD42" i="23" s="1"/>
  <c r="AD43" i="23" s="1"/>
  <c r="AD29" i="23"/>
  <c r="AB34" i="23"/>
  <c r="AB39" i="23" s="1"/>
  <c r="AB42" i="23" s="1"/>
  <c r="AB43" i="23" s="1"/>
  <c r="AB29" i="23"/>
  <c r="X34" i="23"/>
  <c r="X39" i="23" s="1"/>
  <c r="X42" i="23" s="1"/>
  <c r="X43" i="23" s="1"/>
  <c r="X29" i="23"/>
  <c r="Y29" i="23"/>
  <c r="Y34" i="23"/>
  <c r="Y39" i="23" s="1"/>
  <c r="Y42" i="23" s="1"/>
  <c r="Y43" i="23" s="1"/>
  <c r="V34" i="23"/>
  <c r="V39" i="23" s="1"/>
  <c r="V42" i="23" s="1"/>
  <c r="V43" i="23" s="1"/>
  <c r="V29" i="23"/>
  <c r="R34" i="23"/>
  <c r="R39" i="23" s="1"/>
  <c r="R42" i="23" s="1"/>
  <c r="R43" i="23" s="1"/>
  <c r="R29" i="23"/>
  <c r="P34" i="23"/>
  <c r="P39" i="23" s="1"/>
  <c r="P42" i="23" s="1"/>
  <c r="P43" i="23" s="1"/>
  <c r="P29" i="23"/>
  <c r="F28" i="23"/>
  <c r="F29" i="23" s="1"/>
  <c r="E9" i="23"/>
  <c r="D29" i="23"/>
  <c r="D34" i="23"/>
  <c r="D39" i="23" s="1"/>
  <c r="D42" i="23" s="1"/>
  <c r="D43" i="23" s="1"/>
  <c r="K15" i="23"/>
  <c r="M15" i="23" s="1"/>
  <c r="D157" i="6"/>
  <c r="C148" i="6" l="1"/>
  <c r="C141" i="6"/>
  <c r="BC29" i="23"/>
  <c r="AW29" i="23"/>
  <c r="S34" i="23"/>
  <c r="S39" i="23" s="1"/>
  <c r="S42" i="23" s="1"/>
  <c r="S43" i="23" s="1"/>
  <c r="AE28" i="23"/>
  <c r="AE29" i="23" s="1"/>
  <c r="AW24" i="23"/>
  <c r="U28" i="23"/>
  <c r="U24" i="23"/>
  <c r="AM28" i="23"/>
  <c r="AM24" i="23"/>
  <c r="AY28" i="23"/>
  <c r="AY24" i="23"/>
  <c r="AA28" i="23"/>
  <c r="AA24" i="23"/>
  <c r="AQ28" i="23"/>
  <c r="AQ24" i="23"/>
  <c r="C24" i="23"/>
  <c r="C28" i="23"/>
  <c r="AS28" i="23"/>
  <c r="AS24" i="23"/>
  <c r="O24" i="23"/>
  <c r="O28" i="23"/>
  <c r="AG28" i="23"/>
  <c r="AG24" i="23"/>
  <c r="AE34" i="23"/>
  <c r="AE39" i="23" s="1"/>
  <c r="AE42" i="23" s="1"/>
  <c r="AE43" i="23" s="1"/>
  <c r="K22" i="23"/>
  <c r="M22" i="23" s="1"/>
  <c r="K21" i="23"/>
  <c r="M21" i="23" s="1"/>
  <c r="K9" i="23"/>
  <c r="F34" i="23"/>
  <c r="F39" i="23" s="1"/>
  <c r="F42" i="23" s="1"/>
  <c r="F43" i="23" s="1"/>
  <c r="G9" i="23"/>
  <c r="G10" i="23" s="1"/>
  <c r="G13" i="23" s="1"/>
  <c r="G17" i="23" s="1"/>
  <c r="E10" i="23"/>
  <c r="E13" i="23" s="1"/>
  <c r="E17" i="23" s="1"/>
  <c r="C157" i="6" l="1"/>
  <c r="O34" i="23"/>
  <c r="O39" i="23" s="1"/>
  <c r="O42" i="23" s="1"/>
  <c r="O43" i="23" s="1"/>
  <c r="O29" i="23"/>
  <c r="C34" i="23"/>
  <c r="C39" i="23" s="1"/>
  <c r="C42" i="23" s="1"/>
  <c r="C43" i="23" s="1"/>
  <c r="C29" i="23"/>
  <c r="AA29" i="23"/>
  <c r="AA34" i="23"/>
  <c r="AA39" i="23" s="1"/>
  <c r="AA42" i="23" s="1"/>
  <c r="AA43" i="23" s="1"/>
  <c r="AM29" i="23"/>
  <c r="AM34" i="23"/>
  <c r="AM39" i="23" s="1"/>
  <c r="AM42" i="23" s="1"/>
  <c r="AM43" i="23" s="1"/>
  <c r="AG34" i="23"/>
  <c r="AG39" i="23" s="1"/>
  <c r="AG42" i="23" s="1"/>
  <c r="AG43" i="23" s="1"/>
  <c r="AG29" i="23"/>
  <c r="AS34" i="23"/>
  <c r="AS39" i="23" s="1"/>
  <c r="AS42" i="23" s="1"/>
  <c r="AS43" i="23" s="1"/>
  <c r="AS29" i="23"/>
  <c r="AQ34" i="23"/>
  <c r="AQ39" i="23" s="1"/>
  <c r="AQ42" i="23" s="1"/>
  <c r="AQ43" i="23" s="1"/>
  <c r="AQ29" i="23"/>
  <c r="AY34" i="23"/>
  <c r="AY39" i="23" s="1"/>
  <c r="AY42" i="23" s="1"/>
  <c r="AY43" i="23" s="1"/>
  <c r="AY29" i="23"/>
  <c r="U29" i="23"/>
  <c r="U34" i="23"/>
  <c r="U39" i="23" s="1"/>
  <c r="U42" i="23" s="1"/>
  <c r="U43" i="23" s="1"/>
  <c r="M9" i="23"/>
  <c r="M10" i="23" s="1"/>
  <c r="M13" i="23" s="1"/>
  <c r="M17" i="23" s="1"/>
  <c r="K10" i="23"/>
  <c r="K13" i="23" s="1"/>
  <c r="K17" i="23" s="1"/>
  <c r="E23" i="23"/>
  <c r="E18" i="23"/>
  <c r="G18" i="23"/>
  <c r="G23" i="23"/>
  <c r="C75" i="21"/>
  <c r="E75" i="21"/>
  <c r="E67" i="21"/>
  <c r="C67" i="21"/>
  <c r="E61" i="21"/>
  <c r="C61" i="21"/>
  <c r="C56" i="21"/>
  <c r="C48" i="21"/>
  <c r="E48" i="21"/>
  <c r="E90" i="21"/>
  <c r="C90" i="21"/>
  <c r="C30" i="21"/>
  <c r="E21" i="21"/>
  <c r="E218" i="147" s="1"/>
  <c r="E69" i="188" s="1"/>
  <c r="C21" i="21"/>
  <c r="C218" i="147" s="1"/>
  <c r="C69" i="188" s="1"/>
  <c r="E8" i="21"/>
  <c r="D35" i="21"/>
  <c r="C63" i="180" l="1"/>
  <c r="C66" i="183"/>
  <c r="E63" i="180"/>
  <c r="E66" i="183"/>
  <c r="C219" i="147"/>
  <c r="D15" i="6"/>
  <c r="E219" i="147"/>
  <c r="C277" i="147"/>
  <c r="E277" i="147"/>
  <c r="D73" i="148"/>
  <c r="C13" i="149"/>
  <c r="C23" i="149" s="1"/>
  <c r="E69" i="163"/>
  <c r="F68" i="163" s="1"/>
  <c r="F69" i="163" s="1"/>
  <c r="F71" i="163" s="1"/>
  <c r="F73" i="148"/>
  <c r="E13" i="149"/>
  <c r="E23" i="149" s="1"/>
  <c r="C69" i="149"/>
  <c r="C237" i="147"/>
  <c r="E237" i="147"/>
  <c r="E69" i="149"/>
  <c r="E79" i="21"/>
  <c r="E35" i="21"/>
  <c r="F35" i="21"/>
  <c r="E68" i="21"/>
  <c r="E96" i="21"/>
  <c r="E97" i="21" s="1"/>
  <c r="F96" i="21"/>
  <c r="F97" i="21" s="1"/>
  <c r="D96" i="21"/>
  <c r="D97" i="21" s="1"/>
  <c r="C68" i="21"/>
  <c r="K18" i="23"/>
  <c r="K23" i="23"/>
  <c r="M23" i="23"/>
  <c r="M18" i="23"/>
  <c r="G28" i="23"/>
  <c r="G24" i="23"/>
  <c r="E24" i="23"/>
  <c r="E28" i="23"/>
  <c r="E56" i="21"/>
  <c r="E77" i="21"/>
  <c r="C35" i="21"/>
  <c r="C77" i="21"/>
  <c r="C82" i="21"/>
  <c r="E82" i="21"/>
  <c r="C52" i="21"/>
  <c r="E52" i="21"/>
  <c r="C78" i="21"/>
  <c r="C79" i="21"/>
  <c r="E78" i="21"/>
  <c r="S51" i="206" l="1"/>
  <c r="E51" i="206"/>
  <c r="J51" i="206" s="1"/>
  <c r="E238" i="147"/>
  <c r="E8" i="189"/>
  <c r="E12" i="189" s="1"/>
  <c r="E28" i="189" s="1"/>
  <c r="D17" i="6"/>
  <c r="D19" i="6" s="1"/>
  <c r="F15" i="6"/>
  <c r="F17" i="6" s="1"/>
  <c r="F19" i="6" s="1"/>
  <c r="N16" i="6"/>
  <c r="N19" i="6" s="1"/>
  <c r="D27" i="6" s="1"/>
  <c r="G15" i="6"/>
  <c r="G17" i="6" s="1"/>
  <c r="G19" i="6" s="1"/>
  <c r="C278" i="147"/>
  <c r="C238" i="147"/>
  <c r="E71" i="163"/>
  <c r="E278" i="147"/>
  <c r="E8" i="148"/>
  <c r="L8" i="206" s="1"/>
  <c r="Q8" i="206" s="1"/>
  <c r="E67" i="149"/>
  <c r="C67" i="149"/>
  <c r="C271" i="147"/>
  <c r="C29" i="188" s="1"/>
  <c r="C253" i="147"/>
  <c r="C254" i="147" s="1"/>
  <c r="E253" i="147"/>
  <c r="E254" i="147" s="1"/>
  <c r="E271" i="147"/>
  <c r="E83" i="21"/>
  <c r="C83" i="21"/>
  <c r="K41" i="23"/>
  <c r="M41" i="23" s="1"/>
  <c r="M24" i="23"/>
  <c r="M28" i="23"/>
  <c r="K24" i="23"/>
  <c r="K28" i="23"/>
  <c r="E34" i="23"/>
  <c r="E39" i="23" s="1"/>
  <c r="E42" i="23" s="1"/>
  <c r="E43" i="23" s="1"/>
  <c r="E29" i="23"/>
  <c r="G29" i="23"/>
  <c r="G34" i="23"/>
  <c r="G39" i="23" s="1"/>
  <c r="G42" i="23" s="1"/>
  <c r="G43" i="23" s="1"/>
  <c r="E80" i="21"/>
  <c r="E57" i="21"/>
  <c r="C57" i="21"/>
  <c r="D94" i="21" s="1"/>
  <c r="C80" i="21"/>
  <c r="C25" i="188" l="1"/>
  <c r="D28" i="188"/>
  <c r="D25" i="188" s="1"/>
  <c r="E272" i="147"/>
  <c r="E29" i="188"/>
  <c r="E25" i="188" s="1"/>
  <c r="D29" i="6"/>
  <c r="D31" i="6" s="1"/>
  <c r="F27" i="6"/>
  <c r="F29" i="6" s="1"/>
  <c r="F31" i="6" s="1"/>
  <c r="G27" i="6"/>
  <c r="G29" i="6" s="1"/>
  <c r="G31" i="6" s="1"/>
  <c r="C29" i="149"/>
  <c r="C272" i="147"/>
  <c r="E12" i="148"/>
  <c r="E279" i="147"/>
  <c r="E29" i="149"/>
  <c r="C279" i="147"/>
  <c r="C69" i="21"/>
  <c r="C86" i="21" s="1"/>
  <c r="E94" i="21"/>
  <c r="F94" i="21"/>
  <c r="M34" i="23"/>
  <c r="M39" i="23" s="1"/>
  <c r="M42" i="23" s="1"/>
  <c r="M43" i="23" s="1"/>
  <c r="M29" i="23"/>
  <c r="K29" i="23"/>
  <c r="K34" i="23"/>
  <c r="K39" i="23" s="1"/>
  <c r="K42" i="23" s="1"/>
  <c r="K43" i="23" s="1"/>
  <c r="E81" i="21"/>
  <c r="E69" i="21"/>
  <c r="E86" i="21" s="1"/>
  <c r="C81" i="21"/>
  <c r="D57" i="188" l="1"/>
  <c r="D59" i="188" s="1"/>
  <c r="D68" i="188"/>
  <c r="C29" i="205"/>
  <c r="Q29" i="205"/>
  <c r="F62" i="189"/>
  <c r="F68" i="189" s="1"/>
  <c r="F71" i="189" s="1"/>
  <c r="F74" i="189" s="1"/>
  <c r="F76" i="189" s="1"/>
  <c r="E57" i="188"/>
  <c r="E59" i="188" s="1"/>
  <c r="E68" i="188"/>
  <c r="L12" i="206"/>
  <c r="Q12" i="206" s="1"/>
  <c r="C57" i="188"/>
  <c r="C59" i="188" s="1"/>
  <c r="C68" i="188"/>
  <c r="C25" i="149"/>
  <c r="C68" i="149" s="1"/>
  <c r="D28" i="149"/>
  <c r="D70" i="195" s="1"/>
  <c r="D76" i="195" s="1"/>
  <c r="D79" i="195" s="1"/>
  <c r="D82" i="195" s="1"/>
  <c r="E28" i="148"/>
  <c r="F62" i="148"/>
  <c r="S43" i="206" s="1"/>
  <c r="X43" i="206" s="1"/>
  <c r="E25" i="149"/>
  <c r="D20" i="6" s="1"/>
  <c r="D32" i="6" s="1"/>
  <c r="I68" i="163"/>
  <c r="I69" i="163" s="1"/>
  <c r="G151" i="6"/>
  <c r="D62" i="189" l="1"/>
  <c r="D68" i="189" s="1"/>
  <c r="D71" i="189" s="1"/>
  <c r="D74" i="189" s="1"/>
  <c r="D76" i="189" s="1"/>
  <c r="H29" i="205"/>
  <c r="C25" i="205"/>
  <c r="D70" i="167"/>
  <c r="D76" i="167" s="1"/>
  <c r="G46" i="206" s="1"/>
  <c r="J28" i="205"/>
  <c r="E62" i="189"/>
  <c r="E68" i="189" s="1"/>
  <c r="E71" i="189" s="1"/>
  <c r="E74" i="189" s="1"/>
  <c r="E76" i="189" s="1"/>
  <c r="V29" i="205"/>
  <c r="Q25" i="205"/>
  <c r="D84" i="195"/>
  <c r="E81" i="195"/>
  <c r="E82" i="195" s="1"/>
  <c r="L28" i="206"/>
  <c r="Q28" i="206" s="1"/>
  <c r="H148" i="6"/>
  <c r="H149" i="6"/>
  <c r="I71" i="163"/>
  <c r="C57" i="149"/>
  <c r="C59" i="149" s="1"/>
  <c r="D25" i="149"/>
  <c r="C20" i="6" s="1"/>
  <c r="C32" i="6" s="1"/>
  <c r="E62" i="148"/>
  <c r="D62" i="148"/>
  <c r="D68" i="148" s="1"/>
  <c r="F68" i="148"/>
  <c r="E57" i="149"/>
  <c r="E59" i="149" s="1"/>
  <c r="E68" i="149"/>
  <c r="J68" i="163"/>
  <c r="J69" i="163" s="1"/>
  <c r="G157" i="6"/>
  <c r="I151" i="6"/>
  <c r="H151" i="6" l="1"/>
  <c r="H152" i="6"/>
  <c r="H155" i="6"/>
  <c r="J131" i="6"/>
  <c r="F71" i="148"/>
  <c r="F74" i="148" s="1"/>
  <c r="F76" i="148" s="1"/>
  <c r="S46" i="206"/>
  <c r="O28" i="205"/>
  <c r="J25" i="205"/>
  <c r="L43" i="206"/>
  <c r="Q43" i="206" s="1"/>
  <c r="H25" i="205"/>
  <c r="C51" i="205"/>
  <c r="E84" i="195"/>
  <c r="F81" i="195"/>
  <c r="F82" i="195" s="1"/>
  <c r="Q51" i="205"/>
  <c r="V25" i="205"/>
  <c r="E46" i="206"/>
  <c r="J46" i="206" s="1"/>
  <c r="D79" i="167"/>
  <c r="G49" i="206" s="1"/>
  <c r="J149" i="6"/>
  <c r="J148" i="6"/>
  <c r="D68" i="149"/>
  <c r="D57" i="149"/>
  <c r="D59" i="149" s="1"/>
  <c r="E68" i="148"/>
  <c r="J71" i="163"/>
  <c r="D71" i="148"/>
  <c r="K68" i="163"/>
  <c r="K69" i="163" s="1"/>
  <c r="D107" i="21"/>
  <c r="H153" i="6"/>
  <c r="H154" i="6"/>
  <c r="H157" i="6" l="1"/>
  <c r="D74" i="148"/>
  <c r="D76" i="148" s="1"/>
  <c r="E49" i="206"/>
  <c r="H51" i="205"/>
  <c r="H53" i="205" s="1"/>
  <c r="C53" i="205"/>
  <c r="E71" i="148"/>
  <c r="E74" i="148" s="1"/>
  <c r="E76" i="148" s="1"/>
  <c r="L46" i="206"/>
  <c r="D82" i="167"/>
  <c r="E81" i="167" s="1"/>
  <c r="N51" i="206" s="1"/>
  <c r="Q53" i="205"/>
  <c r="V51" i="205"/>
  <c r="V53" i="205" s="1"/>
  <c r="O25" i="205"/>
  <c r="J51" i="205"/>
  <c r="G81" i="195"/>
  <c r="G82" i="195" s="1"/>
  <c r="F84" i="195"/>
  <c r="X46" i="206"/>
  <c r="S49" i="206"/>
  <c r="K71" i="163"/>
  <c r="J151" i="6"/>
  <c r="D84" i="167" l="1"/>
  <c r="Q51" i="206"/>
  <c r="N52" i="206"/>
  <c r="S52" i="206"/>
  <c r="X49" i="206"/>
  <c r="Q46" i="206"/>
  <c r="L49" i="206"/>
  <c r="G84" i="195"/>
  <c r="I81" i="195"/>
  <c r="I82" i="195" s="1"/>
  <c r="O51" i="205"/>
  <c r="O53" i="205" s="1"/>
  <c r="J53" i="205"/>
  <c r="J49" i="206"/>
  <c r="E82" i="167"/>
  <c r="J81" i="195" l="1"/>
  <c r="I18" i="194"/>
  <c r="L52" i="206"/>
  <c r="Q52" i="206" s="1"/>
  <c r="Q54" i="206" s="1"/>
  <c r="Q49" i="206"/>
  <c r="Z51" i="206"/>
  <c r="F81" i="167"/>
  <c r="U51" i="206" s="1"/>
  <c r="E84" i="167"/>
  <c r="Z52" i="206" l="1"/>
  <c r="AO18" i="205"/>
  <c r="I77" i="194"/>
  <c r="I76" i="194"/>
  <c r="I13" i="194"/>
  <c r="I23" i="194" s="1"/>
  <c r="X51" i="206"/>
  <c r="U52" i="206"/>
  <c r="I84" i="195"/>
  <c r="F82" i="167"/>
  <c r="AH51" i="206" l="1"/>
  <c r="AO13" i="205"/>
  <c r="AO23" i="205" s="1"/>
  <c r="AO53" i="205" s="1"/>
  <c r="AB51" i="206"/>
  <c r="X52" i="206"/>
  <c r="X54" i="206" s="1"/>
  <c r="I75" i="194"/>
  <c r="I67" i="194"/>
  <c r="G81" i="167"/>
  <c r="G82" i="167" s="1"/>
  <c r="G84" i="167" s="1"/>
  <c r="F84" i="167"/>
  <c r="AH52" i="206" l="1"/>
  <c r="AB52" i="206"/>
  <c r="AE51" i="206"/>
  <c r="AJ51" i="206" l="1"/>
  <c r="AO51" i="206" s="1"/>
  <c r="AE52" i="206"/>
  <c r="AE54" i="206" s="1"/>
  <c r="AQ51" i="206"/>
  <c r="J67" i="149"/>
  <c r="AQ52" i="206" l="1"/>
  <c r="AJ52" i="206"/>
  <c r="AO52" i="206" s="1"/>
  <c r="K67" i="149"/>
  <c r="AS51" i="206" l="1"/>
  <c r="AX51" i="206" s="1"/>
  <c r="AZ51" i="206"/>
  <c r="K239" i="147"/>
  <c r="K271" i="147" s="1"/>
  <c r="I239" i="147"/>
  <c r="I271" i="147" s="1"/>
  <c r="J239" i="147"/>
  <c r="L239" i="147"/>
  <c r="L271" i="147" s="1"/>
  <c r="AZ52" i="206" l="1"/>
  <c r="AS52" i="206"/>
  <c r="AX52" i="206" s="1"/>
  <c r="L29" i="149"/>
  <c r="L272" i="147"/>
  <c r="I272" i="147"/>
  <c r="K29" i="149"/>
  <c r="K272" i="147"/>
  <c r="J253" i="147"/>
  <c r="J254" i="147" s="1"/>
  <c r="J271" i="147"/>
  <c r="I253" i="147"/>
  <c r="I254" i="147" s="1"/>
  <c r="K253" i="147"/>
  <c r="K254" i="147" s="1"/>
  <c r="L279" i="147"/>
  <c r="K279" i="147"/>
  <c r="I279" i="147"/>
  <c r="L253" i="147"/>
  <c r="L254" i="147" s="1"/>
  <c r="BB51" i="206" l="1"/>
  <c r="BG51" i="206" s="1"/>
  <c r="BI51" i="206"/>
  <c r="I54" i="181"/>
  <c r="I57" i="181" s="1"/>
  <c r="I60" i="181" s="1"/>
  <c r="J59" i="181" s="1"/>
  <c r="I58" i="182"/>
  <c r="I61" i="182" s="1"/>
  <c r="I64" i="182" s="1"/>
  <c r="I72" i="174"/>
  <c r="I75" i="174" s="1"/>
  <c r="I77" i="174" s="1"/>
  <c r="I59" i="177"/>
  <c r="I62" i="177" s="1"/>
  <c r="I65" i="177" s="1"/>
  <c r="I18" i="199" s="1"/>
  <c r="J29" i="149"/>
  <c r="J272" i="147"/>
  <c r="J28" i="149"/>
  <c r="J279" i="147"/>
  <c r="AR18" i="205" l="1"/>
  <c r="AT18" i="205" s="1"/>
  <c r="I13" i="199"/>
  <c r="I23" i="199" s="1"/>
  <c r="I57" i="199" s="1"/>
  <c r="J62" i="189"/>
  <c r="J68" i="189" s="1"/>
  <c r="J71" i="189" s="1"/>
  <c r="J74" i="189" s="1"/>
  <c r="J64" i="201"/>
  <c r="J69" i="201" s="1"/>
  <c r="J72" i="201" s="1"/>
  <c r="J75" i="201" s="1"/>
  <c r="J70" i="195"/>
  <c r="J76" i="195" s="1"/>
  <c r="J79" i="195" s="1"/>
  <c r="J82" i="195" s="1"/>
  <c r="BI52" i="206"/>
  <c r="BB52" i="206"/>
  <c r="BG52" i="206" s="1"/>
  <c r="I18" i="176"/>
  <c r="I62" i="181"/>
  <c r="J48" i="181"/>
  <c r="J54" i="181" s="1"/>
  <c r="J57" i="181" s="1"/>
  <c r="J60" i="181" s="1"/>
  <c r="J52" i="182"/>
  <c r="J58" i="182" s="1"/>
  <c r="J61" i="182" s="1"/>
  <c r="I66" i="182"/>
  <c r="J63" i="182"/>
  <c r="J81" i="167"/>
  <c r="J59" i="177"/>
  <c r="J62" i="177" s="1"/>
  <c r="J63" i="174"/>
  <c r="J69" i="174" s="1"/>
  <c r="J72" i="174" s="1"/>
  <c r="K28" i="149"/>
  <c r="J74" i="174"/>
  <c r="J64" i="177"/>
  <c r="J70" i="167"/>
  <c r="J76" i="167" s="1"/>
  <c r="J79" i="167" s="1"/>
  <c r="J25" i="149"/>
  <c r="J68" i="149" s="1"/>
  <c r="J68" i="148"/>
  <c r="J71" i="148" s="1"/>
  <c r="I67" i="177" l="1"/>
  <c r="I67" i="196"/>
  <c r="AR13" i="205"/>
  <c r="AR23" i="205" s="1"/>
  <c r="AR53" i="205" s="1"/>
  <c r="J18" i="194"/>
  <c r="K81" i="195"/>
  <c r="J18" i="202"/>
  <c r="J77" i="201" s="1"/>
  <c r="K74" i="201"/>
  <c r="J18" i="188"/>
  <c r="J76" i="189" s="1"/>
  <c r="K73" i="189"/>
  <c r="K52" i="182"/>
  <c r="K58" i="182" s="1"/>
  <c r="K61" i="182" s="1"/>
  <c r="K64" i="201"/>
  <c r="K69" i="201" s="1"/>
  <c r="K72" i="201" s="1"/>
  <c r="K70" i="195"/>
  <c r="K76" i="195" s="1"/>
  <c r="K79" i="195" s="1"/>
  <c r="BK51" i="206"/>
  <c r="BP51" i="206" s="1"/>
  <c r="K62" i="189"/>
  <c r="K68" i="189" s="1"/>
  <c r="K71" i="189" s="1"/>
  <c r="I13" i="176"/>
  <c r="J64" i="182"/>
  <c r="K63" i="182" s="1"/>
  <c r="J82" i="167"/>
  <c r="J84" i="167" s="1"/>
  <c r="L28" i="149"/>
  <c r="L62" i="189" s="1"/>
  <c r="L68" i="189" s="1"/>
  <c r="L71" i="189" s="1"/>
  <c r="K48" i="181"/>
  <c r="K54" i="181" s="1"/>
  <c r="K57" i="181" s="1"/>
  <c r="J65" i="177"/>
  <c r="J18" i="199" s="1"/>
  <c r="J62" i="181"/>
  <c r="K59" i="181"/>
  <c r="J75" i="174"/>
  <c r="J77" i="174" s="1"/>
  <c r="K68" i="148"/>
  <c r="K71" i="148" s="1"/>
  <c r="K25" i="149"/>
  <c r="K68" i="149" s="1"/>
  <c r="K70" i="167"/>
  <c r="K76" i="167" s="1"/>
  <c r="K79" i="167" s="1"/>
  <c r="K59" i="177"/>
  <c r="K62" i="177" s="1"/>
  <c r="K63" i="174"/>
  <c r="K69" i="174" s="1"/>
  <c r="K72" i="174" s="1"/>
  <c r="L68" i="148"/>
  <c r="L71" i="148" s="1"/>
  <c r="J73" i="148"/>
  <c r="J74" i="148" s="1"/>
  <c r="K64" i="182" l="1"/>
  <c r="L63" i="182" s="1"/>
  <c r="K82" i="195"/>
  <c r="K74" i="189"/>
  <c r="K18" i="188" s="1"/>
  <c r="K76" i="189" s="1"/>
  <c r="BA18" i="205"/>
  <c r="BA13" i="205" s="1"/>
  <c r="BA23" i="205" s="1"/>
  <c r="BA53" i="205" s="1"/>
  <c r="J13" i="199"/>
  <c r="J23" i="199" s="1"/>
  <c r="J57" i="199" s="1"/>
  <c r="AT13" i="205"/>
  <c r="AT23" i="205" s="1"/>
  <c r="AO54" i="206"/>
  <c r="AV18" i="205"/>
  <c r="J13" i="188"/>
  <c r="J23" i="188" s="1"/>
  <c r="K75" i="201"/>
  <c r="L74" i="201" s="1"/>
  <c r="J77" i="194"/>
  <c r="AX18" i="205"/>
  <c r="AX13" i="205" s="1"/>
  <c r="AX23" i="205" s="1"/>
  <c r="AX53" i="205" s="1"/>
  <c r="J13" i="194"/>
  <c r="J23" i="194" s="1"/>
  <c r="J76" i="194"/>
  <c r="AZ18" i="205"/>
  <c r="AZ13" i="205" s="1"/>
  <c r="AZ23" i="205" s="1"/>
  <c r="AZ53" i="205" s="1"/>
  <c r="J13" i="202"/>
  <c r="J23" i="202" s="1"/>
  <c r="J61" i="202" s="1"/>
  <c r="J84" i="195"/>
  <c r="BK52" i="206"/>
  <c r="BP52" i="206" s="1"/>
  <c r="L81" i="195"/>
  <c r="K18" i="194"/>
  <c r="L64" i="201"/>
  <c r="L69" i="201" s="1"/>
  <c r="L72" i="201" s="1"/>
  <c r="L70" i="195"/>
  <c r="L76" i="195" s="1"/>
  <c r="L79" i="195" s="1"/>
  <c r="J18" i="183"/>
  <c r="I23" i="176"/>
  <c r="K64" i="177"/>
  <c r="K65" i="177" s="1"/>
  <c r="K18" i="199" s="1"/>
  <c r="J18" i="176"/>
  <c r="L59" i="177"/>
  <c r="L62" i="177" s="1"/>
  <c r="K18" i="183"/>
  <c r="BH18" i="205" s="1"/>
  <c r="L48" i="181"/>
  <c r="L54" i="181" s="1"/>
  <c r="L57" i="181" s="1"/>
  <c r="L52" i="182"/>
  <c r="L58" i="182" s="1"/>
  <c r="L61" i="182" s="1"/>
  <c r="K60" i="181"/>
  <c r="L59" i="181" s="1"/>
  <c r="L25" i="149"/>
  <c r="L68" i="149" s="1"/>
  <c r="L70" i="167"/>
  <c r="L76" i="167" s="1"/>
  <c r="L79" i="167" s="1"/>
  <c r="K81" i="167"/>
  <c r="K82" i="167" s="1"/>
  <c r="K84" i="167" s="1"/>
  <c r="L63" i="174"/>
  <c r="L69" i="174" s="1"/>
  <c r="L72" i="174" s="1"/>
  <c r="K74" i="174"/>
  <c r="K75" i="174" s="1"/>
  <c r="K77" i="174" s="1"/>
  <c r="J76" i="148"/>
  <c r="K73" i="148"/>
  <c r="K74" i="148" s="1"/>
  <c r="L67" i="149"/>
  <c r="L82" i="195" l="1"/>
  <c r="K18" i="202"/>
  <c r="AV13" i="205"/>
  <c r="AV23" i="205" s="1"/>
  <c r="BC18" i="205"/>
  <c r="L73" i="189"/>
  <c r="L74" i="189" s="1"/>
  <c r="L18" i="188" s="1"/>
  <c r="L76" i="189" s="1"/>
  <c r="J67" i="177"/>
  <c r="J67" i="196"/>
  <c r="BJ18" i="205"/>
  <c r="BJ13" i="205" s="1"/>
  <c r="BJ23" i="205" s="1"/>
  <c r="BJ53" i="205" s="1"/>
  <c r="K13" i="199"/>
  <c r="K23" i="199" s="1"/>
  <c r="K57" i="199" s="1"/>
  <c r="J75" i="194"/>
  <c r="J67" i="194"/>
  <c r="L75" i="201"/>
  <c r="L18" i="202" s="1"/>
  <c r="L13" i="202" s="1"/>
  <c r="L23" i="202" s="1"/>
  <c r="L61" i="202" s="1"/>
  <c r="K84" i="195"/>
  <c r="K77" i="194"/>
  <c r="BG18" i="205"/>
  <c r="BG13" i="205" s="1"/>
  <c r="BG23" i="205" s="1"/>
  <c r="BG53" i="205" s="1"/>
  <c r="K76" i="194"/>
  <c r="K13" i="194"/>
  <c r="K23" i="194" s="1"/>
  <c r="L18" i="194"/>
  <c r="L84" i="195" s="1"/>
  <c r="K77" i="201"/>
  <c r="K13" i="202"/>
  <c r="K23" i="202" s="1"/>
  <c r="K61" i="202" s="1"/>
  <c r="BI18" i="205"/>
  <c r="BI13" i="205" s="1"/>
  <c r="BI23" i="205" s="1"/>
  <c r="BI53" i="205" s="1"/>
  <c r="K13" i="188"/>
  <c r="K23" i="188" s="1"/>
  <c r="BE18" i="205"/>
  <c r="BH13" i="205"/>
  <c r="BH23" i="205" s="1"/>
  <c r="BH53" i="205" s="1"/>
  <c r="J65" i="183"/>
  <c r="AY18" i="205"/>
  <c r="K66" i="183"/>
  <c r="K65" i="183"/>
  <c r="J66" i="182"/>
  <c r="J66" i="183"/>
  <c r="J13" i="183"/>
  <c r="J23" i="183" s="1"/>
  <c r="J64" i="183" s="1"/>
  <c r="I57" i="176"/>
  <c r="K18" i="176"/>
  <c r="J13" i="176"/>
  <c r="J23" i="176" s="1"/>
  <c r="L60" i="181"/>
  <c r="L62" i="181" s="1"/>
  <c r="K62" i="181"/>
  <c r="L64" i="182"/>
  <c r="K66" i="182"/>
  <c r="K13" i="183"/>
  <c r="K23" i="183" s="1"/>
  <c r="K64" i="183" s="1"/>
  <c r="L81" i="167"/>
  <c r="L82" i="167" s="1"/>
  <c r="L84" i="167" s="1"/>
  <c r="L64" i="177"/>
  <c r="L65" i="177" s="1"/>
  <c r="L18" i="199" s="1"/>
  <c r="L74" i="174"/>
  <c r="L75" i="174" s="1"/>
  <c r="L77" i="174" s="1"/>
  <c r="L73" i="148"/>
  <c r="L74" i="148" s="1"/>
  <c r="K76" i="148"/>
  <c r="J57" i="149"/>
  <c r="J59" i="149" s="1"/>
  <c r="BE13" i="205" l="1"/>
  <c r="BE23" i="205" s="1"/>
  <c r="BL18" i="205"/>
  <c r="BL13" i="205" s="1"/>
  <c r="BL23" i="205" s="1"/>
  <c r="BR18" i="205"/>
  <c r="BR13" i="205" s="1"/>
  <c r="BR23" i="205" s="1"/>
  <c r="BR53" i="205" s="1"/>
  <c r="BS18" i="205"/>
  <c r="BS13" i="205" s="1"/>
  <c r="BS23" i="205" s="1"/>
  <c r="BS53" i="205" s="1"/>
  <c r="L13" i="199"/>
  <c r="L23" i="199" s="1"/>
  <c r="L57" i="199" s="1"/>
  <c r="K67" i="177"/>
  <c r="K67" i="196"/>
  <c r="L77" i="201"/>
  <c r="L76" i="194"/>
  <c r="L13" i="194"/>
  <c r="L23" i="194" s="1"/>
  <c r="L77" i="194"/>
  <c r="BP18" i="205"/>
  <c r="BP13" i="205" s="1"/>
  <c r="BP23" i="205" s="1"/>
  <c r="BP53" i="205" s="1"/>
  <c r="K75" i="194"/>
  <c r="K67" i="194"/>
  <c r="L13" i="188"/>
  <c r="L23" i="188" s="1"/>
  <c r="BN18" i="205"/>
  <c r="BN13" i="205" s="1"/>
  <c r="BN23" i="205" s="1"/>
  <c r="AY13" i="205"/>
  <c r="AY23" i="205" s="1"/>
  <c r="AY53" i="205" s="1"/>
  <c r="J56" i="183"/>
  <c r="K13" i="176"/>
  <c r="K23" i="176" s="1"/>
  <c r="K57" i="176" s="1"/>
  <c r="L18" i="176"/>
  <c r="J57" i="176"/>
  <c r="K56" i="183"/>
  <c r="L18" i="183"/>
  <c r="BQ18" i="205" s="1"/>
  <c r="L76" i="148"/>
  <c r="K57" i="149"/>
  <c r="BU18" i="205" l="1"/>
  <c r="BU13" i="205" s="1"/>
  <c r="BU23" i="205" s="1"/>
  <c r="BG54" i="206"/>
  <c r="L67" i="177"/>
  <c r="L67" i="196"/>
  <c r="L75" i="194"/>
  <c r="L67" i="194"/>
  <c r="BQ13" i="205"/>
  <c r="BQ23" i="205" s="1"/>
  <c r="BQ53" i="205" s="1"/>
  <c r="BC13" i="205"/>
  <c r="BC23" i="205" s="1"/>
  <c r="AX54" i="206"/>
  <c r="L66" i="182"/>
  <c r="L66" i="183"/>
  <c r="L65" i="183"/>
  <c r="L13" i="176"/>
  <c r="L23" i="176" s="1"/>
  <c r="L13" i="183"/>
  <c r="L23" i="183" s="1"/>
  <c r="L64" i="183" s="1"/>
  <c r="K59" i="149"/>
  <c r="L57" i="149"/>
  <c r="BP54" i="206" l="1"/>
  <c r="L57" i="176"/>
  <c r="L56" i="183"/>
  <c r="L59" i="149"/>
  <c r="F13" i="21" l="1"/>
  <c r="F15" i="21" s="1"/>
  <c r="F22" i="21" s="1"/>
  <c r="F27" i="21" s="1"/>
  <c r="F33" i="21" s="1"/>
  <c r="E13" i="21"/>
  <c r="E15" i="21"/>
  <c r="D13" i="21"/>
  <c r="D15" i="21" s="1"/>
  <c r="D22" i="21" s="1"/>
  <c r="F36" i="21" l="1"/>
  <c r="E36" i="21"/>
  <c r="E22" i="21"/>
  <c r="D36" i="21"/>
  <c r="C13" i="21"/>
  <c r="C15" i="21" s="1"/>
  <c r="C22" i="21" s="1"/>
  <c r="C36" i="21" l="1"/>
  <c r="F38" i="21"/>
  <c r="F39" i="21"/>
  <c r="F84" i="21"/>
  <c r="F37" i="21"/>
  <c r="E84" i="21"/>
  <c r="E37" i="21"/>
  <c r="E27" i="21"/>
  <c r="E38" i="21" s="1"/>
  <c r="D84" i="21"/>
  <c r="D37" i="21"/>
  <c r="D27" i="21"/>
  <c r="D38" i="21" s="1"/>
  <c r="D33" i="21"/>
  <c r="D39" i="21" s="1"/>
  <c r="C84" i="21"/>
  <c r="C37" i="21"/>
  <c r="C27" i="21"/>
  <c r="C33" i="21" s="1"/>
  <c r="C39" i="21" s="1"/>
  <c r="C38" i="21" l="1"/>
  <c r="D91" i="21"/>
  <c r="D95" i="21" s="1"/>
  <c r="D106" i="21" s="1"/>
  <c r="D108" i="21" s="1"/>
  <c r="E107" i="21" s="1"/>
  <c r="E33" i="21"/>
  <c r="F91" i="21"/>
  <c r="F95" i="21" s="1"/>
  <c r="F106" i="21" s="1"/>
  <c r="E91" i="21" l="1"/>
  <c r="E95" i="21" s="1"/>
  <c r="E106" i="21" s="1"/>
  <c r="E108" i="21" s="1"/>
  <c r="F107" i="21" s="1"/>
  <c r="E39" i="21"/>
  <c r="F108" i="21"/>
  <c r="F13" i="153"/>
  <c r="F15" i="153" s="1"/>
  <c r="F22" i="153" s="1"/>
  <c r="F27" i="153" s="1"/>
  <c r="E13" i="153"/>
  <c r="E15" i="153" s="1"/>
  <c r="E22" i="153" s="1"/>
  <c r="E27" i="153" s="1"/>
  <c r="F36" i="153" l="1"/>
  <c r="E36" i="153"/>
  <c r="D13" i="153"/>
  <c r="D15" i="153" s="1"/>
  <c r="D22" i="153" s="1"/>
  <c r="D27" i="153" s="1"/>
  <c r="D36" i="153" l="1"/>
  <c r="F38" i="153"/>
  <c r="F33" i="153"/>
  <c r="F39" i="153" s="1"/>
  <c r="F84" i="153"/>
  <c r="F37" i="153"/>
  <c r="E33" i="153"/>
  <c r="E38" i="153"/>
  <c r="E84" i="153"/>
  <c r="E37" i="153"/>
  <c r="F91" i="153" l="1"/>
  <c r="F95" i="153" s="1"/>
  <c r="F106" i="153" s="1"/>
  <c r="E39" i="153"/>
  <c r="E91" i="153"/>
  <c r="E95" i="153" s="1"/>
  <c r="E106" i="153" s="1"/>
  <c r="E108" i="153" s="1"/>
  <c r="F107" i="153" s="1"/>
  <c r="D38" i="153"/>
  <c r="D84" i="153"/>
  <c r="D37" i="153"/>
  <c r="F108" i="153" l="1"/>
  <c r="D33" i="153"/>
  <c r="D39" i="153" s="1"/>
  <c r="F13" i="161"/>
  <c r="F15" i="161" s="1"/>
  <c r="F22" i="161" s="1"/>
  <c r="F27" i="161" s="1"/>
  <c r="F33" i="161" s="1"/>
  <c r="F36" i="161" l="1"/>
  <c r="E13" i="161"/>
  <c r="E15" i="161" s="1"/>
  <c r="E22" i="161" s="1"/>
  <c r="E36" i="161" l="1"/>
  <c r="D13" i="161"/>
  <c r="D15" i="161" s="1"/>
  <c r="C13" i="161"/>
  <c r="C15" i="161" s="1"/>
  <c r="C22" i="161" s="1"/>
  <c r="D22" i="161" l="1"/>
  <c r="D36" i="161"/>
  <c r="C36" i="161"/>
  <c r="F37" i="161"/>
  <c r="F84" i="161"/>
  <c r="F38" i="161"/>
  <c r="F39" i="161"/>
  <c r="F91" i="161" l="1"/>
  <c r="F95" i="161" s="1"/>
  <c r="F106" i="161" s="1"/>
  <c r="E27" i="161"/>
  <c r="E33" i="161" s="1"/>
  <c r="E39" i="161" s="1"/>
  <c r="E38" i="161"/>
  <c r="D27" i="161"/>
  <c r="D33" i="161" s="1"/>
  <c r="D91" i="161" s="1"/>
  <c r="D95" i="161" s="1"/>
  <c r="D106" i="161" s="1"/>
  <c r="D108" i="161" s="1"/>
  <c r="E107" i="161" s="1"/>
  <c r="E84" i="161"/>
  <c r="E37" i="161"/>
  <c r="C84" i="161"/>
  <c r="C37" i="161"/>
  <c r="C27" i="161"/>
  <c r="C38" i="161" s="1"/>
  <c r="D37" i="161"/>
  <c r="D84" i="161"/>
  <c r="D38" i="161" l="1"/>
  <c r="C33" i="161"/>
  <c r="C39" i="161" s="1"/>
  <c r="D39" i="161"/>
  <c r="E91" i="161"/>
  <c r="E95" i="161" s="1"/>
  <c r="E106" i="161" s="1"/>
  <c r="E108" i="161" s="1"/>
  <c r="F107" i="161" s="1"/>
  <c r="F108" i="161" s="1"/>
  <c r="I265" i="187"/>
  <c r="AM54" i="203" s="1"/>
  <c r="AT54" i="203" s="1"/>
  <c r="I271" i="187" l="1"/>
  <c r="I272" i="187" s="1"/>
  <c r="AM56" i="203"/>
  <c r="AT56" i="203" s="1"/>
  <c r="I279" i="187" l="1"/>
  <c r="I29" i="188"/>
  <c r="AM29" i="205" s="1"/>
  <c r="AT29" i="205" s="1"/>
  <c r="AT25" i="205" s="1"/>
  <c r="AT51" i="205" s="1"/>
  <c r="AT53" i="205" s="1"/>
  <c r="AM57" i="203"/>
  <c r="AM64" i="203"/>
  <c r="J28" i="188"/>
  <c r="AV28" i="205" s="1"/>
  <c r="BC28" i="205" s="1"/>
  <c r="I25" i="188"/>
  <c r="I57" i="188" s="1"/>
  <c r="AM25" i="205" l="1"/>
  <c r="AM51" i="205" s="1"/>
  <c r="AM53" i="205" s="1"/>
  <c r="AT64" i="203"/>
  <c r="AT57" i="203"/>
  <c r="AV25" i="205"/>
  <c r="AV51" i="205" s="1"/>
  <c r="AV53" i="205" s="1"/>
  <c r="BC25" i="205"/>
  <c r="BC51" i="205" s="1"/>
  <c r="BC53" i="205" s="1"/>
  <c r="K28" i="188"/>
  <c r="BE28" i="205" s="1"/>
  <c r="BL28" i="205" s="1"/>
  <c r="BL25" i="205" s="1"/>
  <c r="BL51" i="205" s="1"/>
  <c r="J25" i="188"/>
  <c r="J57" i="188" s="1"/>
  <c r="I67" i="188"/>
  <c r="I59" i="188"/>
  <c r="I60" i="188"/>
  <c r="BE25" i="205" l="1"/>
  <c r="BE51" i="205" s="1"/>
  <c r="BE53" i="205" s="1"/>
  <c r="BL53" i="205"/>
  <c r="J67" i="188"/>
  <c r="J59" i="188"/>
  <c r="J60" i="188"/>
  <c r="L28" i="188"/>
  <c r="K25" i="188"/>
  <c r="K57" i="188" s="1"/>
  <c r="L25" i="188" l="1"/>
  <c r="L57" i="188" s="1"/>
  <c r="L67" i="188" s="1"/>
  <c r="BN28" i="205"/>
  <c r="BU28" i="205" s="1"/>
  <c r="BU25" i="205" s="1"/>
  <c r="BU51" i="205" s="1"/>
  <c r="K60" i="188"/>
  <c r="K67" i="188"/>
  <c r="K59" i="188"/>
  <c r="L59" i="188" l="1"/>
  <c r="L60" i="188"/>
  <c r="BN25" i="205"/>
  <c r="BN51" i="205" s="1"/>
  <c r="BN53" i="205" s="1"/>
  <c r="BU53" i="205"/>
</calcChain>
</file>

<file path=xl/sharedStrings.xml><?xml version="1.0" encoding="utf-8"?>
<sst xmlns="http://schemas.openxmlformats.org/spreadsheetml/2006/main" count="5306" uniqueCount="945">
  <si>
    <t xml:space="preserve"> Compte de résultats</t>
  </si>
  <si>
    <t xml:space="preserve"> Commentaires</t>
  </si>
  <si>
    <t>Données en k€</t>
  </si>
  <si>
    <t>12m</t>
  </si>
  <si>
    <t>Vente marchandises</t>
  </si>
  <si>
    <t>Vente produits</t>
  </si>
  <si>
    <t>Prestations de services</t>
  </si>
  <si>
    <t>Chiffre d'affaires</t>
  </si>
  <si>
    <t>Production stockée</t>
  </si>
  <si>
    <t>Production immobilisée</t>
  </si>
  <si>
    <t>Subvention d'exploitation</t>
  </si>
  <si>
    <t>Reprises sur amortissements et prov.</t>
  </si>
  <si>
    <t>Autres produits</t>
  </si>
  <si>
    <t>Produits d'exploitation</t>
  </si>
  <si>
    <t>Production d'exploitation</t>
  </si>
  <si>
    <t>Achats consommés</t>
  </si>
  <si>
    <t>Marge brute</t>
  </si>
  <si>
    <t xml:space="preserve">AACE </t>
  </si>
  <si>
    <t>Salaires bruts</t>
  </si>
  <si>
    <t>Charges sociales</t>
  </si>
  <si>
    <t>Participation des salariés</t>
  </si>
  <si>
    <t>Charges de personnel</t>
  </si>
  <si>
    <t>Impôts &amp; taxes</t>
  </si>
  <si>
    <t>Autres charges</t>
  </si>
  <si>
    <t>EBITDA</t>
  </si>
  <si>
    <t>Amortissements</t>
  </si>
  <si>
    <t>EBIT</t>
  </si>
  <si>
    <t>Produits financiers</t>
  </si>
  <si>
    <t>Charges financières</t>
  </si>
  <si>
    <t>Résultat financier</t>
  </si>
  <si>
    <t>Résultat exceptionnel</t>
  </si>
  <si>
    <t>Impôt sur les sociétés</t>
  </si>
  <si>
    <t>Résultat net</t>
  </si>
  <si>
    <t>Ratios clefs, en % du CA</t>
  </si>
  <si>
    <t>Evolution du CA</t>
  </si>
  <si>
    <t>RN</t>
  </si>
  <si>
    <t xml:space="preserve"> Bilan</t>
  </si>
  <si>
    <t>Ecarts d'acquisition</t>
  </si>
  <si>
    <t>Immo. incorporelles</t>
  </si>
  <si>
    <t>Immo. corporelles</t>
  </si>
  <si>
    <t>Immo. financières</t>
  </si>
  <si>
    <t>Actif immobilisé</t>
  </si>
  <si>
    <t>Stocks &amp; encours</t>
  </si>
  <si>
    <t>Clients &amp; comptes rattachés</t>
  </si>
  <si>
    <t>Dettes fournisseurs</t>
  </si>
  <si>
    <t>BFR d'exploitation</t>
  </si>
  <si>
    <t>Autres créances / comptes régul.</t>
  </si>
  <si>
    <t>Dettes fiscales &amp; sociales</t>
  </si>
  <si>
    <t>Autres dettes / comptes régul.</t>
  </si>
  <si>
    <t>BFR hors exploitation</t>
  </si>
  <si>
    <t>BFR</t>
  </si>
  <si>
    <t>Provisions</t>
  </si>
  <si>
    <t>Disponibilités</t>
  </si>
  <si>
    <t>VMP</t>
  </si>
  <si>
    <t>Trésorerie &amp; VMP</t>
  </si>
  <si>
    <t>Emprunts bancaires</t>
  </si>
  <si>
    <t>Emprunt et dette financière divers</t>
  </si>
  <si>
    <t>Autres emprunts obligataires</t>
  </si>
  <si>
    <t>Concours bancaires courants</t>
  </si>
  <si>
    <t>Intérêts courus non échus</t>
  </si>
  <si>
    <t>Emprunts &amp; dettes financières</t>
  </si>
  <si>
    <t>Trésorerie / (Dette) Nette</t>
  </si>
  <si>
    <t>Situation nette</t>
  </si>
  <si>
    <t>Capital</t>
  </si>
  <si>
    <t>Primes</t>
  </si>
  <si>
    <t>Réserves</t>
  </si>
  <si>
    <t>Résultat</t>
  </si>
  <si>
    <t>Capitaux propres</t>
  </si>
  <si>
    <t>Ratios clefs, en jours de CA</t>
  </si>
  <si>
    <t>Clients</t>
  </si>
  <si>
    <t>Fournisseurs</t>
  </si>
  <si>
    <t>BFRe</t>
  </si>
  <si>
    <t>Total bilan</t>
  </si>
  <si>
    <t>DFN / capitaux propres</t>
  </si>
  <si>
    <t>Levier (DFN / EBITDA)</t>
  </si>
  <si>
    <t xml:space="preserve">Check (doit être nul) </t>
  </si>
  <si>
    <t>Cash Flow</t>
  </si>
  <si>
    <t>Résultat Net</t>
  </si>
  <si>
    <t>DAP et Autres</t>
  </si>
  <si>
    <t>Reprises et Autres</t>
  </si>
  <si>
    <t>Var. BFN net</t>
  </si>
  <si>
    <t>Cash-flow des opérations</t>
  </si>
  <si>
    <t>CAPEX</t>
  </si>
  <si>
    <t>Cash-flow Investissements</t>
  </si>
  <si>
    <t>Var. immos financières</t>
  </si>
  <si>
    <t>Versement de dividendes</t>
  </si>
  <si>
    <t>Variation comptes courants</t>
  </si>
  <si>
    <t>Variation emprunts et autres dettes</t>
  </si>
  <si>
    <t>Variation intérêts courus</t>
  </si>
  <si>
    <t>Autres flux financiers</t>
  </si>
  <si>
    <t>Cash-flow financement</t>
  </si>
  <si>
    <t>Autres éléments</t>
  </si>
  <si>
    <t>Variation de trésorerie</t>
  </si>
  <si>
    <t>Trésorerie ouverture</t>
  </si>
  <si>
    <t>Trésorerie clôture</t>
  </si>
  <si>
    <t>New Rasec</t>
  </si>
  <si>
    <t>LSB</t>
  </si>
  <si>
    <t>Moy 2 ans</t>
  </si>
  <si>
    <t>Multiple d'EBITDA</t>
  </si>
  <si>
    <t>Valeur d'Entreprise</t>
  </si>
  <si>
    <t>Valeur de 100% des titres</t>
  </si>
  <si>
    <t>Actions</t>
  </si>
  <si>
    <t xml:space="preserve">k€ </t>
  </si>
  <si>
    <t>Total</t>
  </si>
  <si>
    <t xml:space="preserve"> Emplois / Ressources</t>
  </si>
  <si>
    <t>Emplois</t>
  </si>
  <si>
    <t>%</t>
  </si>
  <si>
    <t xml:space="preserve"> Ressources</t>
  </si>
  <si>
    <t>k€</t>
  </si>
  <si>
    <t>k€ FD</t>
  </si>
  <si>
    <t xml:space="preserve"> Total fonds propres</t>
  </si>
  <si>
    <t>Capitaux Propres</t>
  </si>
  <si>
    <t>Trésorerie</t>
  </si>
  <si>
    <t>P&amp;L Consolidé (€)</t>
  </si>
  <si>
    <t>Données en €</t>
  </si>
  <si>
    <t>TOTAL VENTES DE MARCHANDISES</t>
  </si>
  <si>
    <t>TOTAL PRODUCTION VENDUE</t>
  </si>
  <si>
    <t>Total Chiffre d'Affaires</t>
  </si>
  <si>
    <t>Total Autres Produits d'exploitation</t>
  </si>
  <si>
    <t>Total Produits</t>
  </si>
  <si>
    <t>Total Achats Consommés</t>
  </si>
  <si>
    <t>Cadeaux à la clientèle</t>
  </si>
  <si>
    <t>Total Autres charges et charges ext.</t>
  </si>
  <si>
    <t xml:space="preserve">Marge Brute </t>
  </si>
  <si>
    <t>Taux de Marge Brute</t>
  </si>
  <si>
    <t>Impôts, taxes et vers. assim.</t>
  </si>
  <si>
    <t>Taxe d'apprentissage</t>
  </si>
  <si>
    <t>Salaires et Traitements</t>
  </si>
  <si>
    <t>Excédent Brut d'Exploitation</t>
  </si>
  <si>
    <t>Taux de EBE</t>
  </si>
  <si>
    <t>Amortissements et provisions</t>
  </si>
  <si>
    <t>Autres Charges</t>
  </si>
  <si>
    <t>Résultat d'Exploitation</t>
  </si>
  <si>
    <t>Taux de REX</t>
  </si>
  <si>
    <t>Résultat Financier:</t>
  </si>
  <si>
    <t>Résultat Courant</t>
  </si>
  <si>
    <t>Produits exceptionnels</t>
  </si>
  <si>
    <t>Résultat Exceptionnel:</t>
  </si>
  <si>
    <t>Résultat courant avant impot</t>
  </si>
  <si>
    <t>Impôts sur les bénéfices</t>
  </si>
  <si>
    <t>Résultat de l'exercice</t>
  </si>
  <si>
    <t xml:space="preserve">Marge Nette </t>
  </si>
  <si>
    <t>Carburant</t>
  </si>
  <si>
    <t>Honoraires</t>
  </si>
  <si>
    <t>Personnel intérimaire</t>
  </si>
  <si>
    <t>Frais postaux</t>
  </si>
  <si>
    <t>Charges exceptionnelles</t>
  </si>
  <si>
    <t>AGREGE</t>
  </si>
  <si>
    <t>MBMA &amp; MBCT</t>
  </si>
  <si>
    <t>Euo Sièges</t>
  </si>
  <si>
    <t>FY 20</t>
  </si>
  <si>
    <t>FY 21</t>
  </si>
  <si>
    <t>FY 22</t>
  </si>
  <si>
    <t>FY 23</t>
  </si>
  <si>
    <t>FY 24</t>
  </si>
  <si>
    <t>FY 25</t>
  </si>
  <si>
    <t>FY 26</t>
  </si>
  <si>
    <t>FY 27</t>
  </si>
  <si>
    <t>FY 28</t>
  </si>
  <si>
    <t>Investissements</t>
  </si>
  <si>
    <t>Autres (subventions d'investissement)</t>
  </si>
  <si>
    <t>100% des titres</t>
  </si>
  <si>
    <t>Subventions</t>
  </si>
  <si>
    <t>Dettes Nettes</t>
  </si>
  <si>
    <t>Ventes de Marchandises</t>
  </si>
  <si>
    <t>Ventes de Produits</t>
  </si>
  <si>
    <t>Ventes de Services</t>
  </si>
  <si>
    <t>Achats marchandises</t>
  </si>
  <si>
    <t>Var. stock marchandises</t>
  </si>
  <si>
    <t>Variation stocks MP</t>
  </si>
  <si>
    <t>AACE</t>
  </si>
  <si>
    <t>Achats non stockés</t>
  </si>
  <si>
    <t>Sous-traitance</t>
  </si>
  <si>
    <t>Crédit-bail</t>
  </si>
  <si>
    <t>Locations</t>
  </si>
  <si>
    <t>Entretien et maintenance</t>
  </si>
  <si>
    <t>Assurances</t>
  </si>
  <si>
    <t>Documentations</t>
  </si>
  <si>
    <t>Publicité</t>
  </si>
  <si>
    <t>Déplacements</t>
  </si>
  <si>
    <t>Autres</t>
  </si>
  <si>
    <t>Valeur ajouté</t>
  </si>
  <si>
    <t>Salaires et traitements</t>
  </si>
  <si>
    <t>Reprises et transfert de charges</t>
  </si>
  <si>
    <t>Amortissements / dépréciation</t>
  </si>
  <si>
    <t>Charges Financières</t>
  </si>
  <si>
    <t>Produits Exceptionnels</t>
  </si>
  <si>
    <t>Charges Exceptionnelles</t>
  </si>
  <si>
    <t>Arrondi</t>
  </si>
  <si>
    <t>Ratios financiers clefs, en % du CA</t>
  </si>
  <si>
    <t>Achats Matières Premières</t>
  </si>
  <si>
    <t>Transports</t>
  </si>
  <si>
    <t>Bilan</t>
  </si>
  <si>
    <t>Capital souscrit non appelé</t>
  </si>
  <si>
    <t>Actifs Immobilisés</t>
  </si>
  <si>
    <t>Actifs Incorporels</t>
  </si>
  <si>
    <t>Actifs Corporels</t>
  </si>
  <si>
    <t>Actifs Financiers</t>
  </si>
  <si>
    <t>Actifs Circulants</t>
  </si>
  <si>
    <t>Stocks</t>
  </si>
  <si>
    <t>Avances et Accomptes versés</t>
  </si>
  <si>
    <t>Créances Clients</t>
  </si>
  <si>
    <t>Autres Créances</t>
  </si>
  <si>
    <t>Disponibilités + VMP</t>
  </si>
  <si>
    <t>Charges constatées d'avance</t>
  </si>
  <si>
    <t>Total Actifs</t>
  </si>
  <si>
    <t>Capital Social</t>
  </si>
  <si>
    <t>Prime d'émission</t>
  </si>
  <si>
    <t>Subventions d'Investissements</t>
  </si>
  <si>
    <t>Provisions Réglementées</t>
  </si>
  <si>
    <t>Provisions pour risques</t>
  </si>
  <si>
    <t>Avances conditionnées</t>
  </si>
  <si>
    <t>Dettes Immobilisées</t>
  </si>
  <si>
    <t>Emprunts et dettes auprès des établissements de crédit</t>
  </si>
  <si>
    <t>Emprunts et dettes financières divers</t>
  </si>
  <si>
    <t>Dettes Circulantes</t>
  </si>
  <si>
    <t>Avances et Accomptes reçus</t>
  </si>
  <si>
    <t>Dettes Fiscales et Sociales</t>
  </si>
  <si>
    <t>Autres dettes</t>
  </si>
  <si>
    <t>Produits constatés d'avance</t>
  </si>
  <si>
    <t>Total Passifs</t>
  </si>
  <si>
    <t>Check</t>
  </si>
  <si>
    <t>Dettes sur immobilisations</t>
  </si>
  <si>
    <t>Cash Flow Statement</t>
  </si>
  <si>
    <t>Cash Flow from Operating Activities</t>
  </si>
  <si>
    <t>- Charges Exceptionnelles</t>
  </si>
  <si>
    <t>+ Produits Exceptionnels</t>
  </si>
  <si>
    <t>- Impôt sur les Sociétés</t>
  </si>
  <si>
    <t>= NOPAT: net operating profit after taxes</t>
  </si>
  <si>
    <t>+ Depreciations &amp; Amortissements (immobilisations &amp; provisions)</t>
  </si>
  <si>
    <t>- Reprises Depreciations &amp; Amortissements</t>
  </si>
  <si>
    <t>- Variation BFR</t>
  </si>
  <si>
    <t>- Variation stocks</t>
  </si>
  <si>
    <t>- Variation avances et acomptes versés</t>
  </si>
  <si>
    <t>- Variation Créances Clients</t>
  </si>
  <si>
    <t>- Variation Autres Créances</t>
  </si>
  <si>
    <t>- Variation charges constatées d'avance</t>
  </si>
  <si>
    <t>+ Variation Avances et Acomptes reçus</t>
  </si>
  <si>
    <t>+ Variation Dettes Fournisseurs</t>
  </si>
  <si>
    <t>+ Variation Dettes Fiscales et Sociales</t>
  </si>
  <si>
    <t>+ Variation Autres Dettes</t>
  </si>
  <si>
    <t>+ Variation Prod. Constatés d'av.</t>
  </si>
  <si>
    <t>Net cash Flow from Operations</t>
  </si>
  <si>
    <t>Cash Flow from Investing Activities</t>
  </si>
  <si>
    <t>Net cash Flow from Investing Activities</t>
  </si>
  <si>
    <t>Cash Flow from Financing Activities</t>
  </si>
  <si>
    <t>Net Cash Flow from Financing Activities</t>
  </si>
  <si>
    <t>arrondi</t>
  </si>
  <si>
    <t>Net Cash Flow</t>
  </si>
  <si>
    <t>Cash position begining of the period</t>
  </si>
  <si>
    <t>Cash position end of the period</t>
  </si>
  <si>
    <t>+ Variation Dettes immobilisations</t>
  </si>
  <si>
    <t>Levée de fonds</t>
  </si>
  <si>
    <t>OC</t>
  </si>
  <si>
    <t>TRI</t>
  </si>
  <si>
    <t>Moy 3 ans</t>
  </si>
  <si>
    <t>Valorisation retenue (k €)</t>
  </si>
  <si>
    <t>10m</t>
  </si>
  <si>
    <t>Impôt sur les Sociétés</t>
  </si>
  <si>
    <t>Impôt sur les Bénéfices</t>
  </si>
  <si>
    <t>Projection</t>
  </si>
  <si>
    <t>Historique</t>
  </si>
  <si>
    <t>Subventions d'exploitation</t>
  </si>
  <si>
    <t>Dividende</t>
  </si>
  <si>
    <t>Résultat Courant Avant Impôts</t>
  </si>
  <si>
    <t>Variation</t>
  </si>
  <si>
    <t>EBITDA retraité</t>
  </si>
  <si>
    <t>Moyenne</t>
  </si>
  <si>
    <t>Sortie Forinvest</t>
  </si>
  <si>
    <t>PROBOIS 43</t>
  </si>
  <si>
    <t>Emprunt CIC PGE n°43106</t>
  </si>
  <si>
    <t>Intérêt couru / emprunt</t>
  </si>
  <si>
    <t>SAS EMBALLAGES</t>
  </si>
  <si>
    <t>Changement période comptable</t>
  </si>
  <si>
    <t>BSB</t>
  </si>
  <si>
    <t>-</t>
  </si>
  <si>
    <t xml:space="preserve"> Valorisation </t>
  </si>
  <si>
    <t xml:space="preserve"> Valorisation</t>
  </si>
  <si>
    <t xml:space="preserve">SCI </t>
  </si>
  <si>
    <t>Vente bois scié intracom</t>
  </si>
  <si>
    <t>Vente bois brut intracom</t>
  </si>
  <si>
    <t>Vente bois scié 20%</t>
  </si>
  <si>
    <t>Vente de bois european</t>
  </si>
  <si>
    <t>Vente bois brut France exo tva</t>
  </si>
  <si>
    <t>Vente bois brut France 20%</t>
  </si>
  <si>
    <t>Vente bois bsb 20%</t>
  </si>
  <si>
    <t>Vente ht France</t>
  </si>
  <si>
    <t>Vente bois brut export</t>
  </si>
  <si>
    <t>Vente bois scie export</t>
  </si>
  <si>
    <t>Commission 20%</t>
  </si>
  <si>
    <t>Prestation administrative 20%</t>
  </si>
  <si>
    <t>Prestation admin em</t>
  </si>
  <si>
    <t>Prestation admin bsb</t>
  </si>
  <si>
    <t>Prestation intracom</t>
  </si>
  <si>
    <t>Produit d'activité annexe</t>
  </si>
  <si>
    <t>Port et frais sur vente 20%</t>
  </si>
  <si>
    <t>Port et frais divers 20%</t>
  </si>
  <si>
    <t>Refacturation fais bsb 20%</t>
  </si>
  <si>
    <t>Transfert charge exploitation</t>
  </si>
  <si>
    <t>Transfert charge personnel</t>
  </si>
  <si>
    <t>Produit gestion courante</t>
  </si>
  <si>
    <t>Achat bois scié France 20%</t>
  </si>
  <si>
    <t>Achat bsb 20%</t>
  </si>
  <si>
    <t>achat grume 5,5% ue</t>
  </si>
  <si>
    <t>Achat bois scié 20% export</t>
  </si>
  <si>
    <t>Achat export franchise</t>
  </si>
  <si>
    <t>Achat bsb franchise</t>
  </si>
  <si>
    <t>Achat bois intracom</t>
  </si>
  <si>
    <t>Achat bois 5,5%</t>
  </si>
  <si>
    <t>Acquisition intracom - Whysna</t>
  </si>
  <si>
    <t>Acquisition opération triangulaire</t>
  </si>
  <si>
    <t>Achat bois (particuliers)</t>
  </si>
  <si>
    <t>Transport routier 20% France</t>
  </si>
  <si>
    <t>Transport routier 20% export</t>
  </si>
  <si>
    <t>Transport maritime export</t>
  </si>
  <si>
    <t>Transport routier dba</t>
  </si>
  <si>
    <t>Transport routier intracom</t>
  </si>
  <si>
    <t>Sous-traitance sciage</t>
  </si>
  <si>
    <t>Redevance phytosanitaire</t>
  </si>
  <si>
    <t>Consommable pour le bois</t>
  </si>
  <si>
    <t>Var stock marchandises</t>
  </si>
  <si>
    <t>Achats d'études et prestations</t>
  </si>
  <si>
    <t>Electricité 20%</t>
  </si>
  <si>
    <t>Eau</t>
  </si>
  <si>
    <t>Carburant véhicule</t>
  </si>
  <si>
    <t>Carburant jb</t>
  </si>
  <si>
    <t>Carburant véhicule jumpy Alex</t>
  </si>
  <si>
    <t>Achat de petit équipement</t>
  </si>
  <si>
    <t>Vêtement de travail</t>
  </si>
  <si>
    <t>Fourniture administrative</t>
  </si>
  <si>
    <t>Frais annexe / étude</t>
  </si>
  <si>
    <t>Crédit bail vu Toyota</t>
  </si>
  <si>
    <t>Crédit bail Duster</t>
  </si>
  <si>
    <t>Crédit bail Mercedes</t>
  </si>
  <si>
    <t>Location immobilière</t>
  </si>
  <si>
    <t>Location de matériel divers</t>
  </si>
  <si>
    <t>Location matériel informatique</t>
  </si>
  <si>
    <t>Location bureautique fraisse</t>
  </si>
  <si>
    <t>Charge locative et de copro</t>
  </si>
  <si>
    <t>Entretien sur bien immobilier</t>
  </si>
  <si>
    <t>Entretien véhicule sd ht</t>
  </si>
  <si>
    <t>Entretien véhicule jb ht</t>
  </si>
  <si>
    <t>Entretien véhicule utilitaires</t>
  </si>
  <si>
    <t>Entretien véhicule commercial</t>
  </si>
  <si>
    <t>Maintenance matériel informatique</t>
  </si>
  <si>
    <t>Entretien véhicule tourisme</t>
  </si>
  <si>
    <t>Entretien véhicule C4 tb</t>
  </si>
  <si>
    <t>Assurance multirisque</t>
  </si>
  <si>
    <t>Assurance décès-invalidité</t>
  </si>
  <si>
    <t>Assurance RC dirigeant protection juridique</t>
  </si>
  <si>
    <t>Assurance matériel transport</t>
  </si>
  <si>
    <t>Assurance véhicule jb</t>
  </si>
  <si>
    <t>Documentation technique 10%</t>
  </si>
  <si>
    <t>Commission sur achat bois</t>
  </si>
  <si>
    <t>Commission sur achat bois - wh</t>
  </si>
  <si>
    <t>Commission sur achat bois ue</t>
  </si>
  <si>
    <t>Commission sur ventre - intracom</t>
  </si>
  <si>
    <t>Commission sur ventre export</t>
  </si>
  <si>
    <t>Commission sur ventre - fr</t>
  </si>
  <si>
    <t>Honoraires expert comptable</t>
  </si>
  <si>
    <t>Frais d'acte et contentieux ht</t>
  </si>
  <si>
    <t>Frais d'acte et contentieux ttc</t>
  </si>
  <si>
    <t>Rémunération &amp; honoraire divers 20%</t>
  </si>
  <si>
    <t>Annonce et insertions 20%</t>
  </si>
  <si>
    <t>Annonce et insertions ttc</t>
  </si>
  <si>
    <t>Dons</t>
  </si>
  <si>
    <t>Voyages et déplacement sd</t>
  </si>
  <si>
    <t>Déplacement jb</t>
  </si>
  <si>
    <t>Voyage et déplacement fr</t>
  </si>
  <si>
    <t>Voyage et déplacement export</t>
  </si>
  <si>
    <t>Réception</t>
  </si>
  <si>
    <t>Péage sd</t>
  </si>
  <si>
    <t>Péage tb</t>
  </si>
  <si>
    <t>Péage franco</t>
  </si>
  <si>
    <t>Frais envoie doc</t>
  </si>
  <si>
    <t>Frais télécom internet</t>
  </si>
  <si>
    <t>Frais tél portable jb</t>
  </si>
  <si>
    <t>Cotisations</t>
  </si>
  <si>
    <t>Alarme la chazelie</t>
  </si>
  <si>
    <t>Cotisation CVO</t>
  </si>
  <si>
    <t>Assurance véhicule commercial</t>
  </si>
  <si>
    <t>Formation continue</t>
  </si>
  <si>
    <t>CVAE</t>
  </si>
  <si>
    <t>Taxe véhicule société</t>
  </si>
  <si>
    <t>Autre droit</t>
  </si>
  <si>
    <t>Salaire administratif</t>
  </si>
  <si>
    <t>Salaire acheteur</t>
  </si>
  <si>
    <t>Salaire commercial</t>
  </si>
  <si>
    <t>Rémunération sd</t>
  </si>
  <si>
    <t>An véhicule</t>
  </si>
  <si>
    <t>Avantage nature</t>
  </si>
  <si>
    <t>Provision congé payé</t>
  </si>
  <si>
    <t>Prime intéressement</t>
  </si>
  <si>
    <t>Indemnité de rupture conventionnelle</t>
  </si>
  <si>
    <t>Cotisation sociale obligatoire ds</t>
  </si>
  <si>
    <t>Cotisation sociale facultatitve ds</t>
  </si>
  <si>
    <t>Cotisation URSSAF</t>
  </si>
  <si>
    <t>Cotisation URSSAF acheteur</t>
  </si>
  <si>
    <t>Cotisation URSSAF commercial</t>
  </si>
  <si>
    <t>Cotisation prévoyance</t>
  </si>
  <si>
    <t>Cotisation prévoyance acheteur</t>
  </si>
  <si>
    <t>Cotisation prévoyance commercial</t>
  </si>
  <si>
    <t>Cotisation mutuelle acheteur</t>
  </si>
  <si>
    <t>Cotisation mutuelle commercial</t>
  </si>
  <si>
    <t>Cotisation retraite</t>
  </si>
  <si>
    <t>Charge social sur CP</t>
  </si>
  <si>
    <t>Abondement</t>
  </si>
  <si>
    <t>Abondement PEE PERCO gérant</t>
  </si>
  <si>
    <t>Médecine du travail</t>
  </si>
  <si>
    <t>DAP incorporelle</t>
  </si>
  <si>
    <t>DAP corporelle</t>
  </si>
  <si>
    <t>Charges gestion courante</t>
  </si>
  <si>
    <t>Intérêts de C/C sc des sucs</t>
  </si>
  <si>
    <t>Gain de change</t>
  </si>
  <si>
    <t>Produit net cession VMP</t>
  </si>
  <si>
    <t>Intérêt d'emprunt PGE</t>
  </si>
  <si>
    <t>Intérêt prêt BPI France</t>
  </si>
  <si>
    <t>Escompte accordé</t>
  </si>
  <si>
    <t>Perte de change</t>
  </si>
  <si>
    <t>Autres prod excep op de gestion</t>
  </si>
  <si>
    <t>Produit cession actif</t>
  </si>
  <si>
    <t>Autre char excp gestion courante</t>
  </si>
  <si>
    <t>Val élément cédé immo corpo</t>
  </si>
  <si>
    <t>Crédit impôt mécénat</t>
  </si>
  <si>
    <t>Amende et pénalité</t>
  </si>
  <si>
    <t>Vente bois nrj France 10%</t>
  </si>
  <si>
    <t>Var stock emballage</t>
  </si>
  <si>
    <t>Crédit bail c3</t>
  </si>
  <si>
    <t>Crédit bail Porsche</t>
  </si>
  <si>
    <t>Assurance prêt PGE CIC</t>
  </si>
  <si>
    <t>Service bancaire cic</t>
  </si>
  <si>
    <t>Service bancaire crca</t>
  </si>
  <si>
    <t>Service bancaire bp</t>
  </si>
  <si>
    <t>Service bancaire CIC crédit doc</t>
  </si>
  <si>
    <t>Service bancaire bp crédit doc</t>
  </si>
  <si>
    <t>Service banciare divers</t>
  </si>
  <si>
    <t>Intérêts des emprunts BPI</t>
  </si>
  <si>
    <t>Intérêts sc des sucs</t>
  </si>
  <si>
    <t>Remise accordée sur vente</t>
  </si>
  <si>
    <t>Reprise prov dep créance client</t>
  </si>
  <si>
    <t>Indemnité activité partielle</t>
  </si>
  <si>
    <t>Transport routier sus pe taxe</t>
  </si>
  <si>
    <t>Assurance prêt</t>
  </si>
  <si>
    <t>Pertes sur créances irrécouvrables</t>
  </si>
  <si>
    <t>C/C sc des sucs</t>
  </si>
  <si>
    <t>Associé intérêt couru</t>
  </si>
  <si>
    <t>SAS EMBALLAGES MALEYSSON</t>
  </si>
  <si>
    <t>Vente produit fini France</t>
  </si>
  <si>
    <t>Vente caisse et emballage</t>
  </si>
  <si>
    <t>Prestation de service</t>
  </si>
  <si>
    <t>Prestation exo tva</t>
  </si>
  <si>
    <t>Frais de transport sur vente</t>
  </si>
  <si>
    <t>Var en cours production</t>
  </si>
  <si>
    <t>Reprise provision dépréciation créance client</t>
  </si>
  <si>
    <t>Remboursement IFC</t>
  </si>
  <si>
    <t>Remboursement assurance</t>
  </si>
  <si>
    <t>Produit de gestion courante</t>
  </si>
  <si>
    <t>Achat matière première bois</t>
  </si>
  <si>
    <t>Achat matière contreplaqué</t>
  </si>
  <si>
    <t>Achat matière emballage</t>
  </si>
  <si>
    <t>Achat matière consommable</t>
  </si>
  <si>
    <t>Var stock MP</t>
  </si>
  <si>
    <t>Electricité</t>
  </si>
  <si>
    <t>Fourniture eau</t>
  </si>
  <si>
    <t>Fourniture gaz</t>
  </si>
  <si>
    <t>Fourniture entretien</t>
  </si>
  <si>
    <t>Prestation traitement bois</t>
  </si>
  <si>
    <t>Sous-traitance commande</t>
  </si>
  <si>
    <t>Crédit bail Jumper</t>
  </si>
  <si>
    <t>Location mobilier (-6 mois)</t>
  </si>
  <si>
    <t>Location mobilière</t>
  </si>
  <si>
    <t>Location benne</t>
  </si>
  <si>
    <t>Location site internet</t>
  </si>
  <si>
    <t>Location photocopieur</t>
  </si>
  <si>
    <t>Location Iveco EQ-268-GM</t>
  </si>
  <si>
    <t>Entretien bien immobilier</t>
  </si>
  <si>
    <t>Nettoyage local</t>
  </si>
  <si>
    <t>Entretien bien mobilier</t>
  </si>
  <si>
    <t>Entretien matériel transport</t>
  </si>
  <si>
    <t>Entretien vêtement travail</t>
  </si>
  <si>
    <t xml:space="preserve">Maintenance   </t>
  </si>
  <si>
    <t>Assurance sur emprunt</t>
  </si>
  <si>
    <t>Assurance RC</t>
  </si>
  <si>
    <t>Assurance protection juridique</t>
  </si>
  <si>
    <t>Assurance matériel</t>
  </si>
  <si>
    <t>Assurance transport</t>
  </si>
  <si>
    <t>Assurance risque exploitation</t>
  </si>
  <si>
    <t>Assurance homme clef</t>
  </si>
  <si>
    <t>Indemnité de fin de carrière</t>
  </si>
  <si>
    <t>Prestation EMH</t>
  </si>
  <si>
    <t>Prestation Probois</t>
  </si>
  <si>
    <t>Honoraire comptabilité</t>
  </si>
  <si>
    <t>Honoraire divers</t>
  </si>
  <si>
    <t>Frais acte et contentieux</t>
  </si>
  <si>
    <t>Annonce et insertion</t>
  </si>
  <si>
    <t>Cadeau à la clientèle</t>
  </si>
  <si>
    <t>Pourboire et don</t>
  </si>
  <si>
    <t>Transport sur achat</t>
  </si>
  <si>
    <t>Transport sur vente</t>
  </si>
  <si>
    <t>Voyages et déplacements</t>
  </si>
  <si>
    <t>Voyage et déplacement</t>
  </si>
  <si>
    <t>Frais déplacement salarié</t>
  </si>
  <si>
    <t>Frais déplacement emballage</t>
  </si>
  <si>
    <t>Mission et réception</t>
  </si>
  <si>
    <t>Réception 20%</t>
  </si>
  <si>
    <t>Frais télécom fixe-portable</t>
  </si>
  <si>
    <t>Service bancaire banque pop</t>
  </si>
  <si>
    <t>Service bancaire CIC</t>
  </si>
  <si>
    <t>Service bancaire NUGER</t>
  </si>
  <si>
    <t>Service bancaire LCL</t>
  </si>
  <si>
    <t>Cotisation</t>
  </si>
  <si>
    <t>Sous-traitance logiciel info</t>
  </si>
  <si>
    <t>Commission courtage sur achat</t>
  </si>
  <si>
    <t>Honoraire commercial / conseil</t>
  </si>
  <si>
    <t>CFE</t>
  </si>
  <si>
    <t>Taxe à l'essieu</t>
  </si>
  <si>
    <t>Salaire atelier</t>
  </si>
  <si>
    <t>Salaire emballage</t>
  </si>
  <si>
    <t>Indemnité avantage divers</t>
  </si>
  <si>
    <t>Cotisation soc ob gérant</t>
  </si>
  <si>
    <t>Cotisation soc facultatif gérant</t>
  </si>
  <si>
    <t>Indemnité repas atelier</t>
  </si>
  <si>
    <t>Indemnité rupture</t>
  </si>
  <si>
    <t>Cotisation mutuelle prévoyance</t>
  </si>
  <si>
    <t>Congé payé</t>
  </si>
  <si>
    <t>Emprunt BPI n°286</t>
  </si>
  <si>
    <t>Abattage - débardage</t>
  </si>
  <si>
    <t>Formation et qtage</t>
  </si>
  <si>
    <t>Chèque cadeau salarié</t>
  </si>
  <si>
    <t>Perte sur créance irrécouvrable</t>
  </si>
  <si>
    <t>Charge de gestion courante</t>
  </si>
  <si>
    <t>Intérêt C/C</t>
  </si>
  <si>
    <t>Escompte obtenu</t>
  </si>
  <si>
    <t>Autre produit financier</t>
  </si>
  <si>
    <t>Intérêt d'emprunt</t>
  </si>
  <si>
    <t>Produit sur exercice antérieur</t>
  </si>
  <si>
    <t>Valeur elémént cédés immo incorpo</t>
  </si>
  <si>
    <t>CI mécénat</t>
  </si>
  <si>
    <t>Aide covid non imposable</t>
  </si>
  <si>
    <t>Achat matière première divers</t>
  </si>
  <si>
    <t>Petit équipement</t>
  </si>
  <si>
    <t>Crédit bail manuloc Hyster</t>
  </si>
  <si>
    <t>Personnel extérieur</t>
  </si>
  <si>
    <t>Indemnité kilométriqe gérant</t>
  </si>
  <si>
    <t>Frais déplacement mission atelier</t>
  </si>
  <si>
    <t>Frais de déplacement administratif</t>
  </si>
  <si>
    <t>Frais affranchissement</t>
  </si>
  <si>
    <t>Frais recrutement personnel</t>
  </si>
  <si>
    <t>Rémunération gérance</t>
  </si>
  <si>
    <t>Indemnité repas emballage</t>
  </si>
  <si>
    <t>DAP créance client</t>
  </si>
  <si>
    <t>Emprunt NUGER 19-101</t>
  </si>
  <si>
    <t>Intérêt courus sur emprunt</t>
  </si>
  <si>
    <t>C/C SC SEBALI</t>
  </si>
  <si>
    <t>Vente merrain en grume</t>
  </si>
  <si>
    <t>Vente plot en grume</t>
  </si>
  <si>
    <t>Vente grume Probois 20%</t>
  </si>
  <si>
    <t>Vente bois de chauffage 10%</t>
  </si>
  <si>
    <t>Vente bois scié peuplier - Probois</t>
  </si>
  <si>
    <t>Vente bois scié hêtre - Probois</t>
  </si>
  <si>
    <t>Vente bois scié divers peuplier</t>
  </si>
  <si>
    <t>Ventre traverse scié</t>
  </si>
  <si>
    <t>Ventre traverse scié Probois</t>
  </si>
  <si>
    <t>Ventre traverse scié hêtre probois</t>
  </si>
  <si>
    <t>Ventre traverse scié hêtre 20%</t>
  </si>
  <si>
    <t>Vente avivé - Probois exo TVA</t>
  </si>
  <si>
    <t>Vente avivé Probois 20%</t>
  </si>
  <si>
    <t>Vente avivé Chêne 20%</t>
  </si>
  <si>
    <t>Vente poutre Probois exo</t>
  </si>
  <si>
    <t>Vente bandeaux exo tva</t>
  </si>
  <si>
    <t>Vente déparaillé exo tva</t>
  </si>
  <si>
    <t>Vente fond wagon Probois</t>
  </si>
  <si>
    <t>Vente sciures 10%</t>
  </si>
  <si>
    <t>Vente calage Probois</t>
  </si>
  <si>
    <t>Sciage à façon</t>
  </si>
  <si>
    <t>Refacturation charge</t>
  </si>
  <si>
    <t>Vente enedis</t>
  </si>
  <si>
    <t>Transport sur vente Probois</t>
  </si>
  <si>
    <t>Autre produit annexe</t>
  </si>
  <si>
    <t>Var. production sockée</t>
  </si>
  <si>
    <t>Transfert de charge d'exploitation</t>
  </si>
  <si>
    <t>Produit divers gestion courante</t>
  </si>
  <si>
    <t>Achat bois grume</t>
  </si>
  <si>
    <t>Achat bois Probois</t>
  </si>
  <si>
    <t>Achat bois particulier</t>
  </si>
  <si>
    <t>Achat MP 5,5%</t>
  </si>
  <si>
    <t>Achat bois 10%</t>
  </si>
  <si>
    <t>Achat lame, meule, boucle</t>
  </si>
  <si>
    <t>Achat fioul, huile, graisse</t>
  </si>
  <si>
    <t>Achat film, toron, liteau</t>
  </si>
  <si>
    <t>Transport</t>
  </si>
  <si>
    <t>Abattage, débardage</t>
  </si>
  <si>
    <t>Var. stock bois</t>
  </si>
  <si>
    <t>Var. stock fourniture</t>
  </si>
  <si>
    <t>Gaz</t>
  </si>
  <si>
    <t>Fourniture entretien petit équipement</t>
  </si>
  <si>
    <t>Vêtements de travail</t>
  </si>
  <si>
    <t>Fourniture administrarive</t>
  </si>
  <si>
    <t>Sous-traitance générale</t>
  </si>
  <si>
    <t>Crédit bail Merlot</t>
  </si>
  <si>
    <t>Crédit bail Manitou</t>
  </si>
  <si>
    <t>Crédit bail ligne sciage CA</t>
  </si>
  <si>
    <t>Crédit bail ligne sciage BPCE</t>
  </si>
  <si>
    <t xml:space="preserve">Location </t>
  </si>
  <si>
    <t>Charge locative copropriété</t>
  </si>
  <si>
    <t>Entretien matériel</t>
  </si>
  <si>
    <t>Maintenance matériel et affûtage</t>
  </si>
  <si>
    <t>Assurance emprunt NUGER 106401</t>
  </si>
  <si>
    <t>Assurance multirisque pro</t>
  </si>
  <si>
    <t xml:space="preserve">Assurance crédit bail Merlot </t>
  </si>
  <si>
    <t>Assurance ligne sciage</t>
  </si>
  <si>
    <t>Assurance auto</t>
  </si>
  <si>
    <t>Documentation technique</t>
  </si>
  <si>
    <t>Commissions sur achat de bois</t>
  </si>
  <si>
    <t>Commission et courtage sur vente</t>
  </si>
  <si>
    <t>Honoraire expert comptable</t>
  </si>
  <si>
    <t>Honoraire intérim</t>
  </si>
  <si>
    <t>Honoraires divers</t>
  </si>
  <si>
    <t>Frais acte et contentieux HT</t>
  </si>
  <si>
    <t>Frais acte et contentieux TTC</t>
  </si>
  <si>
    <t>Don mécennat</t>
  </si>
  <si>
    <t>Déplacement, mission et réception</t>
  </si>
  <si>
    <t>Frais télécom / internet</t>
  </si>
  <si>
    <t>Frais bancaire NUGER</t>
  </si>
  <si>
    <t>Frais bancaire CA</t>
  </si>
  <si>
    <t>Frais bancaire CIC</t>
  </si>
  <si>
    <t>Frais bancaire BQ POP</t>
  </si>
  <si>
    <t>Formation professionnelle continue</t>
  </si>
  <si>
    <t>Autres droits</t>
  </si>
  <si>
    <t>Cotisation MSA sd</t>
  </si>
  <si>
    <t>Primes et gratifications</t>
  </si>
  <si>
    <t>Cotisation à la MSA</t>
  </si>
  <si>
    <t>Charges sociales sur CP</t>
  </si>
  <si>
    <t>Autre charge gestion courante</t>
  </si>
  <si>
    <t>Intérêt prêt nuger</t>
  </si>
  <si>
    <t>Intérêt prêt CIC</t>
  </si>
  <si>
    <t>Intérêt prêt PGE CA</t>
  </si>
  <si>
    <t>Intérêt prêt PGE NUGER</t>
  </si>
  <si>
    <t>Intérêt C/C sc sucs</t>
  </si>
  <si>
    <t>Produit cession élément actif</t>
  </si>
  <si>
    <t>QP subvention</t>
  </si>
  <si>
    <t>Produit exceptionnel</t>
  </si>
  <si>
    <t>Val. Élément cédé immo corpo</t>
  </si>
  <si>
    <t>DAP excep. mmo corpo</t>
  </si>
  <si>
    <t>Impôt sur le bénéfice</t>
  </si>
  <si>
    <t>Réduction impôt mécénat</t>
  </si>
  <si>
    <t>Vente bois brut divers 20%</t>
  </si>
  <si>
    <t>Vente grumes hêtre - qualité</t>
  </si>
  <si>
    <t>Vente poutre Probois 20%</t>
  </si>
  <si>
    <t>Ventes poutres - 20%</t>
  </si>
  <si>
    <t>Vente bandeaux - Probois</t>
  </si>
  <si>
    <t>Cotisation mutelle</t>
  </si>
  <si>
    <t>Cotisation caisse retraite</t>
  </si>
  <si>
    <t>Intérêt prêt CA n°0002001930</t>
  </si>
  <si>
    <t>Intérêt prêt CA n°0002001908</t>
  </si>
  <si>
    <t>Intérêt prêt CA n°00001520180</t>
  </si>
  <si>
    <t>Vente traverses en grumes</t>
  </si>
  <si>
    <t>Vente grumes Frêne</t>
  </si>
  <si>
    <t>Maintenance informatique</t>
  </si>
  <si>
    <t>Services bancaires et assimilés</t>
  </si>
  <si>
    <t>Amendes et pénalités</t>
  </si>
  <si>
    <t>Intérêts courus sur emprunts</t>
  </si>
  <si>
    <t>Agrégé</t>
  </si>
  <si>
    <t>17m</t>
  </si>
  <si>
    <t>Probois 43</t>
  </si>
  <si>
    <t>SC SUCS</t>
  </si>
  <si>
    <t>Cotisation mutuelle administratif</t>
  </si>
  <si>
    <t>SC des SUCS</t>
  </si>
  <si>
    <t>Prestation direction embal / emh</t>
  </si>
  <si>
    <t>Prestation direction ProBois</t>
  </si>
  <si>
    <t>Prestation direction emballages</t>
  </si>
  <si>
    <t>Prestation direction bsb</t>
  </si>
  <si>
    <t>Refacturation honoraire</t>
  </si>
  <si>
    <t>Transfert de charge</t>
  </si>
  <si>
    <t>Assurance emprunt</t>
  </si>
  <si>
    <t>Assurance homme clé</t>
  </si>
  <si>
    <t>Assurance commerciale</t>
  </si>
  <si>
    <t>Honoraires comptable</t>
  </si>
  <si>
    <t>Honoraire comptable EMH</t>
  </si>
  <si>
    <t>Honoraire juridique</t>
  </si>
  <si>
    <t>Annonce et insertions</t>
  </si>
  <si>
    <t>Service bancaire</t>
  </si>
  <si>
    <t>Droit enregistrement</t>
  </si>
  <si>
    <t>Revenu titre de participation</t>
  </si>
  <si>
    <t>Intérêt C/C BSB</t>
  </si>
  <si>
    <t>Intérêt C/C bout du monde</t>
  </si>
  <si>
    <t>Intérêt C/C immo d'antreuil</t>
  </si>
  <si>
    <t>Intérêt C/C EMH</t>
  </si>
  <si>
    <t>Intérêt C/C emballages</t>
  </si>
  <si>
    <t>Intérêt C/c probois</t>
  </si>
  <si>
    <t>Intérêt sur emprunt</t>
  </si>
  <si>
    <t>Produit de liquidation</t>
  </si>
  <si>
    <t>Produit immo cédé élément financier</t>
  </si>
  <si>
    <t>Valeur immo cédé élé financier</t>
  </si>
  <si>
    <t>IS</t>
  </si>
  <si>
    <t>Rémunération DURSAP</t>
  </si>
  <si>
    <t>Cotisation obligatoire</t>
  </si>
  <si>
    <t>Cotisation facultative</t>
  </si>
  <si>
    <t>Intérêts C/C Probois</t>
  </si>
  <si>
    <t>Empunt CA n°1356365</t>
  </si>
  <si>
    <t>Intréêt couru sur emprunt</t>
  </si>
  <si>
    <t>C/C S. DURSAP</t>
  </si>
  <si>
    <t>C/C Probois</t>
  </si>
  <si>
    <t>Emprunt n°8002 EMH</t>
  </si>
  <si>
    <t>C/C EM</t>
  </si>
  <si>
    <t>SCI du Bout du Monde</t>
  </si>
  <si>
    <t>Prestation location BSB</t>
  </si>
  <si>
    <t>Refacturation taxe foncière</t>
  </si>
  <si>
    <t>Rémunération d'intermédiaires</t>
  </si>
  <si>
    <t>Frais d'acte et contentieux</t>
  </si>
  <si>
    <t>Honoraires cabinet comptable</t>
  </si>
  <si>
    <t>Frais d'acte</t>
  </si>
  <si>
    <t>Service bancaire CA</t>
  </si>
  <si>
    <t>Taxe foncière</t>
  </si>
  <si>
    <t>Taxe divers</t>
  </si>
  <si>
    <t>DAP immo corpo</t>
  </si>
  <si>
    <t>Intérêt emprunt n°8947 CA</t>
  </si>
  <si>
    <t>Intérêt emprunt n°1531 CA</t>
  </si>
  <si>
    <t>Intérêt C/C SC de SUCS</t>
  </si>
  <si>
    <t>Taxe aménagement archéologique</t>
  </si>
  <si>
    <t>Emprunt CA n°00001398947</t>
  </si>
  <si>
    <t>Emprunt CA n°00002001531</t>
  </si>
  <si>
    <t>C/C sc des Sucs</t>
  </si>
  <si>
    <t>SCI</t>
  </si>
  <si>
    <t>na</t>
  </si>
  <si>
    <t>PROBOIS</t>
  </si>
  <si>
    <t>Retraitements</t>
  </si>
  <si>
    <t>EBITDA Retraité</t>
  </si>
  <si>
    <t>Dettes supplémentaires (CB)</t>
  </si>
  <si>
    <t>Reprise et transfert</t>
  </si>
  <si>
    <t>600k€-800k€</t>
  </si>
  <si>
    <t>2022 et 2023 = exceptionnel post-covid. Baissera certainement 2024 et après</t>
  </si>
  <si>
    <t>500k€-700k€</t>
  </si>
  <si>
    <t>On garde les CP. Phase d'investissement donc rentabilité en berne</t>
  </si>
  <si>
    <t>ici, erreur dans les comptes</t>
  </si>
  <si>
    <t>EMB</t>
  </si>
  <si>
    <t>700k€ / 1M€</t>
  </si>
  <si>
    <t>800k€ / 1,1M€</t>
  </si>
  <si>
    <t>Titre ProBois</t>
  </si>
  <si>
    <t>Titre BSB</t>
  </si>
  <si>
    <t>Titre EMB</t>
  </si>
  <si>
    <t>Titre SCI Bout du Monde</t>
  </si>
  <si>
    <t>Sous-Total</t>
  </si>
  <si>
    <t>Valorisation actifs financiers comptes</t>
  </si>
  <si>
    <t>Plus-value</t>
  </si>
  <si>
    <t>Retraitements dettes</t>
  </si>
  <si>
    <t>Capitraux propres</t>
  </si>
  <si>
    <t>Capitraux propres retraités</t>
  </si>
  <si>
    <t>PRIX 100% holding</t>
  </si>
  <si>
    <t>faire le calcul autre méthode avec EBE sur conso</t>
  </si>
  <si>
    <t>31/08/24</t>
  </si>
  <si>
    <t>31/08/25</t>
  </si>
  <si>
    <t>31/08/26</t>
  </si>
  <si>
    <t>31/08/27</t>
  </si>
  <si>
    <t>31/08/28</t>
  </si>
  <si>
    <t>31/08/2025</t>
  </si>
  <si>
    <t>31/08/2026</t>
  </si>
  <si>
    <t>31/08/2027</t>
  </si>
  <si>
    <t>31/08/2028</t>
  </si>
  <si>
    <t>SAS BSB</t>
  </si>
  <si>
    <t>SAS Profilyss</t>
  </si>
  <si>
    <t>Combustibles chauffage</t>
  </si>
  <si>
    <t>Consommable outils coupant</t>
  </si>
  <si>
    <t>Fournitures administratives</t>
  </si>
  <si>
    <t>Location immo Dantreuil 70% - 1450m2</t>
  </si>
  <si>
    <t>Entretien nettoyage local</t>
  </si>
  <si>
    <t>Charges locatives</t>
  </si>
  <si>
    <t>Entretiens et réparations</t>
  </si>
  <si>
    <t>Primes d'assurances MRP</t>
  </si>
  <si>
    <t>Assurances crédit</t>
  </si>
  <si>
    <t>Prestations Adm Probois 43</t>
  </si>
  <si>
    <t>Prestations Des Sucs</t>
  </si>
  <si>
    <t>Honoraires comptables / juridiques</t>
  </si>
  <si>
    <t>Publicité, publications</t>
  </si>
  <si>
    <t>Missions, réceptions</t>
  </si>
  <si>
    <t>Frais télécommunications</t>
  </si>
  <si>
    <t>Services bancaires</t>
  </si>
  <si>
    <t>Formation professionnelle</t>
  </si>
  <si>
    <t>7 employés</t>
  </si>
  <si>
    <t>Le coût de CER</t>
  </si>
  <si>
    <t>Nb jours travaillés</t>
  </si>
  <si>
    <t>Capacité de production annuelle (m3)</t>
  </si>
  <si>
    <t>Faut voir la machine, peut-être la mauvaise. Il regarde</t>
  </si>
  <si>
    <t>Volume de carrelet (m3)</t>
  </si>
  <si>
    <t>Volume de panneaux (m3)</t>
  </si>
  <si>
    <t>Prix moyen (€/m3)</t>
  </si>
  <si>
    <t>CA Carrelet</t>
  </si>
  <si>
    <t>Capacité de production journalière théorique(m3)</t>
  </si>
  <si>
    <t>Capacité de production journalière réel (m3)</t>
  </si>
  <si>
    <t>sur 8h pleine</t>
  </si>
  <si>
    <t>Marge brute LBAF : 57%</t>
  </si>
  <si>
    <t>Rendement matière théorique</t>
  </si>
  <si>
    <t>Devrait atteindre 50% au maximum à partir d'avivé</t>
  </si>
  <si>
    <t>Volume d'achat avivé (m3)</t>
  </si>
  <si>
    <t>Prix d'achat (€/m3)</t>
  </si>
  <si>
    <t>TOTAL</t>
  </si>
  <si>
    <t>Volume BSB</t>
  </si>
  <si>
    <t>Volume autre</t>
  </si>
  <si>
    <t>Capacité séchage BSB</t>
  </si>
  <si>
    <t>Capacité séchage Profilyss (m3)</t>
  </si>
  <si>
    <t>Durée du cycle (mois)</t>
  </si>
  <si>
    <t>Capacité séchage annuelle (m3)</t>
  </si>
  <si>
    <t>120€/m3 fini d'électricité à pleine production; à confirmer avec LBAF</t>
  </si>
  <si>
    <t>Colle</t>
  </si>
  <si>
    <t>47€/m3 fini de colle</t>
  </si>
  <si>
    <t>Forte baisse sur ce coût d'affûtage, en lien avec ALGLAVE</t>
  </si>
  <si>
    <t>570k€ d'AACE hors loyer</t>
  </si>
  <si>
    <t>Coût CERIBOIS pour certification</t>
  </si>
  <si>
    <t>Prix moyen avivé sec / frais ; prix rendu</t>
  </si>
  <si>
    <t>Liste investissements</t>
  </si>
  <si>
    <t>Investissements machine</t>
  </si>
  <si>
    <t>Abouteuse - Weining</t>
  </si>
  <si>
    <t>Tronçonneuse optimisation - Weining</t>
  </si>
  <si>
    <t>Raboteuse - Weining</t>
  </si>
  <si>
    <t>Broyeur lent - Untha</t>
  </si>
  <si>
    <t>Chaudière - Nolting</t>
  </si>
  <si>
    <t>Séchoir - Baschild</t>
  </si>
  <si>
    <t>Humidification - Merlin</t>
  </si>
  <si>
    <t>Aspiration - Samsoud</t>
  </si>
  <si>
    <t>Presse carrelet - Trimwex</t>
  </si>
  <si>
    <t>Presse panneaux - Trimwex</t>
  </si>
  <si>
    <t>Encolleuse - Lignamac</t>
  </si>
  <si>
    <t>Pont roulant - Omis</t>
  </si>
  <si>
    <t>Honoraires ABF - Subventions</t>
  </si>
  <si>
    <t>Compresseur</t>
  </si>
  <si>
    <t>Elevateur</t>
  </si>
  <si>
    <t>Protection incendie</t>
  </si>
  <si>
    <t>Matériel informatique</t>
  </si>
  <si>
    <t>Agencements</t>
  </si>
  <si>
    <t>Garantie BPI</t>
  </si>
  <si>
    <t>Profyliss</t>
  </si>
  <si>
    <t>Sébastien DURSAP</t>
  </si>
  <si>
    <t>Holding</t>
  </si>
  <si>
    <t>C/C - Holding</t>
  </si>
  <si>
    <t>Emprunt bancaire 84 mois</t>
  </si>
  <si>
    <t>Emprunt BPI 60 mois</t>
  </si>
  <si>
    <t>Subvention</t>
  </si>
  <si>
    <t>Emprunt bancaire</t>
  </si>
  <si>
    <t>C/C</t>
  </si>
  <si>
    <t>4 mois de matières premières. Je considère que toute la hausse du stock est ici, non chez BSB. 3 mois de reessuyage + 1 mois de séchage</t>
  </si>
  <si>
    <t>45 jours</t>
  </si>
  <si>
    <t>Dans la réalité, on prend 70% de la valeur théorique, regarder devis</t>
  </si>
  <si>
    <t>Vente eco contribution 20%</t>
  </si>
  <si>
    <t>Prestation direction des Sucs</t>
  </si>
  <si>
    <t>Honoraire conseil coaching</t>
  </si>
  <si>
    <t>Honoraire CAC</t>
  </si>
  <si>
    <t>Cotisation retraite acheteur</t>
  </si>
  <si>
    <t>Cotisation retraite commercila</t>
  </si>
  <si>
    <t>Remboursement formation salarié</t>
  </si>
  <si>
    <t>Achat bois BSB</t>
  </si>
  <si>
    <t>Documentation</t>
  </si>
  <si>
    <t>Vente grume chêne 20%</t>
  </si>
  <si>
    <t>Vente bois scié douglas</t>
  </si>
  <si>
    <t>Vente bois scié chêne - Probois</t>
  </si>
  <si>
    <t>Vente bois grume Probois</t>
  </si>
  <si>
    <t>Vente eco-participations 20% Probois</t>
  </si>
  <si>
    <t>Vente avivés Chêne Profilyss</t>
  </si>
  <si>
    <t>Vente avivés Maleysson</t>
  </si>
  <si>
    <t>Prestation de séchage</t>
  </si>
  <si>
    <t>RRR accordés</t>
  </si>
  <si>
    <t>Crédit bail Kramer</t>
  </si>
  <si>
    <t>Honoraire avocats</t>
  </si>
  <si>
    <t>Intérêt prêt BP6059319 + BP6059320</t>
  </si>
  <si>
    <t>Honoraire commercial conseil</t>
  </si>
  <si>
    <t>Emprunt nuger</t>
  </si>
  <si>
    <t>Emprunt CA n°00001520180</t>
  </si>
  <si>
    <t>Emprunt CIC</t>
  </si>
  <si>
    <t>Emprunt CA n°0002001908</t>
  </si>
  <si>
    <t>Emprunt CA n°0002001930</t>
  </si>
  <si>
    <t>Emprunt PGE CA</t>
  </si>
  <si>
    <t>Emprunt PGE NUGER</t>
  </si>
  <si>
    <t>Emprunt BP n°9319</t>
  </si>
  <si>
    <t>Emprunt BP n°9320</t>
  </si>
  <si>
    <t>Equilibré</t>
  </si>
  <si>
    <t>Validé</t>
  </si>
  <si>
    <t>31/12/2024</t>
  </si>
  <si>
    <t>31/12/2025</t>
  </si>
  <si>
    <t>31/12/2026</t>
  </si>
  <si>
    <t>31/12/2027</t>
  </si>
  <si>
    <t>31/12/2028</t>
  </si>
  <si>
    <t>Amélioration puisque vente d'avivés secs, donc meilleure valeur ajoutée sur le produit qu'une traverse</t>
  </si>
  <si>
    <t>Puissance machine</t>
  </si>
  <si>
    <t>kW - maximum</t>
  </si>
  <si>
    <t>Puissance transformateur</t>
  </si>
  <si>
    <t>Les machines ne travailleront pas à plein régime toute en même temps. Cela devra largement suffir</t>
  </si>
  <si>
    <t>Capacité par camion</t>
  </si>
  <si>
    <t>Nb de rotation</t>
  </si>
  <si>
    <t>Coût par rotation</t>
  </si>
  <si>
    <t>Nb de rotation par jour avec 1 camion</t>
  </si>
  <si>
    <t>Coût toal</t>
  </si>
  <si>
    <t>Coût par m3</t>
  </si>
  <si>
    <t>Rajout de 2 salariés à partir de 2026 pour trier les avivés pour Profilyss ; 30k€ par salarié chargé</t>
  </si>
  <si>
    <t>En 2025, rajout de 1 commercial 39k brut + 1 respo prod 50k brut. Coût chargé = x1,42</t>
  </si>
  <si>
    <t>Prévisionnel</t>
  </si>
  <si>
    <t>SAS EMB</t>
  </si>
  <si>
    <t>Coûts financements</t>
  </si>
  <si>
    <t>Intérêt obligations 6% cash</t>
  </si>
  <si>
    <t>Intérêt obligations 6% PNC</t>
  </si>
  <si>
    <t>Intérêt C/C probois</t>
  </si>
  <si>
    <t>Intérêt C/C Probois</t>
  </si>
  <si>
    <t>Obligations</t>
  </si>
  <si>
    <t>Forinvest</t>
  </si>
  <si>
    <t>UI Investissement</t>
  </si>
  <si>
    <t>OC - Forinvest</t>
  </si>
  <si>
    <t>OC - UI Investissement</t>
  </si>
  <si>
    <t>Emprunt - BPI 60 mois</t>
  </si>
  <si>
    <t>OC - Cash</t>
  </si>
  <si>
    <t>OC - PNC</t>
  </si>
  <si>
    <t>Dec. 24</t>
  </si>
  <si>
    <t>Dec. 25</t>
  </si>
  <si>
    <t>Dec. 26</t>
  </si>
  <si>
    <t>Dec. 27</t>
  </si>
  <si>
    <t>Dec. 28</t>
  </si>
  <si>
    <t>Dec. 29</t>
  </si>
  <si>
    <t>Dec. 30</t>
  </si>
  <si>
    <t>Dec. 31</t>
  </si>
  <si>
    <t>SAS immobilière d'Antreuil</t>
  </si>
  <si>
    <t>Loyer Profilyss</t>
  </si>
  <si>
    <t>Loyer EMB</t>
  </si>
  <si>
    <t>Loyer Probois 43</t>
  </si>
  <si>
    <t>Intérêt sur emprunt 180 mois</t>
  </si>
  <si>
    <t>Emprunt 180 mois</t>
  </si>
  <si>
    <t>Antreuil</t>
  </si>
  <si>
    <t>Emprunt - 180 mois</t>
  </si>
  <si>
    <t>Emprunt - Machines</t>
  </si>
  <si>
    <t>Subvention - Machine</t>
  </si>
  <si>
    <t>Emprunt - Immobilier</t>
  </si>
  <si>
    <t>Subvention - Immobilier</t>
  </si>
  <si>
    <t>Investissements - Machine</t>
  </si>
  <si>
    <t>Investissements - Immobilier</t>
  </si>
  <si>
    <t>Rendement de 12% minimum, soit une valorisation de sortie minimum de 5M€</t>
  </si>
  <si>
    <t>Organisation capitalistique actuelle</t>
  </si>
  <si>
    <t>% détention</t>
  </si>
  <si>
    <t>Cash-out</t>
  </si>
  <si>
    <t>Montants</t>
  </si>
  <si>
    <t xml:space="preserve">Cash-in </t>
  </si>
  <si>
    <t>du capital</t>
  </si>
  <si>
    <t>Valo.</t>
  </si>
  <si>
    <t>Taux</t>
  </si>
  <si>
    <t>apportés</t>
  </si>
  <si>
    <t xml:space="preserve"> Valorisation Groupe Probois</t>
  </si>
  <si>
    <t>EBITDA agrégé</t>
  </si>
  <si>
    <t>Valeur d'Entreprise agrégée</t>
  </si>
  <si>
    <t>Dettes Nettes agrégées</t>
  </si>
  <si>
    <t>Capitaux propres agrégés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</si>
</sst>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\ &quot;€&quot;_);\(#,##0\ &quot;€&quot;\)"/>
    <numFmt numFmtId="165" formatCode="dd/mm/yy;@"/>
    <numFmt numFmtId="166" formatCode="_(* #,##0_);_(* \(#,##0\);_(* &quot;-&quot;_);_(@"/>
    <numFmt numFmtId="167" formatCode="0.0%"/>
    <numFmt numFmtId="168" formatCode="_(* #,##0.0_);_(* \(#,##0.0\);_(* &quot;-&quot;_);_(@"/>
    <numFmt numFmtId="169" formatCode="0.0\x"/>
    <numFmt numFmtId="170" formatCode="#,##0\ _€"/>
    <numFmt numFmtId="171" formatCode="0.00\x"/>
    <numFmt numFmtId="172" formatCode="\$#,##0.00_);[Red]&quot;($&quot;#,##0.00\)"/>
    <numFmt numFmtId="173" formatCode="#,##0\ &quot;€&quot;"/>
    <numFmt numFmtId="174" formatCode="#,##0.00\ &quot;€&quot;"/>
    <numFmt numFmtId="175" formatCode="#,##0.0\ _€"/>
    <numFmt numFmtId="176" formatCode="#,##0\ _€_);\(#,##0\ _€\)"/>
    <numFmt numFmtId="177" formatCode="#,##0.0000\ &quot;€&quot;"/>
  </numFmts>
  <fonts count="5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6A4E"/>
      <name val="Calibri"/>
      <family val="2"/>
      <scheme val="minor"/>
    </font>
    <font>
      <sz val="9"/>
      <color rgb="FF006A4E"/>
      <name val="Calibri"/>
      <family val="2"/>
      <scheme val="minor"/>
    </font>
    <font>
      <sz val="10"/>
      <name val="Arial"/>
      <family val="2"/>
    </font>
    <font>
      <sz val="10"/>
      <name val="Frutiger 45 Light"/>
      <family val="2"/>
    </font>
    <font>
      <sz val="9"/>
      <color theme="0" tint="-0.499984740745262"/>
      <name val="Calibri"/>
      <family val="2"/>
      <scheme val="minor"/>
    </font>
    <font>
      <b/>
      <i/>
      <u/>
      <sz val="9"/>
      <color rgb="FF006A4E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6A4E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theme="0"/>
      <name val="Calibri"/>
      <family val="2"/>
    </font>
    <font>
      <i/>
      <sz val="10"/>
      <color theme="1"/>
      <name val="Calibri"/>
      <family val="2"/>
      <scheme val="minor"/>
    </font>
    <font>
      <sz val="10"/>
      <name val="Geneva"/>
      <family val="2"/>
    </font>
    <font>
      <sz val="10"/>
      <name val="MS Sans Serif"/>
      <family val="2"/>
    </font>
    <font>
      <sz val="12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2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b/>
      <i/>
      <u/>
      <sz val="12"/>
      <color rgb="FF006A4E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2"/>
      <name val="Geneva"/>
      <family val="2"/>
    </font>
    <font>
      <b/>
      <sz val="2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6C4C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6A4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</fills>
  <borders count="22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rgb="FF006A4E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hair">
        <color indexed="55"/>
      </top>
      <bottom/>
      <diagonal/>
    </border>
    <border>
      <left/>
      <right/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theme="0" tint="-0.499984740745262"/>
      </right>
      <top style="thin">
        <color theme="0"/>
      </top>
      <bottom style="thin">
        <color indexed="64"/>
      </bottom>
      <diagonal/>
    </border>
    <border>
      <left/>
      <right style="dotted">
        <color theme="0" tint="-0.499984740745262"/>
      </right>
      <top/>
      <bottom/>
      <diagonal/>
    </border>
    <border>
      <left/>
      <right style="dotted">
        <color theme="0" tint="-0.499984740745262"/>
      </right>
      <top style="thin">
        <color theme="0" tint="-0.34998626667073579"/>
      </top>
      <bottom style="medium">
        <color theme="0" tint="-0.34998626667073579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</borders>
  <cellStyleXfs count="10">
    <xf numFmtId="0" fontId="0" fillId="0" borderId="0"/>
    <xf numFmtId="9" fontId="7" fillId="0" borderId="0" applyFont="0" applyFill="0" applyBorder="0" applyAlignment="0" applyProtection="0"/>
    <xf numFmtId="0" fontId="13" fillId="0" borderId="0"/>
    <xf numFmtId="0" fontId="14" fillId="0" borderId="0" applyNumberFormat="0" applyFill="0">
      <alignment vertical="center"/>
    </xf>
    <xf numFmtId="0" fontId="29" fillId="0" borderId="0"/>
    <xf numFmtId="0" fontId="30" fillId="0" borderId="0"/>
    <xf numFmtId="172" fontId="29" fillId="0" borderId="0" applyFill="0" applyBorder="0" applyAlignment="0" applyProtection="0"/>
    <xf numFmtId="0" fontId="30" fillId="0" borderId="0"/>
    <xf numFmtId="0" fontId="7" fillId="0" borderId="0"/>
    <xf numFmtId="9" fontId="7" fillId="0" borderId="0" applyFont="0" applyFill="0" applyBorder="0" applyAlignment="0" applyProtection="0"/>
  </cellStyleXfs>
  <cellXfs count="354">
    <xf numFmtId="0" fontId="0" fillId="0" borderId="0" xfId="0"/>
    <xf numFmtId="0" fontId="8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1" fillId="3" borderId="3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3" borderId="0" xfId="0" applyFont="1" applyFill="1" applyAlignment="1">
      <alignment vertical="center"/>
    </xf>
    <xf numFmtId="0" fontId="11" fillId="0" borderId="4" xfId="0" applyFont="1" applyBorder="1" applyAlignment="1">
      <alignment vertical="center"/>
    </xf>
    <xf numFmtId="165" fontId="11" fillId="0" borderId="4" xfId="0" applyNumberFormat="1" applyFont="1" applyBorder="1" applyAlignment="1">
      <alignment horizontal="right" vertical="center"/>
    </xf>
    <xf numFmtId="0" fontId="12" fillId="3" borderId="0" xfId="0" applyFont="1" applyFill="1" applyAlignment="1">
      <alignment vertical="center"/>
    </xf>
    <xf numFmtId="166" fontId="10" fillId="0" borderId="0" xfId="2" applyNumberFormat="1" applyFont="1" applyAlignment="1">
      <alignment horizontal="right" vertical="center"/>
    </xf>
    <xf numFmtId="0" fontId="11" fillId="0" borderId="7" xfId="0" applyFont="1" applyBorder="1" applyAlignment="1">
      <alignment vertical="center"/>
    </xf>
    <xf numFmtId="166" fontId="11" fillId="0" borderId="7" xfId="2" applyNumberFormat="1" applyFont="1" applyBorder="1" applyAlignment="1">
      <alignment horizontal="right" vertical="center"/>
    </xf>
    <xf numFmtId="0" fontId="16" fillId="4" borderId="0" xfId="0" applyFont="1" applyFill="1" applyAlignment="1">
      <alignment vertical="center"/>
    </xf>
    <xf numFmtId="166" fontId="10" fillId="4" borderId="0" xfId="2" applyNumberFormat="1" applyFont="1" applyFill="1" applyAlignment="1">
      <alignment horizontal="right" vertical="center"/>
    </xf>
    <xf numFmtId="0" fontId="17" fillId="4" borderId="0" xfId="0" applyFont="1" applyFill="1" applyAlignment="1">
      <alignment vertical="center"/>
    </xf>
    <xf numFmtId="167" fontId="17" fillId="4" borderId="0" xfId="1" applyNumberFormat="1" applyFont="1" applyFill="1" applyAlignment="1">
      <alignment horizontal="right" vertical="center"/>
    </xf>
    <xf numFmtId="0" fontId="17" fillId="4" borderId="8" xfId="0" applyFont="1" applyFill="1" applyBorder="1" applyAlignment="1">
      <alignment vertical="center"/>
    </xf>
    <xf numFmtId="167" fontId="17" fillId="4" borderId="8" xfId="1" applyNumberFormat="1" applyFont="1" applyFill="1" applyBorder="1" applyAlignment="1">
      <alignment horizontal="right" vertical="center"/>
    </xf>
    <xf numFmtId="0" fontId="18" fillId="5" borderId="0" xfId="0" applyFont="1" applyFill="1" applyAlignment="1">
      <alignment vertical="center"/>
    </xf>
    <xf numFmtId="166" fontId="18" fillId="5" borderId="0" xfId="2" applyNumberFormat="1" applyFont="1" applyFill="1" applyAlignment="1" applyProtection="1">
      <alignment vertical="center"/>
      <protection locked="0"/>
    </xf>
    <xf numFmtId="0" fontId="8" fillId="2" borderId="2" xfId="0" applyFont="1" applyFill="1" applyBorder="1" applyAlignment="1">
      <alignment vertical="center"/>
    </xf>
    <xf numFmtId="166" fontId="11" fillId="0" borderId="0" xfId="2" applyNumberFormat="1" applyFont="1" applyAlignment="1">
      <alignment horizontal="right" vertical="center"/>
    </xf>
    <xf numFmtId="168" fontId="17" fillId="4" borderId="0" xfId="2" applyNumberFormat="1" applyFont="1" applyFill="1" applyAlignment="1">
      <alignment horizontal="right" vertical="center"/>
    </xf>
    <xf numFmtId="0" fontId="19" fillId="4" borderId="0" xfId="0" applyFont="1" applyFill="1" applyAlignment="1">
      <alignment vertical="center"/>
    </xf>
    <xf numFmtId="0" fontId="19" fillId="4" borderId="8" xfId="0" applyFont="1" applyFill="1" applyBorder="1" applyAlignment="1">
      <alignment vertical="center"/>
    </xf>
    <xf numFmtId="168" fontId="19" fillId="4" borderId="8" xfId="2" applyNumberFormat="1" applyFont="1" applyFill="1" applyBorder="1" applyAlignment="1">
      <alignment horizontal="right" vertical="center"/>
    </xf>
    <xf numFmtId="166" fontId="19" fillId="4" borderId="8" xfId="2" applyNumberFormat="1" applyFont="1" applyFill="1" applyBorder="1" applyAlignment="1">
      <alignment horizontal="right" vertical="center"/>
    </xf>
    <xf numFmtId="0" fontId="17" fillId="4" borderId="9" xfId="0" applyFont="1" applyFill="1" applyBorder="1" applyAlignment="1">
      <alignment vertical="center"/>
    </xf>
    <xf numFmtId="169" fontId="17" fillId="4" borderId="9" xfId="2" applyNumberFormat="1" applyFont="1" applyFill="1" applyBorder="1" applyAlignment="1">
      <alignment horizontal="right" vertical="center"/>
    </xf>
    <xf numFmtId="169" fontId="17" fillId="4" borderId="8" xfId="2" applyNumberFormat="1" applyFont="1" applyFill="1" applyBorder="1" applyAlignment="1">
      <alignment horizontal="right" vertical="center"/>
    </xf>
    <xf numFmtId="0" fontId="10" fillId="6" borderId="0" xfId="0" applyFont="1" applyFill="1"/>
    <xf numFmtId="0" fontId="0" fillId="8" borderId="0" xfId="0" applyFill="1"/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2" fillId="8" borderId="0" xfId="0" applyFont="1" applyFill="1"/>
    <xf numFmtId="14" fontId="22" fillId="8" borderId="0" xfId="0" applyNumberFormat="1" applyFont="1" applyFill="1" applyAlignment="1">
      <alignment horizontal="right"/>
    </xf>
    <xf numFmtId="0" fontId="22" fillId="8" borderId="13" xfId="0" applyFont="1" applyFill="1" applyBorder="1"/>
    <xf numFmtId="0" fontId="22" fillId="8" borderId="13" xfId="0" applyFont="1" applyFill="1" applyBorder="1" applyAlignment="1">
      <alignment horizontal="right"/>
    </xf>
    <xf numFmtId="170" fontId="22" fillId="8" borderId="0" xfId="0" applyNumberFormat="1" applyFont="1" applyFill="1" applyAlignment="1">
      <alignment horizontal="right"/>
    </xf>
    <xf numFmtId="0" fontId="23" fillId="2" borderId="14" xfId="0" applyFont="1" applyFill="1" applyBorder="1" applyAlignment="1">
      <alignment horizontal="right" vertical="center"/>
    </xf>
    <xf numFmtId="0" fontId="18" fillId="9" borderId="0" xfId="0" applyFont="1" applyFill="1" applyAlignment="1">
      <alignment vertical="center"/>
    </xf>
    <xf numFmtId="171" fontId="18" fillId="9" borderId="0" xfId="2" applyNumberFormat="1" applyFont="1" applyFill="1" applyAlignment="1">
      <alignment horizontal="right" vertical="center" wrapText="1"/>
    </xf>
    <xf numFmtId="9" fontId="11" fillId="0" borderId="7" xfId="1" applyFont="1" applyFill="1" applyBorder="1" applyAlignment="1" applyProtection="1">
      <alignment horizontal="right" vertical="center"/>
    </xf>
    <xf numFmtId="165" fontId="11" fillId="0" borderId="15" xfId="0" applyNumberFormat="1" applyFont="1" applyBorder="1" applyAlignment="1">
      <alignment horizontal="right" vertical="center"/>
    </xf>
    <xf numFmtId="165" fontId="11" fillId="0" borderId="4" xfId="0" applyNumberFormat="1" applyFont="1" applyBorder="1" applyAlignment="1">
      <alignment horizontal="left" vertical="center"/>
    </xf>
    <xf numFmtId="167" fontId="10" fillId="0" borderId="0" xfId="1" applyNumberFormat="1" applyFont="1" applyFill="1" applyBorder="1" applyAlignment="1" applyProtection="1">
      <alignment horizontal="right" vertical="center"/>
    </xf>
    <xf numFmtId="166" fontId="10" fillId="0" borderId="16" xfId="2" applyNumberFormat="1" applyFont="1" applyBorder="1" applyAlignment="1">
      <alignment horizontal="right" vertical="center"/>
    </xf>
    <xf numFmtId="166" fontId="10" fillId="0" borderId="0" xfId="2" applyNumberFormat="1" applyFont="1" applyAlignment="1">
      <alignment horizontal="left" vertical="center"/>
    </xf>
    <xf numFmtId="167" fontId="11" fillId="0" borderId="7" xfId="1" applyNumberFormat="1" applyFont="1" applyFill="1" applyBorder="1" applyAlignment="1" applyProtection="1">
      <alignment horizontal="right" vertical="center"/>
    </xf>
    <xf numFmtId="166" fontId="11" fillId="0" borderId="17" xfId="2" applyNumberFormat="1" applyFont="1" applyBorder="1" applyAlignment="1">
      <alignment horizontal="right" vertical="center"/>
    </xf>
    <xf numFmtId="0" fontId="10" fillId="8" borderId="0" xfId="0" applyFont="1" applyFill="1" applyAlignment="1">
      <alignment vertical="center"/>
    </xf>
    <xf numFmtId="166" fontId="10" fillId="8" borderId="0" xfId="2" applyNumberFormat="1" applyFont="1" applyFill="1" applyAlignment="1">
      <alignment horizontal="right" vertical="center"/>
    </xf>
    <xf numFmtId="0" fontId="11" fillId="8" borderId="4" xfId="0" applyFont="1" applyFill="1" applyBorder="1" applyAlignment="1">
      <alignment vertical="center"/>
    </xf>
    <xf numFmtId="165" fontId="11" fillId="8" borderId="0" xfId="0" applyNumberFormat="1" applyFont="1" applyFill="1" applyAlignment="1">
      <alignment horizontal="right" vertical="center"/>
    </xf>
    <xf numFmtId="0" fontId="11" fillId="8" borderId="0" xfId="0" applyFont="1" applyFill="1" applyAlignment="1">
      <alignment vertical="center"/>
    </xf>
    <xf numFmtId="0" fontId="11" fillId="8" borderId="7" xfId="0" applyFont="1" applyFill="1" applyBorder="1" applyAlignment="1">
      <alignment vertical="center"/>
    </xf>
    <xf numFmtId="0" fontId="15" fillId="8" borderId="0" xfId="0" applyFont="1" applyFill="1" applyAlignment="1">
      <alignment vertical="center"/>
    </xf>
    <xf numFmtId="165" fontId="11" fillId="8" borderId="4" xfId="0" applyNumberFormat="1" applyFont="1" applyFill="1" applyBorder="1" applyAlignment="1">
      <alignment horizontal="right" vertical="center"/>
    </xf>
    <xf numFmtId="0" fontId="11" fillId="8" borderId="5" xfId="0" applyFont="1" applyFill="1" applyBorder="1" applyAlignment="1">
      <alignment vertical="center"/>
    </xf>
    <xf numFmtId="0" fontId="12" fillId="8" borderId="0" xfId="0" applyFont="1" applyFill="1" applyAlignment="1">
      <alignment vertical="center"/>
    </xf>
    <xf numFmtId="0" fontId="11" fillId="8" borderId="0" xfId="0" applyFont="1" applyFill="1"/>
    <xf numFmtId="0" fontId="10" fillId="8" borderId="0" xfId="0" applyFont="1" applyFill="1"/>
    <xf numFmtId="0" fontId="11" fillId="8" borderId="10" xfId="0" applyFont="1" applyFill="1" applyBorder="1"/>
    <xf numFmtId="165" fontId="11" fillId="8" borderId="4" xfId="0" applyNumberFormat="1" applyFont="1" applyFill="1" applyBorder="1" applyAlignment="1">
      <alignment vertical="center"/>
    </xf>
    <xf numFmtId="166" fontId="0" fillId="8" borderId="0" xfId="0" applyNumberFormat="1" applyFill="1"/>
    <xf numFmtId="0" fontId="0" fillId="10" borderId="0" xfId="0" applyFill="1"/>
    <xf numFmtId="0" fontId="8" fillId="8" borderId="0" xfId="0" applyFont="1" applyFill="1" applyAlignment="1">
      <alignment vertical="center"/>
    </xf>
    <xf numFmtId="167" fontId="10" fillId="8" borderId="0" xfId="1" applyNumberFormat="1" applyFont="1" applyFill="1" applyBorder="1" applyAlignment="1" applyProtection="1">
      <alignment horizontal="right" vertical="center"/>
    </xf>
    <xf numFmtId="170" fontId="11" fillId="8" borderId="0" xfId="1" applyNumberFormat="1" applyFont="1" applyFill="1" applyBorder="1" applyAlignment="1" applyProtection="1">
      <alignment horizontal="right" vertical="center"/>
    </xf>
    <xf numFmtId="166" fontId="24" fillId="8" borderId="16" xfId="2" applyNumberFormat="1" applyFont="1" applyFill="1" applyBorder="1" applyAlignment="1">
      <alignment horizontal="right" vertical="center"/>
    </xf>
    <xf numFmtId="0" fontId="20" fillId="8" borderId="0" xfId="0" applyFont="1" applyFill="1"/>
    <xf numFmtId="0" fontId="25" fillId="8" borderId="0" xfId="0" applyFont="1" applyFill="1"/>
    <xf numFmtId="170" fontId="25" fillId="8" borderId="0" xfId="0" applyNumberFormat="1" applyFont="1" applyFill="1" applyAlignment="1">
      <alignment horizontal="right"/>
    </xf>
    <xf numFmtId="0" fontId="26" fillId="11" borderId="0" xfId="0" applyFont="1" applyFill="1" applyAlignment="1">
      <alignment horizontal="left" vertical="center" wrapText="1"/>
    </xf>
    <xf numFmtId="0" fontId="26" fillId="8" borderId="0" xfId="0" applyFont="1" applyFill="1" applyAlignment="1">
      <alignment horizontal="left" vertical="center" wrapText="1"/>
    </xf>
    <xf numFmtId="9" fontId="22" fillId="8" borderId="0" xfId="0" applyNumberFormat="1" applyFont="1" applyFill="1" applyAlignment="1">
      <alignment horizontal="right"/>
    </xf>
    <xf numFmtId="0" fontId="27" fillId="8" borderId="0" xfId="0" applyFont="1" applyFill="1" applyAlignment="1">
      <alignment horizontal="left" vertical="center" wrapText="1"/>
    </xf>
    <xf numFmtId="0" fontId="0" fillId="12" borderId="0" xfId="0" applyFill="1"/>
    <xf numFmtId="167" fontId="10" fillId="0" borderId="0" xfId="2" applyNumberFormat="1" applyFont="1" applyAlignment="1">
      <alignment horizontal="right" vertical="center"/>
    </xf>
    <xf numFmtId="167" fontId="11" fillId="0" borderId="7" xfId="2" applyNumberFormat="1" applyFont="1" applyBorder="1" applyAlignment="1">
      <alignment horizontal="right" vertical="center"/>
    </xf>
    <xf numFmtId="166" fontId="10" fillId="8" borderId="0" xfId="0" applyNumberFormat="1" applyFont="1" applyFill="1" applyAlignment="1">
      <alignment vertical="center"/>
    </xf>
    <xf numFmtId="166" fontId="10" fillId="0" borderId="0" xfId="0" applyNumberFormat="1" applyFont="1" applyAlignment="1">
      <alignment vertical="center"/>
    </xf>
    <xf numFmtId="0" fontId="6" fillId="8" borderId="0" xfId="4" applyFont="1" applyFill="1"/>
    <xf numFmtId="0" fontId="21" fillId="2" borderId="0" xfId="5" applyFont="1" applyFill="1"/>
    <xf numFmtId="0" fontId="22" fillId="8" borderId="0" xfId="4" applyFont="1" applyFill="1" applyAlignment="1">
      <alignment vertical="center"/>
    </xf>
    <xf numFmtId="0" fontId="22" fillId="8" borderId="4" xfId="4" applyFont="1" applyFill="1" applyBorder="1" applyAlignment="1">
      <alignment vertical="center"/>
    </xf>
    <xf numFmtId="1" fontId="22" fillId="8" borderId="4" xfId="5" applyNumberFormat="1" applyFont="1" applyFill="1" applyBorder="1" applyAlignment="1">
      <alignment horizontal="right"/>
    </xf>
    <xf numFmtId="173" fontId="31" fillId="8" borderId="0" xfId="6" applyNumberFormat="1" applyFont="1" applyFill="1" applyBorder="1" applyAlignment="1" applyProtection="1">
      <alignment horizontal="right"/>
    </xf>
    <xf numFmtId="173" fontId="6" fillId="8" borderId="0" xfId="4" applyNumberFormat="1" applyFont="1" applyFill="1"/>
    <xf numFmtId="0" fontId="32" fillId="8" borderId="0" xfId="4" applyFont="1" applyFill="1"/>
    <xf numFmtId="173" fontId="32" fillId="8" borderId="0" xfId="4" applyNumberFormat="1" applyFont="1" applyFill="1"/>
    <xf numFmtId="0" fontId="32" fillId="8" borderId="0" xfId="0" applyFont="1" applyFill="1"/>
    <xf numFmtId="0" fontId="33" fillId="8" borderId="0" xfId="4" applyFont="1" applyFill="1"/>
    <xf numFmtId="0" fontId="34" fillId="8" borderId="0" xfId="7" applyFont="1" applyFill="1" applyAlignment="1">
      <alignment horizontal="left" indent="1"/>
    </xf>
    <xf numFmtId="173" fontId="33" fillId="8" borderId="0" xfId="4" applyNumberFormat="1" applyFont="1" applyFill="1"/>
    <xf numFmtId="0" fontId="33" fillId="8" borderId="0" xfId="0" applyFont="1" applyFill="1"/>
    <xf numFmtId="0" fontId="6" fillId="8" borderId="0" xfId="4" applyFont="1" applyFill="1" applyAlignment="1">
      <alignment vertical="center"/>
    </xf>
    <xf numFmtId="0" fontId="22" fillId="8" borderId="5" xfId="4" applyFont="1" applyFill="1" applyBorder="1" applyAlignment="1">
      <alignment vertical="center"/>
    </xf>
    <xf numFmtId="173" fontId="22" fillId="8" borderId="5" xfId="2" applyNumberFormat="1" applyFont="1" applyFill="1" applyBorder="1" applyAlignment="1">
      <alignment horizontal="right" vertical="center"/>
    </xf>
    <xf numFmtId="0" fontId="22" fillId="8" borderId="18" xfId="4" applyFont="1" applyFill="1" applyBorder="1" applyAlignment="1">
      <alignment vertical="center"/>
    </xf>
    <xf numFmtId="0" fontId="22" fillId="8" borderId="19" xfId="4" applyFont="1" applyFill="1" applyBorder="1" applyAlignment="1">
      <alignment vertical="center"/>
    </xf>
    <xf numFmtId="9" fontId="22" fillId="8" borderId="19" xfId="1" applyFont="1" applyFill="1" applyBorder="1" applyAlignment="1">
      <alignment vertical="center"/>
    </xf>
    <xf numFmtId="0" fontId="6" fillId="8" borderId="0" xfId="0" applyFont="1" applyFill="1" applyAlignment="1">
      <alignment vertical="center"/>
    </xf>
    <xf numFmtId="173" fontId="31" fillId="8" borderId="0" xfId="4" applyNumberFormat="1" applyFont="1" applyFill="1"/>
    <xf numFmtId="0" fontId="32" fillId="8" borderId="0" xfId="4" applyFont="1" applyFill="1" applyAlignment="1">
      <alignment horizontal="left" vertical="center" indent="1"/>
    </xf>
    <xf numFmtId="0" fontId="33" fillId="8" borderId="0" xfId="4" applyFont="1" applyFill="1" applyAlignment="1">
      <alignment horizontal="left" vertical="center" indent="1"/>
    </xf>
    <xf numFmtId="0" fontId="29" fillId="8" borderId="0" xfId="4" applyFill="1"/>
    <xf numFmtId="0" fontId="31" fillId="8" borderId="0" xfId="4" applyFont="1" applyFill="1"/>
    <xf numFmtId="0" fontId="34" fillId="8" borderId="0" xfId="4" applyFont="1" applyFill="1"/>
    <xf numFmtId="173" fontId="22" fillId="8" borderId="18" xfId="4" applyNumberFormat="1" applyFont="1" applyFill="1" applyBorder="1" applyAlignment="1">
      <alignment vertical="center"/>
    </xf>
    <xf numFmtId="0" fontId="6" fillId="8" borderId="0" xfId="0" applyFont="1" applyFill="1"/>
    <xf numFmtId="0" fontId="38" fillId="4" borderId="0" xfId="8" applyFont="1" applyFill="1" applyAlignment="1">
      <alignment vertical="center"/>
    </xf>
    <xf numFmtId="166" fontId="7" fillId="4" borderId="0" xfId="2" applyNumberFormat="1" applyFont="1" applyFill="1" applyAlignment="1">
      <alignment horizontal="right" vertical="center"/>
    </xf>
    <xf numFmtId="0" fontId="39" fillId="4" borderId="0" xfId="8" applyFont="1" applyFill="1" applyAlignment="1">
      <alignment vertical="center"/>
    </xf>
    <xf numFmtId="167" fontId="39" fillId="4" borderId="0" xfId="9" applyNumberFormat="1" applyFont="1" applyFill="1" applyAlignment="1">
      <alignment horizontal="right" vertical="center"/>
    </xf>
    <xf numFmtId="0" fontId="39" fillId="4" borderId="8" xfId="8" applyFont="1" applyFill="1" applyBorder="1" applyAlignment="1">
      <alignment vertical="center"/>
    </xf>
    <xf numFmtId="167" fontId="39" fillId="4" borderId="8" xfId="9" applyNumberFormat="1" applyFont="1" applyFill="1" applyBorder="1" applyAlignment="1">
      <alignment horizontal="right" vertical="center"/>
    </xf>
    <xf numFmtId="0" fontId="40" fillId="8" borderId="0" xfId="4" applyFont="1" applyFill="1"/>
    <xf numFmtId="49" fontId="22" fillId="8" borderId="0" xfId="5" applyNumberFormat="1" applyFont="1" applyFill="1" applyAlignment="1">
      <alignment horizontal="right"/>
    </xf>
    <xf numFmtId="3" fontId="41" fillId="8" borderId="0" xfId="8" applyNumberFormat="1" applyFont="1" applyFill="1" applyAlignment="1">
      <alignment horizontal="left" vertical="center"/>
    </xf>
    <xf numFmtId="1" fontId="42" fillId="8" borderId="0" xfId="5" applyNumberFormat="1" applyFont="1" applyFill="1" applyAlignment="1">
      <alignment horizontal="right"/>
    </xf>
    <xf numFmtId="0" fontId="6" fillId="8" borderId="0" xfId="8" applyFont="1" applyFill="1"/>
    <xf numFmtId="1" fontId="42" fillId="8" borderId="4" xfId="5" applyNumberFormat="1" applyFont="1" applyFill="1" applyBorder="1" applyAlignment="1">
      <alignment horizontal="right"/>
    </xf>
    <xf numFmtId="1" fontId="42" fillId="8" borderId="4" xfId="4" applyNumberFormat="1" applyFont="1" applyFill="1" applyBorder="1" applyAlignment="1">
      <alignment horizontal="right" wrapText="1"/>
    </xf>
    <xf numFmtId="49" fontId="42" fillId="8" borderId="0" xfId="5" applyNumberFormat="1" applyFont="1" applyFill="1" applyAlignment="1">
      <alignment horizontal="center" vertical="center"/>
    </xf>
    <xf numFmtId="49" fontId="43" fillId="8" borderId="0" xfId="5" applyNumberFormat="1" applyFont="1" applyFill="1" applyAlignment="1">
      <alignment horizontal="center" vertical="center"/>
    </xf>
    <xf numFmtId="3" fontId="42" fillId="8" borderId="0" xfId="8" applyNumberFormat="1" applyFont="1" applyFill="1"/>
    <xf numFmtId="173" fontId="42" fillId="8" borderId="0" xfId="8" applyNumberFormat="1" applyFont="1" applyFill="1" applyAlignment="1">
      <alignment horizontal="right"/>
    </xf>
    <xf numFmtId="173" fontId="43" fillId="8" borderId="0" xfId="8" applyNumberFormat="1" applyFont="1" applyFill="1" applyAlignment="1">
      <alignment horizontal="right"/>
    </xf>
    <xf numFmtId="3" fontId="42" fillId="8" borderId="0" xfId="8" applyNumberFormat="1" applyFont="1" applyFill="1" applyAlignment="1">
      <alignment horizontal="left" indent="1"/>
    </xf>
    <xf numFmtId="3" fontId="31" fillId="8" borderId="0" xfId="8" applyNumberFormat="1" applyFont="1" applyFill="1" applyAlignment="1">
      <alignment horizontal="left" indent="2"/>
    </xf>
    <xf numFmtId="173" fontId="31" fillId="8" borderId="0" xfId="8" applyNumberFormat="1" applyFont="1" applyFill="1" applyAlignment="1">
      <alignment horizontal="right"/>
    </xf>
    <xf numFmtId="173" fontId="37" fillId="8" borderId="0" xfId="8" applyNumberFormat="1" applyFont="1" applyFill="1" applyAlignment="1">
      <alignment horizontal="right"/>
    </xf>
    <xf numFmtId="173" fontId="6" fillId="8" borderId="0" xfId="8" applyNumberFormat="1" applyFont="1" applyFill="1"/>
    <xf numFmtId="173" fontId="36" fillId="8" borderId="0" xfId="8" applyNumberFormat="1" applyFont="1" applyFill="1" applyAlignment="1">
      <alignment horizontal="right"/>
    </xf>
    <xf numFmtId="4" fontId="6" fillId="8" borderId="0" xfId="8" applyNumberFormat="1" applyFont="1" applyFill="1"/>
    <xf numFmtId="0" fontId="28" fillId="8" borderId="0" xfId="8" applyFont="1" applyFill="1"/>
    <xf numFmtId="173" fontId="28" fillId="8" borderId="0" xfId="8" applyNumberFormat="1" applyFont="1" applyFill="1"/>
    <xf numFmtId="3" fontId="21" fillId="2" borderId="0" xfId="8" applyNumberFormat="1" applyFont="1" applyFill="1"/>
    <xf numFmtId="173" fontId="21" fillId="2" borderId="0" xfId="8" applyNumberFormat="1" applyFont="1" applyFill="1" applyAlignment="1">
      <alignment horizontal="right"/>
    </xf>
    <xf numFmtId="3" fontId="31" fillId="8" borderId="0" xfId="8" applyNumberFormat="1" applyFont="1" applyFill="1"/>
    <xf numFmtId="3" fontId="31" fillId="8" borderId="0" xfId="0" applyNumberFormat="1" applyFont="1" applyFill="1" applyAlignment="1">
      <alignment horizontal="left" indent="2"/>
    </xf>
    <xf numFmtId="0" fontId="42" fillId="8" borderId="0" xfId="8" applyFont="1" applyFill="1" applyAlignment="1">
      <alignment horizontal="center"/>
    </xf>
    <xf numFmtId="173" fontId="45" fillId="13" borderId="0" xfId="8" applyNumberFormat="1" applyFont="1" applyFill="1" applyAlignment="1">
      <alignment horizontal="center"/>
    </xf>
    <xf numFmtId="0" fontId="7" fillId="8" borderId="0" xfId="8" applyFill="1"/>
    <xf numFmtId="173" fontId="7" fillId="8" borderId="0" xfId="8" applyNumberFormat="1" applyFill="1"/>
    <xf numFmtId="3" fontId="37" fillId="8" borderId="0" xfId="8" applyNumberFormat="1" applyFont="1" applyFill="1" applyAlignment="1">
      <alignment horizontal="left" indent="4"/>
    </xf>
    <xf numFmtId="0" fontId="31" fillId="8" borderId="0" xfId="8" quotePrefix="1" applyFont="1" applyFill="1"/>
    <xf numFmtId="0" fontId="21" fillId="2" borderId="0" xfId="8" applyFont="1" applyFill="1" applyProtection="1">
      <protection locked="0"/>
    </xf>
    <xf numFmtId="0" fontId="42" fillId="2" borderId="0" xfId="8" applyFont="1" applyFill="1" applyProtection="1">
      <protection locked="0"/>
    </xf>
    <xf numFmtId="0" fontId="31" fillId="8" borderId="0" xfId="8" applyFont="1" applyFill="1"/>
    <xf numFmtId="173" fontId="31" fillId="8" borderId="0" xfId="8" applyNumberFormat="1" applyFont="1" applyFill="1"/>
    <xf numFmtId="0" fontId="35" fillId="8" borderId="0" xfId="8" quotePrefix="1" applyFont="1" applyFill="1"/>
    <xf numFmtId="173" fontId="35" fillId="8" borderId="0" xfId="8" applyNumberFormat="1" applyFont="1" applyFill="1"/>
    <xf numFmtId="0" fontId="44" fillId="8" borderId="0" xfId="8" quotePrefix="1" applyFont="1" applyFill="1"/>
    <xf numFmtId="173" fontId="44" fillId="8" borderId="0" xfId="8" applyNumberFormat="1" applyFont="1" applyFill="1"/>
    <xf numFmtId="0" fontId="44" fillId="14" borderId="0" xfId="0" applyFont="1" applyFill="1"/>
    <xf numFmtId="173" fontId="31" fillId="8" borderId="0" xfId="8" quotePrefix="1" applyNumberFormat="1" applyFont="1" applyFill="1"/>
    <xf numFmtId="0" fontId="42" fillId="8" borderId="0" xfId="8" applyFont="1" applyFill="1"/>
    <xf numFmtId="173" fontId="42" fillId="8" borderId="0" xfId="8" applyNumberFormat="1" applyFont="1" applyFill="1"/>
    <xf numFmtId="0" fontId="31" fillId="8" borderId="0" xfId="0" applyFont="1" applyFill="1"/>
    <xf numFmtId="0" fontId="37" fillId="8" borderId="0" xfId="0" applyFont="1" applyFill="1"/>
    <xf numFmtId="0" fontId="31" fillId="2" borderId="0" xfId="8" applyFont="1" applyFill="1"/>
    <xf numFmtId="0" fontId="34" fillId="8" borderId="0" xfId="0" applyFont="1" applyFill="1" applyAlignment="1">
      <alignment horizontal="left" indent="2"/>
    </xf>
    <xf numFmtId="3" fontId="34" fillId="8" borderId="0" xfId="0" applyNumberFormat="1" applyFont="1" applyFill="1" applyAlignment="1">
      <alignment horizontal="left" indent="2"/>
    </xf>
    <xf numFmtId="3" fontId="37" fillId="8" borderId="0" xfId="0" applyNumberFormat="1" applyFont="1" applyFill="1"/>
    <xf numFmtId="173" fontId="25" fillId="8" borderId="0" xfId="8" applyNumberFormat="1" applyFont="1" applyFill="1" applyAlignment="1">
      <alignment horizontal="center"/>
    </xf>
    <xf numFmtId="0" fontId="25" fillId="8" borderId="0" xfId="8" applyFont="1" applyFill="1"/>
    <xf numFmtId="173" fontId="6" fillId="8" borderId="0" xfId="4" applyNumberFormat="1" applyFont="1" applyFill="1" applyAlignment="1">
      <alignment vertical="center"/>
    </xf>
    <xf numFmtId="170" fontId="10" fillId="0" borderId="0" xfId="1" applyNumberFormat="1" applyFont="1" applyFill="1" applyBorder="1" applyAlignment="1" applyProtection="1">
      <alignment horizontal="right" vertical="center"/>
    </xf>
    <xf numFmtId="170" fontId="10" fillId="0" borderId="0" xfId="2" applyNumberFormat="1" applyFont="1" applyAlignment="1">
      <alignment horizontal="right" vertical="center"/>
    </xf>
    <xf numFmtId="170" fontId="11" fillId="0" borderId="7" xfId="2" applyNumberFormat="1" applyFont="1" applyBorder="1" applyAlignment="1">
      <alignment horizontal="right" vertical="center"/>
    </xf>
    <xf numFmtId="170" fontId="11" fillId="0" borderId="7" xfId="1" applyNumberFormat="1" applyFont="1" applyFill="1" applyBorder="1" applyAlignment="1" applyProtection="1">
      <alignment horizontal="right" vertical="center"/>
    </xf>
    <xf numFmtId="10" fontId="11" fillId="0" borderId="7" xfId="2" applyNumberFormat="1" applyFont="1" applyBorder="1" applyAlignment="1">
      <alignment horizontal="right" vertical="center"/>
    </xf>
    <xf numFmtId="0" fontId="46" fillId="0" borderId="0" xfId="0" applyFont="1" applyAlignment="1">
      <alignment vertical="center"/>
    </xf>
    <xf numFmtId="170" fontId="46" fillId="0" borderId="0" xfId="0" applyNumberFormat="1" applyFont="1" applyAlignment="1">
      <alignment vertical="center"/>
    </xf>
    <xf numFmtId="0" fontId="20" fillId="0" borderId="0" xfId="0" applyFont="1"/>
    <xf numFmtId="10" fontId="0" fillId="0" borderId="0" xfId="0" applyNumberFormat="1"/>
    <xf numFmtId="0" fontId="6" fillId="0" borderId="0" xfId="4" applyFont="1"/>
    <xf numFmtId="0" fontId="21" fillId="0" borderId="0" xfId="5" applyFont="1"/>
    <xf numFmtId="0" fontId="37" fillId="0" borderId="0" xfId="5" applyFont="1" applyAlignment="1">
      <alignment horizontal="right"/>
    </xf>
    <xf numFmtId="173" fontId="22" fillId="0" borderId="18" xfId="4" applyNumberFormat="1" applyFont="1" applyBorder="1" applyAlignment="1">
      <alignment vertical="center"/>
    </xf>
    <xf numFmtId="0" fontId="33" fillId="8" borderId="0" xfId="4" applyFont="1" applyFill="1" applyAlignment="1">
      <alignment horizontal="left" indent="1"/>
    </xf>
    <xf numFmtId="174" fontId="33" fillId="8" borderId="0" xfId="4" applyNumberFormat="1" applyFont="1" applyFill="1"/>
    <xf numFmtId="173" fontId="25" fillId="8" borderId="0" xfId="9" applyNumberFormat="1" applyFont="1" applyFill="1" applyBorder="1" applyAlignment="1">
      <alignment horizontal="right"/>
    </xf>
    <xf numFmtId="4" fontId="25" fillId="8" borderId="0" xfId="8" applyNumberFormat="1" applyFont="1" applyFill="1"/>
    <xf numFmtId="173" fontId="25" fillId="8" borderId="0" xfId="8" applyNumberFormat="1" applyFont="1" applyFill="1"/>
    <xf numFmtId="173" fontId="47" fillId="8" borderId="0" xfId="8" applyNumberFormat="1" applyFont="1" applyFill="1"/>
    <xf numFmtId="3" fontId="6" fillId="8" borderId="0" xfId="8" applyNumberFormat="1" applyFont="1" applyFill="1"/>
    <xf numFmtId="0" fontId="47" fillId="8" borderId="0" xfId="8" applyFont="1" applyFill="1"/>
    <xf numFmtId="173" fontId="31" fillId="0" borderId="0" xfId="8" applyNumberFormat="1" applyFont="1"/>
    <xf numFmtId="0" fontId="28" fillId="8" borderId="0" xfId="8" applyFont="1" applyFill="1" applyAlignment="1">
      <alignment horizontal="right"/>
    </xf>
    <xf numFmtId="0" fontId="48" fillId="8" borderId="0" xfId="8" applyFont="1" applyFill="1" applyAlignment="1">
      <alignment horizontal="right"/>
    </xf>
    <xf numFmtId="0" fontId="48" fillId="0" borderId="0" xfId="8" applyFont="1" applyAlignment="1">
      <alignment horizontal="right"/>
    </xf>
    <xf numFmtId="1" fontId="42" fillId="0" borderId="0" xfId="5" applyNumberFormat="1" applyFont="1" applyAlignment="1">
      <alignment horizontal="right"/>
    </xf>
    <xf numFmtId="1" fontId="42" fillId="0" borderId="0" xfId="4" applyNumberFormat="1" applyFont="1" applyAlignment="1">
      <alignment horizontal="right" wrapText="1"/>
    </xf>
    <xf numFmtId="49" fontId="42" fillId="0" borderId="0" xfId="5" applyNumberFormat="1" applyFont="1" applyAlignment="1">
      <alignment horizontal="center" vertical="center"/>
    </xf>
    <xf numFmtId="0" fontId="42" fillId="0" borderId="0" xfId="8" applyFont="1" applyProtection="1">
      <protection locked="0"/>
    </xf>
    <xf numFmtId="173" fontId="35" fillId="0" borderId="0" xfId="8" applyNumberFormat="1" applyFont="1"/>
    <xf numFmtId="173" fontId="44" fillId="0" borderId="0" xfId="8" applyNumberFormat="1" applyFont="1"/>
    <xf numFmtId="173" fontId="31" fillId="0" borderId="0" xfId="8" quotePrefix="1" applyNumberFormat="1" applyFont="1"/>
    <xf numFmtId="173" fontId="42" fillId="0" borderId="0" xfId="8" applyNumberFormat="1" applyFont="1"/>
    <xf numFmtId="0" fontId="31" fillId="0" borderId="0" xfId="8" applyFont="1"/>
    <xf numFmtId="0" fontId="21" fillId="0" borderId="0" xfId="8" applyFont="1" applyProtection="1">
      <protection locked="0"/>
    </xf>
    <xf numFmtId="173" fontId="6" fillId="0" borderId="0" xfId="8" applyNumberFormat="1" applyFont="1"/>
    <xf numFmtId="173" fontId="37" fillId="0" borderId="0" xfId="8" applyNumberFormat="1" applyFont="1" applyAlignment="1">
      <alignment horizontal="right"/>
    </xf>
    <xf numFmtId="173" fontId="28" fillId="0" borderId="0" xfId="8" applyNumberFormat="1" applyFont="1"/>
    <xf numFmtId="173" fontId="42" fillId="0" borderId="0" xfId="8" quotePrefix="1" applyNumberFormat="1" applyFont="1"/>
    <xf numFmtId="4" fontId="6" fillId="0" borderId="0" xfId="8" applyNumberFormat="1" applyFont="1"/>
    <xf numFmtId="0" fontId="6" fillId="0" borderId="0" xfId="8" applyFont="1"/>
    <xf numFmtId="173" fontId="49" fillId="8" borderId="0" xfId="8" applyNumberFormat="1" applyFont="1" applyFill="1"/>
    <xf numFmtId="0" fontId="5" fillId="8" borderId="0" xfId="4" applyFont="1" applyFill="1"/>
    <xf numFmtId="1" fontId="42" fillId="8" borderId="0" xfId="5" applyNumberFormat="1" applyFont="1" applyFill="1" applyAlignment="1">
      <alignment horizontal="right" vertical="center"/>
    </xf>
    <xf numFmtId="0" fontId="6" fillId="8" borderId="0" xfId="8" applyFont="1" applyFill="1" applyAlignment="1">
      <alignment vertical="center"/>
    </xf>
    <xf numFmtId="0" fontId="51" fillId="8" borderId="0" xfId="0" applyFont="1" applyFill="1" applyAlignment="1">
      <alignment vertical="center"/>
    </xf>
    <xf numFmtId="3" fontId="28" fillId="8" borderId="0" xfId="8" applyNumberFormat="1" applyFont="1" applyFill="1" applyAlignment="1">
      <alignment horizontal="right"/>
    </xf>
    <xf numFmtId="173" fontId="28" fillId="8" borderId="0" xfId="8" applyNumberFormat="1" applyFont="1" applyFill="1" applyAlignment="1">
      <alignment horizontal="right"/>
    </xf>
    <xf numFmtId="1" fontId="42" fillId="8" borderId="0" xfId="4" applyNumberFormat="1" applyFont="1" applyFill="1" applyAlignment="1">
      <alignment horizontal="right" wrapText="1"/>
    </xf>
    <xf numFmtId="0" fontId="42" fillId="8" borderId="0" xfId="8" applyFont="1" applyFill="1" applyProtection="1">
      <protection locked="0"/>
    </xf>
    <xf numFmtId="0" fontId="21" fillId="8" borderId="0" xfId="8" applyFont="1" applyFill="1" applyProtection="1">
      <protection locked="0"/>
    </xf>
    <xf numFmtId="173" fontId="42" fillId="8" borderId="0" xfId="8" quotePrefix="1" applyNumberFormat="1" applyFont="1" applyFill="1"/>
    <xf numFmtId="170" fontId="10" fillId="8" borderId="0" xfId="2" applyNumberFormat="1" applyFont="1" applyFill="1" applyAlignment="1">
      <alignment horizontal="right" vertical="center"/>
    </xf>
    <xf numFmtId="170" fontId="11" fillId="8" borderId="5" xfId="2" applyNumberFormat="1" applyFont="1" applyFill="1" applyBorder="1" applyAlignment="1">
      <alignment horizontal="right" vertical="center"/>
    </xf>
    <xf numFmtId="170" fontId="11" fillId="8" borderId="6" xfId="3" applyNumberFormat="1" applyFont="1" applyFill="1" applyBorder="1">
      <alignment vertical="center"/>
    </xf>
    <xf numFmtId="170" fontId="15" fillId="8" borderId="0" xfId="2" applyNumberFormat="1" applyFont="1" applyFill="1" applyAlignment="1">
      <alignment horizontal="right" vertical="center"/>
    </xf>
    <xf numFmtId="170" fontId="11" fillId="8" borderId="7" xfId="2" applyNumberFormat="1" applyFont="1" applyFill="1" applyBorder="1" applyAlignment="1">
      <alignment horizontal="right" vertical="center"/>
    </xf>
    <xf numFmtId="170" fontId="11" fillId="8" borderId="0" xfId="2" applyNumberFormat="1" applyFont="1" applyFill="1" applyAlignment="1">
      <alignment horizontal="right" vertical="center"/>
    </xf>
    <xf numFmtId="170" fontId="17" fillId="4" borderId="0" xfId="2" applyNumberFormat="1" applyFont="1" applyFill="1" applyAlignment="1">
      <alignment horizontal="right" vertical="center"/>
    </xf>
    <xf numFmtId="170" fontId="19" fillId="4" borderId="8" xfId="2" applyNumberFormat="1" applyFont="1" applyFill="1" applyBorder="1" applyAlignment="1">
      <alignment horizontal="right" vertical="center"/>
    </xf>
    <xf numFmtId="170" fontId="0" fillId="8" borderId="0" xfId="0" applyNumberFormat="1" applyFill="1"/>
    <xf numFmtId="170" fontId="10" fillId="8" borderId="0" xfId="0" applyNumberFormat="1" applyFont="1" applyFill="1"/>
    <xf numFmtId="170" fontId="11" fillId="8" borderId="10" xfId="2" applyNumberFormat="1" applyFont="1" applyFill="1" applyBorder="1" applyAlignment="1">
      <alignment horizontal="right" vertical="center"/>
    </xf>
    <xf numFmtId="170" fontId="10" fillId="6" borderId="0" xfId="2" applyNumberFormat="1" applyFont="1" applyFill="1" applyAlignment="1">
      <alignment horizontal="right" vertical="center"/>
    </xf>
    <xf numFmtId="170" fontId="10" fillId="4" borderId="0" xfId="2" applyNumberFormat="1" applyFont="1" applyFill="1" applyAlignment="1">
      <alignment horizontal="right" vertical="center"/>
    </xf>
    <xf numFmtId="0" fontId="18" fillId="8" borderId="0" xfId="0" applyFont="1" applyFill="1" applyAlignment="1">
      <alignment vertical="center"/>
    </xf>
    <xf numFmtId="173" fontId="11" fillId="8" borderId="0" xfId="2" applyNumberFormat="1" applyFont="1" applyFill="1" applyAlignment="1">
      <alignment horizontal="right" vertical="center"/>
    </xf>
    <xf numFmtId="173" fontId="10" fillId="8" borderId="0" xfId="0" applyNumberFormat="1" applyFont="1" applyFill="1"/>
    <xf numFmtId="173" fontId="11" fillId="8" borderId="10" xfId="2" applyNumberFormat="1" applyFont="1" applyFill="1" applyBorder="1" applyAlignment="1">
      <alignment horizontal="right" vertical="center"/>
    </xf>
    <xf numFmtId="173" fontId="10" fillId="8" borderId="0" xfId="2" applyNumberFormat="1" applyFont="1" applyFill="1" applyAlignment="1">
      <alignment horizontal="right" vertical="center"/>
    </xf>
    <xf numFmtId="173" fontId="11" fillId="8" borderId="5" xfId="2" applyNumberFormat="1" applyFont="1" applyFill="1" applyBorder="1" applyAlignment="1">
      <alignment horizontal="right" vertical="center"/>
    </xf>
    <xf numFmtId="173" fontId="11" fillId="8" borderId="7" xfId="2" applyNumberFormat="1" applyFont="1" applyFill="1" applyBorder="1" applyAlignment="1">
      <alignment horizontal="right" vertical="center"/>
    </xf>
    <xf numFmtId="173" fontId="10" fillId="6" borderId="0" xfId="2" applyNumberFormat="1" applyFont="1" applyFill="1" applyAlignment="1">
      <alignment horizontal="right" vertical="center"/>
    </xf>
    <xf numFmtId="0" fontId="52" fillId="14" borderId="0" xfId="0" applyFont="1" applyFill="1" applyAlignment="1">
      <alignment horizontal="left" vertical="center" indent="1"/>
    </xf>
    <xf numFmtId="165" fontId="25" fillId="8" borderId="0" xfId="0" applyNumberFormat="1" applyFont="1" applyFill="1" applyAlignment="1">
      <alignment horizontal="right" vertical="center"/>
    </xf>
    <xf numFmtId="0" fontId="21" fillId="8" borderId="0" xfId="5" applyFont="1" applyFill="1"/>
    <xf numFmtId="0" fontId="37" fillId="8" borderId="0" xfId="5" applyFont="1" applyFill="1" applyAlignment="1">
      <alignment horizontal="right"/>
    </xf>
    <xf numFmtId="0" fontId="21" fillId="2" borderId="0" xfId="5" applyFont="1" applyFill="1" applyAlignment="1">
      <alignment horizontal="right"/>
    </xf>
    <xf numFmtId="165" fontId="42" fillId="8" borderId="0" xfId="0" applyNumberFormat="1" applyFont="1" applyFill="1" applyAlignment="1">
      <alignment horizontal="right" vertical="center"/>
    </xf>
    <xf numFmtId="0" fontId="53" fillId="0" borderId="0" xfId="5" applyFont="1" applyAlignment="1">
      <alignment horizontal="right"/>
    </xf>
    <xf numFmtId="165" fontId="22" fillId="8" borderId="0" xfId="0" applyNumberFormat="1" applyFont="1" applyFill="1" applyAlignment="1">
      <alignment horizontal="right" vertical="center"/>
    </xf>
    <xf numFmtId="0" fontId="42" fillId="0" borderId="0" xfId="5" applyFont="1" applyAlignment="1">
      <alignment horizontal="right"/>
    </xf>
    <xf numFmtId="173" fontId="45" fillId="8" borderId="0" xfId="8" applyNumberFormat="1" applyFont="1" applyFill="1" applyAlignment="1">
      <alignment horizontal="center"/>
    </xf>
    <xf numFmtId="0" fontId="54" fillId="8" borderId="0" xfId="8" applyFont="1" applyFill="1" applyAlignment="1">
      <alignment horizontal="right"/>
    </xf>
    <xf numFmtId="0" fontId="25" fillId="8" borderId="0" xfId="8" applyFont="1" applyFill="1" applyAlignment="1">
      <alignment horizontal="right"/>
    </xf>
    <xf numFmtId="0" fontId="42" fillId="8" borderId="0" xfId="5" applyFont="1" applyFill="1" applyAlignment="1">
      <alignment horizontal="right"/>
    </xf>
    <xf numFmtId="0" fontId="8" fillId="2" borderId="2" xfId="0" applyFont="1" applyFill="1" applyBorder="1" applyAlignment="1">
      <alignment horizontal="right" vertical="center"/>
    </xf>
    <xf numFmtId="166" fontId="11" fillId="8" borderId="0" xfId="2" applyNumberFormat="1" applyFont="1" applyFill="1" applyAlignment="1">
      <alignment horizontal="right" vertical="center"/>
    </xf>
    <xf numFmtId="171" fontId="18" fillId="8" borderId="0" xfId="2" applyNumberFormat="1" applyFont="1" applyFill="1" applyAlignment="1">
      <alignment horizontal="right" vertical="center" wrapText="1"/>
    </xf>
    <xf numFmtId="0" fontId="8" fillId="2" borderId="0" xfId="8" applyFont="1" applyFill="1" applyAlignment="1">
      <alignment vertical="center"/>
    </xf>
    <xf numFmtId="165" fontId="11" fillId="0" borderId="0" xfId="8" applyNumberFormat="1" applyFont="1" applyAlignment="1">
      <alignment horizontal="right" vertical="center"/>
    </xf>
    <xf numFmtId="165" fontId="11" fillId="0" borderId="4" xfId="8" applyNumberFormat="1" applyFont="1" applyBorder="1" applyAlignment="1">
      <alignment horizontal="right" vertical="center"/>
    </xf>
    <xf numFmtId="0" fontId="11" fillId="0" borderId="0" xfId="8" applyFont="1" applyAlignment="1">
      <alignment vertical="center"/>
    </xf>
    <xf numFmtId="170" fontId="11" fillId="0" borderId="0" xfId="2" applyNumberFormat="1" applyFont="1" applyAlignment="1">
      <alignment horizontal="right" vertical="center"/>
    </xf>
    <xf numFmtId="0" fontId="18" fillId="9" borderId="0" xfId="8" applyFont="1" applyFill="1" applyAlignment="1">
      <alignment vertical="center"/>
    </xf>
    <xf numFmtId="170" fontId="18" fillId="9" borderId="0" xfId="2" applyNumberFormat="1" applyFont="1" applyFill="1" applyAlignment="1">
      <alignment horizontal="right" vertical="center"/>
    </xf>
    <xf numFmtId="0" fontId="8" fillId="2" borderId="0" xfId="8" applyFont="1" applyFill="1" applyAlignment="1">
      <alignment horizontal="right" vertical="center"/>
    </xf>
    <xf numFmtId="173" fontId="46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49" fontId="22" fillId="14" borderId="0" xfId="0" applyNumberFormat="1" applyFont="1" applyFill="1" applyAlignment="1">
      <alignment horizontal="right"/>
    </xf>
    <xf numFmtId="173" fontId="21" fillId="8" borderId="0" xfId="8" applyNumberFormat="1" applyFont="1" applyFill="1" applyAlignment="1">
      <alignment horizontal="right"/>
    </xf>
    <xf numFmtId="168" fontId="17" fillId="8" borderId="0" xfId="2" applyNumberFormat="1" applyFont="1" applyFill="1" applyAlignment="1">
      <alignment horizontal="right" vertical="center"/>
    </xf>
    <xf numFmtId="174" fontId="6" fillId="8" borderId="0" xfId="8" applyNumberFormat="1" applyFont="1" applyFill="1"/>
    <xf numFmtId="1" fontId="22" fillId="8" borderId="0" xfId="5" applyNumberFormat="1" applyFont="1" applyFill="1" applyAlignment="1">
      <alignment horizontal="right"/>
    </xf>
    <xf numFmtId="173" fontId="22" fillId="8" borderId="0" xfId="2" applyNumberFormat="1" applyFont="1" applyFill="1" applyAlignment="1">
      <alignment horizontal="right" vertical="center"/>
    </xf>
    <xf numFmtId="9" fontId="22" fillId="8" borderId="0" xfId="1" applyFont="1" applyFill="1" applyBorder="1" applyAlignment="1">
      <alignment vertical="center"/>
    </xf>
    <xf numFmtId="173" fontId="22" fillId="8" borderId="0" xfId="4" applyNumberFormat="1" applyFont="1" applyFill="1" applyAlignment="1">
      <alignment vertical="center"/>
    </xf>
    <xf numFmtId="166" fontId="7" fillId="8" borderId="0" xfId="2" applyNumberFormat="1" applyFont="1" applyFill="1" applyAlignment="1">
      <alignment horizontal="right" vertical="center"/>
    </xf>
    <xf numFmtId="167" fontId="39" fillId="8" borderId="0" xfId="9" applyNumberFormat="1" applyFont="1" applyFill="1" applyBorder="1" applyAlignment="1">
      <alignment horizontal="right" vertical="center"/>
    </xf>
    <xf numFmtId="168" fontId="19" fillId="8" borderId="0" xfId="2" applyNumberFormat="1" applyFont="1" applyFill="1" applyAlignment="1">
      <alignment horizontal="right" vertical="center"/>
    </xf>
    <xf numFmtId="166" fontId="19" fillId="8" borderId="0" xfId="2" applyNumberFormat="1" applyFont="1" applyFill="1" applyAlignment="1">
      <alignment horizontal="right" vertical="center"/>
    </xf>
    <xf numFmtId="169" fontId="17" fillId="8" borderId="0" xfId="2" applyNumberFormat="1" applyFont="1" applyFill="1" applyAlignment="1">
      <alignment horizontal="right" vertical="center"/>
    </xf>
    <xf numFmtId="175" fontId="33" fillId="8" borderId="0" xfId="4" applyNumberFormat="1" applyFont="1" applyFill="1"/>
    <xf numFmtId="170" fontId="33" fillId="8" borderId="0" xfId="4" applyNumberFormat="1" applyFont="1" applyFill="1"/>
    <xf numFmtId="0" fontId="4" fillId="8" borderId="0" xfId="4" applyFont="1" applyFill="1"/>
    <xf numFmtId="9" fontId="33" fillId="8" borderId="0" xfId="4" applyNumberFormat="1" applyFont="1" applyFill="1"/>
    <xf numFmtId="167" fontId="33" fillId="8" borderId="0" xfId="4" applyNumberFormat="1" applyFont="1" applyFill="1"/>
    <xf numFmtId="0" fontId="33" fillId="15" borderId="0" xfId="4" applyFont="1" applyFill="1"/>
    <xf numFmtId="0" fontId="10" fillId="8" borderId="0" xfId="8" applyFont="1" applyFill="1" applyAlignment="1">
      <alignment vertical="center"/>
    </xf>
    <xf numFmtId="0" fontId="8" fillId="2" borderId="1" xfId="8" applyFont="1" applyFill="1" applyBorder="1" applyAlignment="1">
      <alignment vertical="center"/>
    </xf>
    <xf numFmtId="0" fontId="8" fillId="2" borderId="2" xfId="8" applyFont="1" applyFill="1" applyBorder="1" applyAlignment="1">
      <alignment vertical="center"/>
    </xf>
    <xf numFmtId="49" fontId="8" fillId="2" borderId="2" xfId="8" applyNumberFormat="1" applyFont="1" applyFill="1" applyBorder="1" applyAlignment="1">
      <alignment horizontal="right" vertical="center"/>
    </xf>
    <xf numFmtId="0" fontId="11" fillId="8" borderId="4" xfId="8" applyFont="1" applyFill="1" applyBorder="1" applyAlignment="1">
      <alignment vertical="center"/>
    </xf>
    <xf numFmtId="165" fontId="11" fillId="8" borderId="4" xfId="8" applyNumberFormat="1" applyFont="1" applyFill="1" applyBorder="1" applyAlignment="1">
      <alignment horizontal="right" vertical="center"/>
    </xf>
    <xf numFmtId="0" fontId="11" fillId="8" borderId="7" xfId="8" applyFont="1" applyFill="1" applyBorder="1" applyAlignment="1">
      <alignment vertical="center"/>
    </xf>
    <xf numFmtId="166" fontId="11" fillId="8" borderId="7" xfId="2" applyNumberFormat="1" applyFont="1" applyFill="1" applyBorder="1" applyAlignment="1">
      <alignment horizontal="right" vertical="center"/>
    </xf>
    <xf numFmtId="164" fontId="10" fillId="8" borderId="0" xfId="2" applyNumberFormat="1" applyFont="1" applyFill="1" applyAlignment="1">
      <alignment horizontal="right" vertical="center"/>
    </xf>
    <xf numFmtId="164" fontId="11" fillId="8" borderId="7" xfId="2" applyNumberFormat="1" applyFont="1" applyFill="1" applyBorder="1" applyAlignment="1">
      <alignment horizontal="right" vertical="center"/>
    </xf>
    <xf numFmtId="4" fontId="4" fillId="8" borderId="0" xfId="8" applyNumberFormat="1" applyFont="1" applyFill="1"/>
    <xf numFmtId="173" fontId="4" fillId="8" borderId="0" xfId="8" applyNumberFormat="1" applyFont="1" applyFill="1"/>
    <xf numFmtId="0" fontId="3" fillId="15" borderId="0" xfId="4" applyFont="1" applyFill="1"/>
    <xf numFmtId="0" fontId="6" fillId="15" borderId="0" xfId="4" applyFont="1" applyFill="1"/>
    <xf numFmtId="0" fontId="34" fillId="15" borderId="0" xfId="4" applyFont="1" applyFill="1"/>
    <xf numFmtId="0" fontId="29" fillId="15" borderId="0" xfId="4" applyFill="1"/>
    <xf numFmtId="167" fontId="39" fillId="8" borderId="0" xfId="9" applyNumberFormat="1" applyFont="1" applyFill="1" applyAlignment="1">
      <alignment horizontal="right" vertical="center"/>
    </xf>
    <xf numFmtId="167" fontId="39" fillId="8" borderId="8" xfId="9" applyNumberFormat="1" applyFont="1" applyFill="1" applyBorder="1" applyAlignment="1">
      <alignment horizontal="right" vertical="center"/>
    </xf>
    <xf numFmtId="0" fontId="53" fillId="8" borderId="0" xfId="5" applyFont="1" applyFill="1" applyAlignment="1">
      <alignment horizontal="right"/>
    </xf>
    <xf numFmtId="173" fontId="2" fillId="8" borderId="0" xfId="8" applyNumberFormat="1" applyFont="1" applyFill="1"/>
    <xf numFmtId="0" fontId="17" fillId="4" borderId="0" xfId="2" applyFont="1" applyFill="1" applyAlignment="1">
      <alignment horizontal="right" vertical="center"/>
    </xf>
    <xf numFmtId="168" fontId="19" fillId="4" borderId="0" xfId="2" applyNumberFormat="1" applyFont="1" applyFill="1" applyAlignment="1">
      <alignment horizontal="right" vertical="center"/>
    </xf>
    <xf numFmtId="165" fontId="22" fillId="14" borderId="0" xfId="0" applyNumberFormat="1" applyFont="1" applyFill="1" applyAlignment="1">
      <alignment horizontal="right" vertical="center"/>
    </xf>
    <xf numFmtId="176" fontId="10" fillId="8" borderId="0" xfId="2" applyNumberFormat="1" applyFont="1" applyFill="1" applyAlignment="1">
      <alignment horizontal="right" vertical="center"/>
    </xf>
    <xf numFmtId="176" fontId="11" fillId="8" borderId="7" xfId="2" applyNumberFormat="1" applyFont="1" applyFill="1" applyBorder="1" applyAlignment="1">
      <alignment horizontal="right" vertical="center"/>
    </xf>
    <xf numFmtId="0" fontId="1" fillId="8" borderId="0" xfId="4" applyFont="1" applyFill="1"/>
    <xf numFmtId="167" fontId="11" fillId="0" borderId="0" xfId="1" applyNumberFormat="1" applyFont="1" applyFill="1" applyBorder="1" applyAlignment="1" applyProtection="1">
      <alignment horizontal="right" vertical="center"/>
    </xf>
    <xf numFmtId="0" fontId="23" fillId="8" borderId="0" xfId="0" applyFont="1" applyFill="1" applyAlignment="1">
      <alignment horizontal="right" vertical="center"/>
    </xf>
    <xf numFmtId="0" fontId="0" fillId="0" borderId="0" xfId="0" quotePrefix="1"/>
    <xf numFmtId="9" fontId="0" fillId="0" borderId="0" xfId="0" applyNumberFormat="1"/>
    <xf numFmtId="167" fontId="0" fillId="0" borderId="0" xfId="0" applyNumberFormat="1"/>
    <xf numFmtId="170" fontId="0" fillId="0" borderId="0" xfId="0" applyNumberFormat="1"/>
    <xf numFmtId="167" fontId="0" fillId="8" borderId="0" xfId="0" applyNumberFormat="1" applyFill="1"/>
    <xf numFmtId="166" fontId="10" fillId="8" borderId="16" xfId="2" applyNumberFormat="1" applyFont="1" applyFill="1" applyBorder="1" applyAlignment="1">
      <alignment horizontal="right" vertical="center"/>
    </xf>
    <xf numFmtId="166" fontId="10" fillId="8" borderId="0" xfId="2" applyNumberFormat="1" applyFont="1" applyFill="1" applyAlignment="1">
      <alignment horizontal="left" vertical="center"/>
    </xf>
    <xf numFmtId="167" fontId="11" fillId="8" borderId="7" xfId="1" applyNumberFormat="1" applyFont="1" applyFill="1" applyBorder="1" applyAlignment="1" applyProtection="1">
      <alignment horizontal="right" vertical="center"/>
    </xf>
    <xf numFmtId="167" fontId="10" fillId="8" borderId="0" xfId="2" applyNumberFormat="1" applyFont="1" applyFill="1" applyAlignment="1">
      <alignment horizontal="right" vertical="center"/>
    </xf>
    <xf numFmtId="166" fontId="11" fillId="8" borderId="17" xfId="2" applyNumberFormat="1" applyFont="1" applyFill="1" applyBorder="1" applyAlignment="1">
      <alignment horizontal="right" vertical="center"/>
    </xf>
    <xf numFmtId="9" fontId="11" fillId="8" borderId="7" xfId="1" applyFont="1" applyFill="1" applyBorder="1" applyAlignment="1" applyProtection="1">
      <alignment horizontal="right" vertical="center"/>
    </xf>
    <xf numFmtId="167" fontId="11" fillId="8" borderId="7" xfId="2" applyNumberFormat="1" applyFont="1" applyFill="1" applyBorder="1" applyAlignment="1">
      <alignment horizontal="right" vertical="center"/>
    </xf>
    <xf numFmtId="167" fontId="22" fillId="8" borderId="19" xfId="1" applyNumberFormat="1" applyFont="1" applyFill="1" applyBorder="1" applyAlignment="1">
      <alignment vertical="center"/>
    </xf>
    <xf numFmtId="177" fontId="22" fillId="8" borderId="0" xfId="2" applyNumberFormat="1" applyFont="1" applyFill="1" applyAlignment="1">
      <alignment horizontal="right" vertical="center"/>
    </xf>
    <xf numFmtId="0" fontId="11" fillId="0" borderId="20" xfId="0" applyFont="1" applyBorder="1" applyAlignment="1">
      <alignment vertical="center"/>
    </xf>
    <xf numFmtId="165" fontId="11" fillId="0" borderId="20" xfId="0" applyNumberFormat="1" applyFont="1" applyBorder="1" applyAlignment="1">
      <alignment horizontal="right" vertical="center"/>
    </xf>
    <xf numFmtId="165" fontId="11" fillId="4" borderId="20" xfId="0" applyNumberFormat="1" applyFont="1" applyFill="1" applyBorder="1" applyAlignment="1">
      <alignment horizontal="right" vertical="center"/>
    </xf>
    <xf numFmtId="165" fontId="11" fillId="0" borderId="21" xfId="0" applyNumberFormat="1" applyFont="1" applyBorder="1" applyAlignment="1">
      <alignment horizontal="right" vertical="center"/>
    </xf>
    <xf numFmtId="165" fontId="11" fillId="4" borderId="4" xfId="0" applyNumberFormat="1" applyFont="1" applyFill="1" applyBorder="1" applyAlignment="1">
      <alignment horizontal="right" vertical="center"/>
    </xf>
    <xf numFmtId="10" fontId="10" fillId="0" borderId="0" xfId="1" applyNumberFormat="1" applyFont="1" applyFill="1" applyBorder="1" applyAlignment="1" applyProtection="1">
      <alignment horizontal="right" vertical="center"/>
    </xf>
    <xf numFmtId="9" fontId="24" fillId="16" borderId="0" xfId="1" applyFont="1" applyFill="1" applyBorder="1" applyAlignment="1" applyProtection="1">
      <alignment horizontal="right" vertical="center"/>
    </xf>
    <xf numFmtId="166" fontId="24" fillId="16" borderId="0" xfId="2" applyNumberFormat="1" applyFont="1" applyFill="1" applyAlignment="1">
      <alignment horizontal="right" vertical="center"/>
    </xf>
    <xf numFmtId="166" fontId="11" fillId="4" borderId="7" xfId="2" applyNumberFormat="1" applyFont="1" applyFill="1" applyBorder="1" applyAlignment="1">
      <alignment horizontal="right" vertical="center"/>
    </xf>
    <xf numFmtId="9" fontId="10" fillId="0" borderId="0" xfId="1" applyFont="1" applyFill="1" applyBorder="1" applyAlignment="1" applyProtection="1">
      <alignment horizontal="right" vertical="center"/>
    </xf>
    <xf numFmtId="0" fontId="34" fillId="0" borderId="0" xfId="4" applyFont="1"/>
    <xf numFmtId="0" fontId="21" fillId="7" borderId="11" xfId="0" applyFont="1" applyFill="1" applyBorder="1" applyAlignment="1">
      <alignment horizontal="center"/>
    </xf>
    <xf numFmtId="0" fontId="41" fillId="8" borderId="0" xfId="8" applyFont="1" applyFill="1" applyAlignment="1">
      <alignment horizontal="left" vertical="center"/>
    </xf>
    <xf numFmtId="3" fontId="41" fillId="8" borderId="0" xfId="8" applyNumberFormat="1" applyFont="1" applyFill="1" applyAlignment="1">
      <alignment horizontal="left" vertical="center"/>
    </xf>
    <xf numFmtId="173" fontId="37" fillId="0" borderId="0" xfId="8" applyNumberFormat="1" applyFont="1" applyAlignment="1">
      <alignment horizontal="center" vertical="center"/>
    </xf>
    <xf numFmtId="173" fontId="37" fillId="0" borderId="0" xfId="8" applyNumberFormat="1" applyFont="1" applyAlignment="1">
      <alignment horizontal="right" vertical="center"/>
    </xf>
    <xf numFmtId="173" fontId="37" fillId="8" borderId="0" xfId="8" applyNumberFormat="1" applyFont="1" applyFill="1" applyAlignment="1">
      <alignment horizontal="right" vertical="center"/>
    </xf>
    <xf numFmtId="165" fontId="11" fillId="0" borderId="21" xfId="0" applyNumberFormat="1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11" fillId="0" borderId="0" xfId="8" applyFont="1" applyAlignment="1">
      <alignment horizontal="left" vertical="center"/>
    </xf>
    <xf numFmtId="0" fontId="11" fillId="0" borderId="4" xfId="8" applyFont="1" applyBorder="1" applyAlignment="1">
      <alignment horizontal="left" vertical="center"/>
    </xf>
    <xf numFmtId="0" fontId="55" fillId="0" borderId="0" xfId="0" applyFont="1" applyAlignment="1">
      <alignment horizontal="center"/>
    </xf>
    <xf numFmtId="0" fontId="57" fillId="8" borderId="0" xfId="8" applyFont="1" applyFill="1" applyAlignment="1">
      <alignment horizontal="center" vertical="center"/>
    </xf>
  </cellXfs>
  <cellStyles count="10">
    <cellStyle name="Monétaire 2" xfId="6" xr:uid="{591F7F30-1D7E-DA49-AD4D-DEC99F331FF4}"/>
    <cellStyle name="Normal" xfId="0" builtinId="0"/>
    <cellStyle name="Normal 2" xfId="4" xr:uid="{8C793853-DB37-7A43-8C4A-DD0956A63324}"/>
    <cellStyle name="Normal 2 2" xfId="2" xr:uid="{00000000-0005-0000-0000-000002000000}"/>
    <cellStyle name="Normal 2 3" xfId="8" xr:uid="{0D9E3BDB-AB53-DF40-A1FC-4C018F8B3351}"/>
    <cellStyle name="Normal_PWC Table Wizard" xfId="3" xr:uid="{00000000-0005-0000-0000-000003000000}"/>
    <cellStyle name="Normal_REVPROJ.XLS" xfId="5" xr:uid="{8CD5388A-DCDD-5749-B298-4AD3B4784275}"/>
    <cellStyle name="Normal_SALPERS.XLS" xfId="7" xr:uid="{726E03A8-321D-5F4E-8683-CD1E3BFD46D7}"/>
    <cellStyle name="Pourcentage" xfId="1" builtinId="5"/>
    <cellStyle name="Pourcentage 2" xfId="9" xr:uid="{5CC1D467-FD49-B743-B555-A1B66F0C0CEE}"/>
  </cellStyles>
  <dxfs count="1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C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719666</xdr:colOff>
      <xdr:row>25</xdr:row>
      <xdr:rowOff>84667</xdr:rowOff>
    </xdr:from>
    <xdr:to>
      <xdr:col>12</xdr:col>
      <xdr:colOff>719666</xdr:colOff>
      <xdr:row>30</xdr:row>
      <xdr:rowOff>14111</xdr:rowOff>
    </xdr:to>
    <xdr:cxnSp macro="">
      <xdr:nvCxnSpPr>
        <xdr:cNvPr id="19" name="Connecteur droit 18">
          <a:extLst>
            <a:ext uri="{FF2B5EF4-FFF2-40B4-BE49-F238E27FC236}">
              <a16:creationId xmlns:a16="http://schemas.microsoft.com/office/drawing/2014/main" id="{70929F7C-C2A5-A44A-B0BE-8280E1F14025}"/>
            </a:ext>
          </a:extLst>
        </xdr:cNvPr>
        <xdr:cNvCxnSpPr/>
      </xdr:nvCxnSpPr>
      <xdr:spPr>
        <a:xfrm flipH="1">
          <a:off x="9045222" y="6208889"/>
          <a:ext cx="0" cy="91722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440268</xdr:colOff>
      <xdr:row>20</xdr:row>
      <xdr:rowOff>138291</xdr:rowOff>
    </xdr:from>
    <xdr:to>
      <xdr:col>9</xdr:col>
      <xdr:colOff>440268</xdr:colOff>
      <xdr:row>31</xdr:row>
      <xdr:rowOff>68299</xdr:rowOff>
    </xdr:to>
    <xdr:cxnSp macro="">
      <xdr:nvCxnSpPr>
        <xdr:cNvPr id="14" name="Connecteur droit 13">
          <a:extLst>
            <a:ext uri="{FF2B5EF4-FFF2-40B4-BE49-F238E27FC236}">
              <a16:creationId xmlns:a16="http://schemas.microsoft.com/office/drawing/2014/main" id="{34E566E1-08C9-6140-9719-A89485193C97}"/>
            </a:ext>
          </a:extLst>
        </xdr:cNvPr>
        <xdr:cNvCxnSpPr/>
      </xdr:nvCxnSpPr>
      <xdr:spPr>
        <a:xfrm>
          <a:off x="6268157" y="5274735"/>
          <a:ext cx="0" cy="21031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196145</xdr:colOff>
      <xdr:row>6</xdr:row>
      <xdr:rowOff>56446</xdr:rowOff>
    </xdr:from>
    <xdr:to>
      <xdr:col>10</xdr:col>
      <xdr:colOff>754945</xdr:colOff>
      <xdr:row>10</xdr:row>
      <xdr:rowOff>69145</xdr:rowOff>
    </xdr:to>
    <xdr:sp macro="" textlink="">
      <xdr:nvSpPr>
        <xdr:cNvPr id="9" name="Rectangle : coins arrondis 8">
          <a:extLst>
            <a:ext uri="{FF2B5EF4-FFF2-40B4-BE49-F238E27FC236}">
              <a16:creationId xmlns:a16="http://schemas.microsoft.com/office/drawing/2014/main" id="{00EAA5EE-A29F-9F43-AEFB-1F977F5CBFD7}"/>
            </a:ext>
          </a:extLst>
        </xdr:cNvPr>
        <xdr:cNvSpPr/>
      </xdr:nvSpPr>
      <xdr:spPr>
        <a:xfrm>
          <a:off x="5191478" y="1241779"/>
          <a:ext cx="2223911" cy="80292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Sébastien</a:t>
          </a:r>
        </a:p>
        <a:p>
          <a:pPr algn="ctr"/>
          <a:r>
            <a:rPr lang="fr-FR" sz="1800"/>
            <a:t>DURSAP</a:t>
          </a:r>
        </a:p>
      </xdr:txBody>
    </xdr:sp>
    <xdr:clientData/>
  </xdr:twoCellAnchor>
  <xdr:twoCellAnchor>
    <xdr:from>
      <xdr:col>7</xdr:col>
      <xdr:colOff>660400</xdr:colOff>
      <xdr:row>14</xdr:row>
      <xdr:rowOff>88900</xdr:rowOff>
    </xdr:from>
    <xdr:to>
      <xdr:col>11</xdr:col>
      <xdr:colOff>228600</xdr:colOff>
      <xdr:row>21</xdr:row>
      <xdr:rowOff>76200</xdr:rowOff>
    </xdr:to>
    <xdr:sp macro="" textlink="">
      <xdr:nvSpPr>
        <xdr:cNvPr id="10" name="Rectangle : coins arrondis 9">
          <a:extLst>
            <a:ext uri="{FF2B5EF4-FFF2-40B4-BE49-F238E27FC236}">
              <a16:creationId xmlns:a16="http://schemas.microsoft.com/office/drawing/2014/main" id="{DBC7D0B7-B4EB-444A-9E27-CAE560B2D114}"/>
            </a:ext>
          </a:extLst>
        </xdr:cNvPr>
        <xdr:cNvSpPr/>
      </xdr:nvSpPr>
      <xdr:spPr>
        <a:xfrm>
          <a:off x="7264400" y="3898900"/>
          <a:ext cx="2870200" cy="1320800"/>
        </a:xfrm>
        <a:prstGeom prst="round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SARL DES SUCS</a:t>
          </a:r>
          <a:endParaRPr lang="fr-FR" sz="1100" i="1"/>
        </a:p>
      </xdr:txBody>
    </xdr:sp>
    <xdr:clientData/>
  </xdr:twoCellAnchor>
  <xdr:twoCellAnchor>
    <xdr:from>
      <xdr:col>9</xdr:col>
      <xdr:colOff>440267</xdr:colOff>
      <xdr:row>9</xdr:row>
      <xdr:rowOff>152402</xdr:rowOff>
    </xdr:from>
    <xdr:to>
      <xdr:col>9</xdr:col>
      <xdr:colOff>440267</xdr:colOff>
      <xdr:row>14</xdr:row>
      <xdr:rowOff>82411</xdr:rowOff>
    </xdr:to>
    <xdr:cxnSp macro="">
      <xdr:nvCxnSpPr>
        <xdr:cNvPr id="23" name="Connecteur droit 22">
          <a:extLst>
            <a:ext uri="{FF2B5EF4-FFF2-40B4-BE49-F238E27FC236}">
              <a16:creationId xmlns:a16="http://schemas.microsoft.com/office/drawing/2014/main" id="{0B414107-ECEC-A040-8018-16E1DCDD7525}"/>
            </a:ext>
          </a:extLst>
        </xdr:cNvPr>
        <xdr:cNvCxnSpPr/>
      </xdr:nvCxnSpPr>
      <xdr:spPr>
        <a:xfrm>
          <a:off x="8765823" y="1930402"/>
          <a:ext cx="0" cy="21031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366888</xdr:colOff>
      <xdr:row>12</xdr:row>
      <xdr:rowOff>112888</xdr:rowOff>
    </xdr:from>
    <xdr:to>
      <xdr:col>12</xdr:col>
      <xdr:colOff>645582</xdr:colOff>
      <xdr:row>13</xdr:row>
      <xdr:rowOff>0</xdr:rowOff>
    </xdr:to>
    <xdr:sp macro="" textlink="">
      <xdr:nvSpPr>
        <xdr:cNvPr id="28" name="ZoneTexte 27">
          <a:extLst>
            <a:ext uri="{FF2B5EF4-FFF2-40B4-BE49-F238E27FC236}">
              <a16:creationId xmlns:a16="http://schemas.microsoft.com/office/drawing/2014/main" id="{1993279C-F8AC-1A47-834A-3401D9473EBA}"/>
            </a:ext>
          </a:extLst>
        </xdr:cNvPr>
        <xdr:cNvSpPr txBox="1"/>
      </xdr:nvSpPr>
      <xdr:spPr>
        <a:xfrm>
          <a:off x="10357555" y="2483555"/>
          <a:ext cx="1111249" cy="3527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5,88%</a:t>
          </a:r>
        </a:p>
      </xdr:txBody>
    </xdr:sp>
    <xdr:clientData/>
  </xdr:twoCellAnchor>
  <xdr:twoCellAnchor>
    <xdr:from>
      <xdr:col>2</xdr:col>
      <xdr:colOff>677333</xdr:colOff>
      <xdr:row>25</xdr:row>
      <xdr:rowOff>84667</xdr:rowOff>
    </xdr:from>
    <xdr:to>
      <xdr:col>13</xdr:col>
      <xdr:colOff>24392</xdr:colOff>
      <xdr:row>25</xdr:row>
      <xdr:rowOff>84667</xdr:rowOff>
    </xdr:to>
    <xdr:cxnSp macro="">
      <xdr:nvCxnSpPr>
        <xdr:cNvPr id="2" name="Connecteur droit 1">
          <a:extLst>
            <a:ext uri="{FF2B5EF4-FFF2-40B4-BE49-F238E27FC236}">
              <a16:creationId xmlns:a16="http://schemas.microsoft.com/office/drawing/2014/main" id="{D4426C95-22A5-454D-B0C0-BEA360788226}"/>
            </a:ext>
          </a:extLst>
        </xdr:cNvPr>
        <xdr:cNvCxnSpPr/>
      </xdr:nvCxnSpPr>
      <xdr:spPr>
        <a:xfrm>
          <a:off x="2111686" y="4847167"/>
          <a:ext cx="7236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624113</xdr:colOff>
      <xdr:row>29</xdr:row>
      <xdr:rowOff>147461</xdr:rowOff>
    </xdr:from>
    <xdr:to>
      <xdr:col>14</xdr:col>
      <xdr:colOff>80577</xdr:colOff>
      <xdr:row>35</xdr:row>
      <xdr:rowOff>84461</xdr:rowOff>
    </xdr:to>
    <xdr:sp macro="" textlink="">
      <xdr:nvSpPr>
        <xdr:cNvPr id="4" name="Rectangle : coins arrondis 3">
          <a:extLst>
            <a:ext uri="{FF2B5EF4-FFF2-40B4-BE49-F238E27FC236}">
              <a16:creationId xmlns:a16="http://schemas.microsoft.com/office/drawing/2014/main" id="{BEE275D1-3A9D-E141-AAFA-5CFD1AA89F6A}"/>
            </a:ext>
          </a:extLst>
        </xdr:cNvPr>
        <xdr:cNvSpPr/>
      </xdr:nvSpPr>
      <xdr:spPr>
        <a:xfrm>
          <a:off x="8557077" y="5671961"/>
          <a:ext cx="1620000" cy="1080000"/>
        </a:xfrm>
        <a:prstGeom prst="round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SAS EMBALLAGES MALAYSSON</a:t>
          </a:r>
          <a:endParaRPr lang="fr-FR" sz="1100" i="1"/>
        </a:p>
      </xdr:txBody>
    </xdr:sp>
    <xdr:clientData/>
  </xdr:twoCellAnchor>
  <xdr:twoCellAnchor>
    <xdr:from>
      <xdr:col>5</xdr:col>
      <xdr:colOff>87088</xdr:colOff>
      <xdr:row>29</xdr:row>
      <xdr:rowOff>147461</xdr:rowOff>
    </xdr:from>
    <xdr:to>
      <xdr:col>7</xdr:col>
      <xdr:colOff>264731</xdr:colOff>
      <xdr:row>35</xdr:row>
      <xdr:rowOff>84461</xdr:rowOff>
    </xdr:to>
    <xdr:sp macro="" textlink="">
      <xdr:nvSpPr>
        <xdr:cNvPr id="5" name="Rectangle : coins arrondis 4">
          <a:extLst>
            <a:ext uri="{FF2B5EF4-FFF2-40B4-BE49-F238E27FC236}">
              <a16:creationId xmlns:a16="http://schemas.microsoft.com/office/drawing/2014/main" id="{D58CFC73-C8C0-FF4A-A377-1D626FF15E1F}"/>
            </a:ext>
          </a:extLst>
        </xdr:cNvPr>
        <xdr:cNvSpPr/>
      </xdr:nvSpPr>
      <xdr:spPr>
        <a:xfrm>
          <a:off x="3692981" y="5671961"/>
          <a:ext cx="1620000" cy="1080000"/>
        </a:xfrm>
        <a:prstGeom prst="round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SAS </a:t>
          </a:r>
        </a:p>
        <a:p>
          <a:pPr algn="ctr"/>
          <a:r>
            <a:rPr lang="fr-FR" sz="1800"/>
            <a:t>BSB</a:t>
          </a:r>
          <a:endParaRPr lang="fr-FR" sz="1100" i="1"/>
        </a:p>
      </xdr:txBody>
    </xdr:sp>
    <xdr:clientData/>
  </xdr:twoCellAnchor>
  <xdr:twoCellAnchor>
    <xdr:from>
      <xdr:col>1</xdr:col>
      <xdr:colOff>613933</xdr:colOff>
      <xdr:row>29</xdr:row>
      <xdr:rowOff>147461</xdr:rowOff>
    </xdr:from>
    <xdr:to>
      <xdr:col>4</xdr:col>
      <xdr:colOff>70398</xdr:colOff>
      <xdr:row>35</xdr:row>
      <xdr:rowOff>84461</xdr:rowOff>
    </xdr:to>
    <xdr:sp macro="" textlink="">
      <xdr:nvSpPr>
        <xdr:cNvPr id="6" name="Rectangle : coins arrondis 5">
          <a:extLst>
            <a:ext uri="{FF2B5EF4-FFF2-40B4-BE49-F238E27FC236}">
              <a16:creationId xmlns:a16="http://schemas.microsoft.com/office/drawing/2014/main" id="{3BD5D7DC-D128-5F44-B68C-281A3438ADE2}"/>
            </a:ext>
          </a:extLst>
        </xdr:cNvPr>
        <xdr:cNvSpPr/>
      </xdr:nvSpPr>
      <xdr:spPr>
        <a:xfrm>
          <a:off x="1335112" y="5671961"/>
          <a:ext cx="1620000" cy="1080000"/>
        </a:xfrm>
        <a:prstGeom prst="round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SAS </a:t>
          </a:r>
        </a:p>
        <a:p>
          <a:pPr algn="ctr"/>
          <a:r>
            <a:rPr lang="fr-FR" sz="1800"/>
            <a:t>PROBOIS</a:t>
          </a:r>
          <a:r>
            <a:rPr lang="fr-FR" sz="1800" baseline="0"/>
            <a:t> 43</a:t>
          </a:r>
          <a:endParaRPr lang="fr-FR" sz="1100" i="1"/>
        </a:p>
      </xdr:txBody>
    </xdr:sp>
    <xdr:clientData/>
  </xdr:twoCellAnchor>
  <xdr:twoCellAnchor>
    <xdr:from>
      <xdr:col>6</xdr:col>
      <xdr:colOff>165402</xdr:colOff>
      <xdr:row>25</xdr:row>
      <xdr:rowOff>79024</xdr:rowOff>
    </xdr:from>
    <xdr:to>
      <xdr:col>6</xdr:col>
      <xdr:colOff>166814</xdr:colOff>
      <xdr:row>29</xdr:row>
      <xdr:rowOff>145024</xdr:rowOff>
    </xdr:to>
    <xdr:cxnSp macro="">
      <xdr:nvCxnSpPr>
        <xdr:cNvPr id="16" name="Connecteur droit 15">
          <a:extLst>
            <a:ext uri="{FF2B5EF4-FFF2-40B4-BE49-F238E27FC236}">
              <a16:creationId xmlns:a16="http://schemas.microsoft.com/office/drawing/2014/main" id="{06FA4D2B-89A2-F344-9DC7-D70E451B45F2}"/>
            </a:ext>
          </a:extLst>
        </xdr:cNvPr>
        <xdr:cNvCxnSpPr/>
      </xdr:nvCxnSpPr>
      <xdr:spPr>
        <a:xfrm flipH="1">
          <a:off x="4492473" y="4841524"/>
          <a:ext cx="1412" cy="828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637490</xdr:colOff>
      <xdr:row>26</xdr:row>
      <xdr:rowOff>98383</xdr:rowOff>
    </xdr:from>
    <xdr:to>
      <xdr:col>13</xdr:col>
      <xdr:colOff>199008</xdr:colOff>
      <xdr:row>28</xdr:row>
      <xdr:rowOff>65575</xdr:rowOff>
    </xdr:to>
    <xdr:sp macro="" textlink="">
      <xdr:nvSpPr>
        <xdr:cNvPr id="35" name="ZoneTexte 34">
          <a:extLst>
            <a:ext uri="{FF2B5EF4-FFF2-40B4-BE49-F238E27FC236}">
              <a16:creationId xmlns:a16="http://schemas.microsoft.com/office/drawing/2014/main" id="{DDB143C2-C490-EA43-A636-B3B5A890207A}"/>
            </a:ext>
          </a:extLst>
        </xdr:cNvPr>
        <xdr:cNvSpPr txBox="1"/>
      </xdr:nvSpPr>
      <xdr:spPr>
        <a:xfrm>
          <a:off x="8526431" y="5051383"/>
          <a:ext cx="995871" cy="348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100%</a:t>
          </a:r>
        </a:p>
      </xdr:txBody>
    </xdr:sp>
    <xdr:clientData/>
  </xdr:twoCellAnchor>
  <xdr:twoCellAnchor>
    <xdr:from>
      <xdr:col>8</xdr:col>
      <xdr:colOff>434582</xdr:colOff>
      <xdr:row>26</xdr:row>
      <xdr:rowOff>84251</xdr:rowOff>
    </xdr:from>
    <xdr:to>
      <xdr:col>9</xdr:col>
      <xdr:colOff>616948</xdr:colOff>
      <xdr:row>28</xdr:row>
      <xdr:rowOff>48974</xdr:rowOff>
    </xdr:to>
    <xdr:sp macro="" textlink="">
      <xdr:nvSpPr>
        <xdr:cNvPr id="38" name="ZoneTexte 37">
          <a:extLst>
            <a:ext uri="{FF2B5EF4-FFF2-40B4-BE49-F238E27FC236}">
              <a16:creationId xmlns:a16="http://schemas.microsoft.com/office/drawing/2014/main" id="{640D27AF-B7DC-CC4D-A053-DCE522A16E49}"/>
            </a:ext>
          </a:extLst>
        </xdr:cNvPr>
        <xdr:cNvSpPr txBox="1"/>
      </xdr:nvSpPr>
      <xdr:spPr>
        <a:xfrm>
          <a:off x="6171994" y="5037251"/>
          <a:ext cx="899542" cy="345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100%</a:t>
          </a:r>
        </a:p>
      </xdr:txBody>
    </xdr:sp>
    <xdr:clientData/>
  </xdr:twoCellAnchor>
  <xdr:twoCellAnchor>
    <xdr:from>
      <xdr:col>5</xdr:col>
      <xdr:colOff>50718</xdr:colOff>
      <xdr:row>26</xdr:row>
      <xdr:rowOff>67318</xdr:rowOff>
    </xdr:from>
    <xdr:to>
      <xdr:col>6</xdr:col>
      <xdr:colOff>329413</xdr:colOff>
      <xdr:row>28</xdr:row>
      <xdr:rowOff>32041</xdr:rowOff>
    </xdr:to>
    <xdr:sp macro="" textlink="">
      <xdr:nvSpPr>
        <xdr:cNvPr id="39" name="ZoneTexte 38">
          <a:extLst>
            <a:ext uri="{FF2B5EF4-FFF2-40B4-BE49-F238E27FC236}">
              <a16:creationId xmlns:a16="http://schemas.microsoft.com/office/drawing/2014/main" id="{39E2A884-DBC7-7643-B176-048D21CB3FBD}"/>
            </a:ext>
          </a:extLst>
        </xdr:cNvPr>
        <xdr:cNvSpPr txBox="1"/>
      </xdr:nvSpPr>
      <xdr:spPr>
        <a:xfrm>
          <a:off x="3636600" y="5020318"/>
          <a:ext cx="995872" cy="345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100%</a:t>
          </a:r>
        </a:p>
      </xdr:txBody>
    </xdr:sp>
    <xdr:clientData/>
  </xdr:twoCellAnchor>
  <xdr:twoCellAnchor>
    <xdr:from>
      <xdr:col>9</xdr:col>
      <xdr:colOff>509244</xdr:colOff>
      <xdr:row>11</xdr:row>
      <xdr:rowOff>24238</xdr:rowOff>
    </xdr:from>
    <xdr:to>
      <xdr:col>10</xdr:col>
      <xdr:colOff>672559</xdr:colOff>
      <xdr:row>13</xdr:row>
      <xdr:rowOff>7305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26EE7A7C-9F9B-EA44-9DE6-8E0E9076FEA4}"/>
            </a:ext>
          </a:extLst>
        </xdr:cNvPr>
        <xdr:cNvSpPr txBox="1"/>
      </xdr:nvSpPr>
      <xdr:spPr>
        <a:xfrm>
          <a:off x="6963832" y="2119738"/>
          <a:ext cx="880492" cy="3640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99%</a:t>
          </a:r>
        </a:p>
      </xdr:txBody>
    </xdr:sp>
    <xdr:clientData/>
  </xdr:twoCellAnchor>
  <xdr:twoCellAnchor>
    <xdr:from>
      <xdr:col>11</xdr:col>
      <xdr:colOff>646288</xdr:colOff>
      <xdr:row>16</xdr:row>
      <xdr:rowOff>196143</xdr:rowOff>
    </xdr:from>
    <xdr:to>
      <xdr:col>14</xdr:col>
      <xdr:colOff>366889</xdr:colOff>
      <xdr:row>18</xdr:row>
      <xdr:rowOff>179210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877B20FF-C187-F141-9C0F-0F23F93C239A}"/>
            </a:ext>
          </a:extLst>
        </xdr:cNvPr>
        <xdr:cNvSpPr txBox="1"/>
      </xdr:nvSpPr>
      <xdr:spPr>
        <a:xfrm>
          <a:off x="8139288" y="3357032"/>
          <a:ext cx="2218268" cy="37817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fr-FR" sz="1600"/>
            <a:t>Holding</a:t>
          </a:r>
          <a:r>
            <a:rPr lang="fr-FR" sz="1600" baseline="0"/>
            <a:t> personnelle</a:t>
          </a:r>
          <a:endParaRPr lang="fr-FR" sz="1600"/>
        </a:p>
      </xdr:txBody>
    </xdr:sp>
    <xdr:clientData/>
  </xdr:twoCellAnchor>
  <xdr:twoCellAnchor>
    <xdr:from>
      <xdr:col>8</xdr:col>
      <xdr:colOff>347939</xdr:colOff>
      <xdr:row>29</xdr:row>
      <xdr:rowOff>147461</xdr:rowOff>
    </xdr:from>
    <xdr:to>
      <xdr:col>10</xdr:col>
      <xdr:colOff>525582</xdr:colOff>
      <xdr:row>35</xdr:row>
      <xdr:rowOff>84461</xdr:rowOff>
    </xdr:to>
    <xdr:sp macro="" textlink="">
      <xdr:nvSpPr>
        <xdr:cNvPr id="12" name="Rectangle : coins arrondis 11">
          <a:extLst>
            <a:ext uri="{FF2B5EF4-FFF2-40B4-BE49-F238E27FC236}">
              <a16:creationId xmlns:a16="http://schemas.microsoft.com/office/drawing/2014/main" id="{BA10563B-4FAA-884D-9CD5-5CFAF2A9B294}"/>
            </a:ext>
          </a:extLst>
        </xdr:cNvPr>
        <xdr:cNvSpPr/>
      </xdr:nvSpPr>
      <xdr:spPr>
        <a:xfrm>
          <a:off x="6117368" y="5671961"/>
          <a:ext cx="1620000" cy="1080000"/>
        </a:xfrm>
        <a:prstGeom prst="round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SCI DU BOUT DU MONDE</a:t>
          </a:r>
          <a:endParaRPr lang="fr-FR" sz="1100" i="1"/>
        </a:p>
      </xdr:txBody>
    </xdr:sp>
    <xdr:clientData/>
  </xdr:twoCellAnchor>
  <xdr:twoCellAnchor>
    <xdr:from>
      <xdr:col>2</xdr:col>
      <xdr:colOff>676427</xdr:colOff>
      <xdr:row>25</xdr:row>
      <xdr:rowOff>79528</xdr:rowOff>
    </xdr:from>
    <xdr:to>
      <xdr:col>2</xdr:col>
      <xdr:colOff>677839</xdr:colOff>
      <xdr:row>29</xdr:row>
      <xdr:rowOff>145528</xdr:rowOff>
    </xdr:to>
    <xdr:cxnSp macro="">
      <xdr:nvCxnSpPr>
        <xdr:cNvPr id="13" name="Connecteur droit 12">
          <a:extLst>
            <a:ext uri="{FF2B5EF4-FFF2-40B4-BE49-F238E27FC236}">
              <a16:creationId xmlns:a16="http://schemas.microsoft.com/office/drawing/2014/main" id="{6BC493C3-9BF3-6645-A460-3C9A88E3A65C}"/>
            </a:ext>
          </a:extLst>
        </xdr:cNvPr>
        <xdr:cNvCxnSpPr/>
      </xdr:nvCxnSpPr>
      <xdr:spPr>
        <a:xfrm flipH="1">
          <a:off x="2118784" y="4842028"/>
          <a:ext cx="1412" cy="828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26976</xdr:colOff>
      <xdr:row>26</xdr:row>
      <xdr:rowOff>71054</xdr:rowOff>
    </xdr:from>
    <xdr:to>
      <xdr:col>3</xdr:col>
      <xdr:colOff>112060</xdr:colOff>
      <xdr:row>28</xdr:row>
      <xdr:rowOff>22412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3D00DA15-73B2-464B-89C7-818AF243612F}"/>
            </a:ext>
          </a:extLst>
        </xdr:cNvPr>
        <xdr:cNvSpPr txBox="1"/>
      </xdr:nvSpPr>
      <xdr:spPr>
        <a:xfrm>
          <a:off x="1461329" y="5024054"/>
          <a:ext cx="802260" cy="332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100%</a:t>
          </a:r>
        </a:p>
      </xdr:txBody>
    </xdr:sp>
    <xdr:clientData/>
  </xdr:twoCellAnchor>
  <xdr:twoCellAnchor>
    <xdr:from>
      <xdr:col>16</xdr:col>
      <xdr:colOff>352778</xdr:colOff>
      <xdr:row>25</xdr:row>
      <xdr:rowOff>98778</xdr:rowOff>
    </xdr:from>
    <xdr:to>
      <xdr:col>16</xdr:col>
      <xdr:colOff>352778</xdr:colOff>
      <xdr:row>30</xdr:row>
      <xdr:rowOff>28222</xdr:rowOff>
    </xdr:to>
    <xdr:cxnSp macro="">
      <xdr:nvCxnSpPr>
        <xdr:cNvPr id="18" name="Connecteur droit 17">
          <a:extLst>
            <a:ext uri="{FF2B5EF4-FFF2-40B4-BE49-F238E27FC236}">
              <a16:creationId xmlns:a16="http://schemas.microsoft.com/office/drawing/2014/main" id="{F75DE4B2-71DD-134A-AF80-D4DC5B06B0AD}"/>
            </a:ext>
          </a:extLst>
        </xdr:cNvPr>
        <xdr:cNvCxnSpPr/>
      </xdr:nvCxnSpPr>
      <xdr:spPr>
        <a:xfrm flipH="1">
          <a:off x="13673667" y="5037667"/>
          <a:ext cx="0" cy="917222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287868</xdr:colOff>
      <xdr:row>29</xdr:row>
      <xdr:rowOff>55033</xdr:rowOff>
    </xdr:from>
    <xdr:to>
      <xdr:col>17</xdr:col>
      <xdr:colOff>465511</xdr:colOff>
      <xdr:row>34</xdr:row>
      <xdr:rowOff>182533</xdr:rowOff>
    </xdr:to>
    <xdr:sp macro="" textlink="">
      <xdr:nvSpPr>
        <xdr:cNvPr id="21" name="Rectangle : coins arrondis 20">
          <a:extLst>
            <a:ext uri="{FF2B5EF4-FFF2-40B4-BE49-F238E27FC236}">
              <a16:creationId xmlns:a16="http://schemas.microsoft.com/office/drawing/2014/main" id="{1EDA9E12-ED5C-3A45-902A-6FAD36DC41F5}"/>
            </a:ext>
          </a:extLst>
        </xdr:cNvPr>
        <xdr:cNvSpPr/>
      </xdr:nvSpPr>
      <xdr:spPr>
        <a:xfrm>
          <a:off x="11105547" y="5579533"/>
          <a:ext cx="1620000" cy="1080000"/>
        </a:xfrm>
        <a:prstGeom prst="roundRect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SCI IMMOBILIERE D'ANTREUIL</a:t>
          </a:r>
          <a:endParaRPr lang="fr-FR" sz="1100" i="1"/>
        </a:p>
      </xdr:txBody>
    </xdr:sp>
    <xdr:clientData/>
  </xdr:twoCellAnchor>
  <xdr:twoCellAnchor>
    <xdr:from>
      <xdr:col>15</xdr:col>
      <xdr:colOff>343731</xdr:colOff>
      <xdr:row>26</xdr:row>
      <xdr:rowOff>147088</xdr:rowOff>
    </xdr:from>
    <xdr:to>
      <xdr:col>16</xdr:col>
      <xdr:colOff>493058</xdr:colOff>
      <xdr:row>28</xdr:row>
      <xdr:rowOff>78441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737A6FD7-AFB1-A342-99E4-261952AF4B23}"/>
            </a:ext>
          </a:extLst>
        </xdr:cNvPr>
        <xdr:cNvSpPr txBox="1"/>
      </xdr:nvSpPr>
      <xdr:spPr>
        <a:xfrm>
          <a:off x="11101378" y="5100088"/>
          <a:ext cx="866504" cy="312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100%</a:t>
          </a:r>
        </a:p>
      </xdr:txBody>
    </xdr:sp>
    <xdr:clientData/>
  </xdr:twoCellAnchor>
  <xdr:twoCellAnchor>
    <xdr:from>
      <xdr:col>12</xdr:col>
      <xdr:colOff>706468</xdr:colOff>
      <xdr:row>25</xdr:row>
      <xdr:rowOff>77784</xdr:rowOff>
    </xdr:from>
    <xdr:to>
      <xdr:col>19</xdr:col>
      <xdr:colOff>546233</xdr:colOff>
      <xdr:row>25</xdr:row>
      <xdr:rowOff>77784</xdr:rowOff>
    </xdr:to>
    <xdr:cxnSp macro="">
      <xdr:nvCxnSpPr>
        <xdr:cNvPr id="3" name="Connecteur droit 2">
          <a:extLst>
            <a:ext uri="{FF2B5EF4-FFF2-40B4-BE49-F238E27FC236}">
              <a16:creationId xmlns:a16="http://schemas.microsoft.com/office/drawing/2014/main" id="{40708769-C99E-4CCB-A0AA-E8ED7914AF9B}"/>
            </a:ext>
          </a:extLst>
        </xdr:cNvPr>
        <xdr:cNvCxnSpPr/>
      </xdr:nvCxnSpPr>
      <xdr:spPr>
        <a:xfrm>
          <a:off x="9360611" y="4840284"/>
          <a:ext cx="4888015" cy="0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532073</xdr:colOff>
      <xdr:row>25</xdr:row>
      <xdr:rowOff>85171</xdr:rowOff>
    </xdr:from>
    <xdr:to>
      <xdr:col>19</xdr:col>
      <xdr:colOff>532073</xdr:colOff>
      <xdr:row>30</xdr:row>
      <xdr:rowOff>14615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id="{9CA9CE04-60B8-94FB-01BF-4474A0CC3EB5}"/>
            </a:ext>
          </a:extLst>
        </xdr:cNvPr>
        <xdr:cNvCxnSpPr/>
      </xdr:nvCxnSpPr>
      <xdr:spPr>
        <a:xfrm flipH="1">
          <a:off x="14234466" y="4847671"/>
          <a:ext cx="0" cy="881944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467163</xdr:colOff>
      <xdr:row>29</xdr:row>
      <xdr:rowOff>55033</xdr:rowOff>
    </xdr:from>
    <xdr:to>
      <xdr:col>20</xdr:col>
      <xdr:colOff>644806</xdr:colOff>
      <xdr:row>34</xdr:row>
      <xdr:rowOff>182533</xdr:rowOff>
    </xdr:to>
    <xdr:sp macro="" textlink="">
      <xdr:nvSpPr>
        <xdr:cNvPr id="15" name="Rectangle : coins arrondis 14">
          <a:extLst>
            <a:ext uri="{FF2B5EF4-FFF2-40B4-BE49-F238E27FC236}">
              <a16:creationId xmlns:a16="http://schemas.microsoft.com/office/drawing/2014/main" id="{E38F6379-EC3F-A687-FF58-ABDCE143C463}"/>
            </a:ext>
          </a:extLst>
        </xdr:cNvPr>
        <xdr:cNvSpPr/>
      </xdr:nvSpPr>
      <xdr:spPr>
        <a:xfrm>
          <a:off x="13448377" y="5579533"/>
          <a:ext cx="1620000" cy="1080000"/>
        </a:xfrm>
        <a:prstGeom prst="roundRect">
          <a:avLst/>
        </a:prstGeom>
        <a:solidFill>
          <a:schemeClr val="accent2"/>
        </a:solidFill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SAS PROFILYSS</a:t>
          </a:r>
          <a:endParaRPr lang="fr-FR" sz="1100" i="1"/>
        </a:p>
      </xdr:txBody>
    </xdr:sp>
    <xdr:clientData/>
  </xdr:twoCellAnchor>
  <xdr:twoCellAnchor>
    <xdr:from>
      <xdr:col>10</xdr:col>
      <xdr:colOff>713192</xdr:colOff>
      <xdr:row>8</xdr:row>
      <xdr:rowOff>8467</xdr:rowOff>
    </xdr:from>
    <xdr:to>
      <xdr:col>20</xdr:col>
      <xdr:colOff>129428</xdr:colOff>
      <xdr:row>8</xdr:row>
      <xdr:rowOff>8467</xdr:rowOff>
    </xdr:to>
    <xdr:cxnSp macro="">
      <xdr:nvCxnSpPr>
        <xdr:cNvPr id="20" name="Connecteur droit 19">
          <a:extLst>
            <a:ext uri="{FF2B5EF4-FFF2-40B4-BE49-F238E27FC236}">
              <a16:creationId xmlns:a16="http://schemas.microsoft.com/office/drawing/2014/main" id="{E92F0EAA-CB7C-4C99-A35F-00E163E20E38}"/>
            </a:ext>
          </a:extLst>
        </xdr:cNvPr>
        <xdr:cNvCxnSpPr/>
      </xdr:nvCxnSpPr>
      <xdr:spPr>
        <a:xfrm>
          <a:off x="7884957" y="1532467"/>
          <a:ext cx="6588000" cy="0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124179</xdr:colOff>
      <xdr:row>8</xdr:row>
      <xdr:rowOff>4648</xdr:rowOff>
    </xdr:from>
    <xdr:to>
      <xdr:col>20</xdr:col>
      <xdr:colOff>124179</xdr:colOff>
      <xdr:row>29</xdr:row>
      <xdr:rowOff>78441</xdr:rowOff>
    </xdr:to>
    <xdr:cxnSp macro="">
      <xdr:nvCxnSpPr>
        <xdr:cNvPr id="22" name="Connecteur droit 21">
          <a:extLst>
            <a:ext uri="{FF2B5EF4-FFF2-40B4-BE49-F238E27FC236}">
              <a16:creationId xmlns:a16="http://schemas.microsoft.com/office/drawing/2014/main" id="{369655F9-FD72-4E1A-AE4A-1C6AC63DE345}"/>
            </a:ext>
          </a:extLst>
        </xdr:cNvPr>
        <xdr:cNvCxnSpPr/>
      </xdr:nvCxnSpPr>
      <xdr:spPr>
        <a:xfrm>
          <a:off x="14467708" y="1528648"/>
          <a:ext cx="0" cy="4074293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363568</xdr:colOff>
      <xdr:row>14</xdr:row>
      <xdr:rowOff>35444</xdr:rowOff>
    </xdr:from>
    <xdr:to>
      <xdr:col>21</xdr:col>
      <xdr:colOff>593911</xdr:colOff>
      <xdr:row>16</xdr:row>
      <xdr:rowOff>18511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id="{A8F3604D-9BF7-1CF7-0F02-C0077C848A1F}"/>
            </a:ext>
          </a:extLst>
        </xdr:cNvPr>
        <xdr:cNvSpPr txBox="1"/>
      </xdr:nvSpPr>
      <xdr:spPr>
        <a:xfrm>
          <a:off x="13272744" y="2702444"/>
          <a:ext cx="2381873" cy="3640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51%</a:t>
          </a:r>
        </a:p>
      </xdr:txBody>
    </xdr:sp>
    <xdr:clientData/>
  </xdr:twoCellAnchor>
  <xdr:twoCellAnchor>
    <xdr:from>
      <xdr:col>18</xdr:col>
      <xdr:colOff>677332</xdr:colOff>
      <xdr:row>26</xdr:row>
      <xdr:rowOff>102680</xdr:rowOff>
    </xdr:from>
    <xdr:to>
      <xdr:col>19</xdr:col>
      <xdr:colOff>683558</xdr:colOff>
      <xdr:row>28</xdr:row>
      <xdr:rowOff>85747</xdr:rowOff>
    </xdr:to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D0CE7B2A-46AA-1989-7E3F-847F98ABE7CD}"/>
            </a:ext>
          </a:extLst>
        </xdr:cNvPr>
        <xdr:cNvSpPr txBox="1"/>
      </xdr:nvSpPr>
      <xdr:spPr>
        <a:xfrm>
          <a:off x="13586508" y="5055680"/>
          <a:ext cx="723403" cy="364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49%</a:t>
          </a:r>
        </a:p>
      </xdr:txBody>
    </xdr:sp>
    <xdr:clientData/>
  </xdr:twoCellAnchor>
  <xdr:twoCellAnchor>
    <xdr:from>
      <xdr:col>14</xdr:col>
      <xdr:colOff>571501</xdr:colOff>
      <xdr:row>23</xdr:row>
      <xdr:rowOff>33618</xdr:rowOff>
    </xdr:from>
    <xdr:to>
      <xdr:col>21</xdr:col>
      <xdr:colOff>112060</xdr:colOff>
      <xdr:row>38</xdr:row>
      <xdr:rowOff>100853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9CAF54DC-91E7-050D-C076-CDE4F0CBCF28}"/>
            </a:ext>
          </a:extLst>
        </xdr:cNvPr>
        <xdr:cNvSpPr/>
      </xdr:nvSpPr>
      <xdr:spPr>
        <a:xfrm>
          <a:off x="10611972" y="4415118"/>
          <a:ext cx="4560794" cy="2924735"/>
        </a:xfrm>
        <a:prstGeom prst="rect">
          <a:avLst/>
        </a:prstGeom>
        <a:noFill/>
        <a:ln w="38100"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251509</xdr:colOff>
      <xdr:row>39</xdr:row>
      <xdr:rowOff>125092</xdr:rowOff>
    </xdr:from>
    <xdr:to>
      <xdr:col>19</xdr:col>
      <xdr:colOff>481853</xdr:colOff>
      <xdr:row>41</xdr:row>
      <xdr:rowOff>108159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E5A4C7C6-79DA-9E1E-21A2-A8CD85AEC543}"/>
            </a:ext>
          </a:extLst>
        </xdr:cNvPr>
        <xdr:cNvSpPr txBox="1"/>
      </xdr:nvSpPr>
      <xdr:spPr>
        <a:xfrm>
          <a:off x="11726333" y="7554592"/>
          <a:ext cx="2381873" cy="3640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Nouvelle activité</a:t>
          </a:r>
        </a:p>
      </xdr:txBody>
    </xdr:sp>
    <xdr:clientData/>
  </xdr:twoCellAnchor>
  <xdr:twoCellAnchor>
    <xdr:from>
      <xdr:col>7</xdr:col>
      <xdr:colOff>520451</xdr:colOff>
      <xdr:row>11</xdr:row>
      <xdr:rowOff>69061</xdr:rowOff>
    </xdr:from>
    <xdr:to>
      <xdr:col>8</xdr:col>
      <xdr:colOff>683766</xdr:colOff>
      <xdr:row>13</xdr:row>
      <xdr:rowOff>52128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FA74A9A4-CF75-9D0E-172C-DB3AB01C6470}"/>
            </a:ext>
          </a:extLst>
        </xdr:cNvPr>
        <xdr:cNvSpPr txBox="1"/>
      </xdr:nvSpPr>
      <xdr:spPr>
        <a:xfrm>
          <a:off x="5540686" y="2164561"/>
          <a:ext cx="880492" cy="3640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/>
            <a:t>1%</a:t>
          </a:r>
        </a:p>
      </xdr:txBody>
    </xdr:sp>
    <xdr:clientData/>
  </xdr:twoCellAnchor>
  <xdr:twoCellAnchor>
    <xdr:from>
      <xdr:col>5</xdr:col>
      <xdr:colOff>319410</xdr:colOff>
      <xdr:row>6</xdr:row>
      <xdr:rowOff>67651</xdr:rowOff>
    </xdr:from>
    <xdr:to>
      <xdr:col>8</xdr:col>
      <xdr:colOff>122933</xdr:colOff>
      <xdr:row>10</xdr:row>
      <xdr:rowOff>80350</xdr:rowOff>
    </xdr:to>
    <xdr:sp macro="" textlink="">
      <xdr:nvSpPr>
        <xdr:cNvPr id="31" name="Rectangle : coins arrondis 30">
          <a:extLst>
            <a:ext uri="{FF2B5EF4-FFF2-40B4-BE49-F238E27FC236}">
              <a16:creationId xmlns:a16="http://schemas.microsoft.com/office/drawing/2014/main" id="{C9A31445-A7C5-8D2D-3BA4-720896157720}"/>
            </a:ext>
          </a:extLst>
        </xdr:cNvPr>
        <xdr:cNvSpPr/>
      </xdr:nvSpPr>
      <xdr:spPr>
        <a:xfrm>
          <a:off x="3905292" y="1210651"/>
          <a:ext cx="1955053" cy="774699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800"/>
            <a:t>Mme</a:t>
          </a:r>
        </a:p>
        <a:p>
          <a:pPr algn="ctr"/>
          <a:r>
            <a:rPr lang="fr-FR" sz="1800"/>
            <a:t>DURSAP</a:t>
          </a:r>
        </a:p>
      </xdr:txBody>
    </xdr:sp>
    <xdr:clientData/>
  </xdr:twoCellAnchor>
  <xdr:twoCellAnchor>
    <xdr:from>
      <xdr:col>8</xdr:col>
      <xdr:colOff>47647</xdr:colOff>
      <xdr:row>10</xdr:row>
      <xdr:rowOff>47814</xdr:rowOff>
    </xdr:from>
    <xdr:to>
      <xdr:col>9</xdr:col>
      <xdr:colOff>444500</xdr:colOff>
      <xdr:row>14</xdr:row>
      <xdr:rowOff>88900</xdr:rowOff>
    </xdr:to>
    <xdr:cxnSp macro="">
      <xdr:nvCxnSpPr>
        <xdr:cNvPr id="32" name="Connecteur droit 31">
          <a:extLst>
            <a:ext uri="{FF2B5EF4-FFF2-40B4-BE49-F238E27FC236}">
              <a16:creationId xmlns:a16="http://schemas.microsoft.com/office/drawing/2014/main" id="{4FD26DD7-2868-4C70-ADAC-12EF613E44E8}"/>
            </a:ext>
          </a:extLst>
        </xdr:cNvPr>
        <xdr:cNvCxnSpPr>
          <a:endCxn id="10" idx="0"/>
        </xdr:cNvCxnSpPr>
      </xdr:nvCxnSpPr>
      <xdr:spPr>
        <a:xfrm>
          <a:off x="5785059" y="1952814"/>
          <a:ext cx="1114029" cy="80308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7"/>
  </sheetPr>
  <dimension ref="A1"/>
  <sheetViews>
    <sheetView workbookViewId="0">
      <selection activeCell="G18" sqref="G18"/>
    </sheetView>
  </sheetViews>
  <sheetFormatPr baseColWidth="10" defaultColWidth="10.7109375" defaultRowHeight="15"/>
  <cols>
    <col min="1" max="16384" width="10.7109375" style="66"/>
  </cols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689DD-CDB6-774E-ABCA-7EC87F12B8BF}">
  <sheetPr codeName="Feuil4">
    <tabColor rgb="FF006C4C"/>
  </sheetPr>
  <dimension ref="A1:AQ331"/>
  <sheetViews>
    <sheetView showGridLines="0" zoomScaleNormal="100" workbookViewId="0">
      <pane xSplit="2" ySplit="5" topLeftCell="C228" activePane="bottomRight" state="frozen"/>
      <selection pane="topRight" activeCell="C1" sqref="C1"/>
      <selection pane="bottomLeft" activeCell="A5" sqref="A5"/>
      <selection pane="bottomRight" activeCell="G219" sqref="G219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84"/>
      <c r="H2" s="245"/>
      <c r="I2" s="84"/>
      <c r="J2" s="84"/>
      <c r="K2" s="84"/>
      <c r="L2" s="247" t="s">
        <v>269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181" t="s">
        <v>261</v>
      </c>
      <c r="H3" s="246"/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44074</v>
      </c>
      <c r="D4" s="54">
        <v>44439</v>
      </c>
      <c r="E4" s="54">
        <v>44804</v>
      </c>
      <c r="F4" s="54">
        <v>45169</v>
      </c>
      <c r="G4" s="54">
        <v>45535</v>
      </c>
      <c r="H4" s="54"/>
      <c r="I4" s="119" t="s">
        <v>755</v>
      </c>
      <c r="J4" s="119" t="s">
        <v>756</v>
      </c>
      <c r="K4" s="119" t="s">
        <v>757</v>
      </c>
      <c r="L4" s="119" t="s">
        <v>758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87" t="s">
        <v>3</v>
      </c>
      <c r="H5" s="274"/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>
        <f>SUM(C7:C20)</f>
        <v>2632196</v>
      </c>
      <c r="D6" s="88">
        <f>SUM(D7:D20)</f>
        <v>2613013</v>
      </c>
      <c r="E6" s="88">
        <f>SUM(E7:E20)</f>
        <v>3325091</v>
      </c>
      <c r="F6" s="88">
        <f>SUM(F7:F20)</f>
        <v>4817825</v>
      </c>
      <c r="G6" s="88">
        <f>SUM(G7:G20)</f>
        <v>3489034</v>
      </c>
      <c r="H6" s="88"/>
      <c r="I6" s="88">
        <v>3710725</v>
      </c>
      <c r="J6" s="88">
        <v>3896261</v>
      </c>
      <c r="K6" s="88">
        <v>4091074</v>
      </c>
      <c r="L6" s="88">
        <v>4295628</v>
      </c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 outlineLevel="1">
      <c r="A7" s="83"/>
      <c r="B7" s="106" t="s">
        <v>279</v>
      </c>
      <c r="C7" s="95">
        <v>44136</v>
      </c>
      <c r="D7" s="95">
        <v>30903</v>
      </c>
      <c r="E7" s="95">
        <v>520333</v>
      </c>
      <c r="F7" s="95">
        <v>600091</v>
      </c>
      <c r="G7" s="95">
        <v>519532</v>
      </c>
      <c r="H7" s="95"/>
      <c r="I7" s="95"/>
      <c r="J7" s="95"/>
      <c r="K7" s="95"/>
      <c r="L7" s="95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 outlineLevel="1">
      <c r="A8" s="83"/>
      <c r="B8" s="106" t="s">
        <v>280</v>
      </c>
      <c r="C8" s="95"/>
      <c r="D8" s="95">
        <v>4887</v>
      </c>
      <c r="E8" s="95">
        <v>2587</v>
      </c>
      <c r="F8" s="95"/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281</v>
      </c>
      <c r="C9" s="95">
        <v>655550</v>
      </c>
      <c r="D9" s="95">
        <v>538798</v>
      </c>
      <c r="E9" s="95">
        <v>846718</v>
      </c>
      <c r="F9" s="95">
        <v>735693</v>
      </c>
      <c r="G9" s="95">
        <v>635039</v>
      </c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282</v>
      </c>
      <c r="C10" s="95">
        <v>72708</v>
      </c>
      <c r="D10" s="95">
        <v>83939</v>
      </c>
      <c r="E10" s="95"/>
      <c r="F10" s="95">
        <v>1217341</v>
      </c>
      <c r="G10" s="95">
        <v>798448</v>
      </c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283</v>
      </c>
      <c r="C11" s="95">
        <v>1267018</v>
      </c>
      <c r="D11" s="95">
        <v>518748</v>
      </c>
      <c r="E11" s="95">
        <v>424854</v>
      </c>
      <c r="F11" s="95">
        <v>122734</v>
      </c>
      <c r="G11" s="95">
        <v>110559</v>
      </c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425</v>
      </c>
      <c r="C12" s="95">
        <v>11154</v>
      </c>
      <c r="D12" s="95">
        <v>2000</v>
      </c>
      <c r="E12" s="95"/>
      <c r="F12" s="95"/>
      <c r="G12" s="95">
        <v>721</v>
      </c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 t="s">
        <v>284</v>
      </c>
      <c r="C13" s="95">
        <v>186781</v>
      </c>
      <c r="D13" s="95">
        <v>500428</v>
      </c>
      <c r="E13" s="95">
        <v>752161</v>
      </c>
      <c r="F13" s="95">
        <v>1235411</v>
      </c>
      <c r="G13" s="95">
        <v>950318</v>
      </c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1">
      <c r="A14" s="83"/>
      <c r="B14" s="106" t="s">
        <v>285</v>
      </c>
      <c r="C14" s="95">
        <v>129346</v>
      </c>
      <c r="D14" s="95">
        <v>60500</v>
      </c>
      <c r="E14" s="95">
        <v>108920</v>
      </c>
      <c r="F14" s="95">
        <v>303615</v>
      </c>
      <c r="G14" s="95">
        <v>145694</v>
      </c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 outlineLevel="1">
      <c r="A15" s="83"/>
      <c r="B15" s="106" t="s">
        <v>286</v>
      </c>
      <c r="D15" s="95"/>
      <c r="E15" s="95"/>
      <c r="F15" s="95">
        <v>283613</v>
      </c>
      <c r="G15" s="95">
        <v>185988</v>
      </c>
      <c r="H15" s="95"/>
      <c r="I15" s="95"/>
      <c r="J15" s="95"/>
      <c r="K15" s="95"/>
      <c r="L15" s="95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 outlineLevel="1">
      <c r="A16" s="83"/>
      <c r="B16" s="106" t="s">
        <v>842</v>
      </c>
      <c r="D16" s="95"/>
      <c r="E16" s="95"/>
      <c r="F16" s="95"/>
      <c r="G16" s="95">
        <v>2311</v>
      </c>
      <c r="H16" s="95"/>
      <c r="I16" s="95"/>
      <c r="J16" s="95"/>
      <c r="K16" s="95"/>
      <c r="L16" s="95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outlineLevel="1">
      <c r="A17" s="83"/>
      <c r="B17" s="106" t="s">
        <v>287</v>
      </c>
      <c r="C17" s="95">
        <v>155018</v>
      </c>
      <c r="D17" s="95">
        <v>385786</v>
      </c>
      <c r="E17" s="95">
        <v>445437</v>
      </c>
      <c r="F17" s="95"/>
      <c r="G17" s="95">
        <v>100114</v>
      </c>
      <c r="H17" s="95"/>
      <c r="I17" s="95"/>
      <c r="J17" s="95"/>
      <c r="K17" s="95"/>
      <c r="L17" s="95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outlineLevel="1">
      <c r="A18" s="83"/>
      <c r="B18" s="106" t="s">
        <v>288</v>
      </c>
      <c r="C18" s="95">
        <v>130471</v>
      </c>
      <c r="D18" s="95">
        <v>487024</v>
      </c>
      <c r="E18" s="95">
        <v>224081</v>
      </c>
      <c r="F18" s="95">
        <v>319327</v>
      </c>
      <c r="G18" s="95">
        <v>40310</v>
      </c>
      <c r="H18" s="95"/>
      <c r="I18" s="95"/>
      <c r="J18" s="95"/>
      <c r="K18" s="95"/>
      <c r="L18" s="95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 outlineLevel="1">
      <c r="A19" s="83"/>
      <c r="B19" s="106" t="s">
        <v>438</v>
      </c>
      <c r="C19" s="95">
        <v>-19986</v>
      </c>
      <c r="D19" s="95"/>
      <c r="E19" s="95"/>
      <c r="F19" s="95"/>
      <c r="G19" s="95"/>
      <c r="H19" s="95"/>
      <c r="I19" s="95"/>
      <c r="J19" s="95"/>
      <c r="K19" s="95"/>
      <c r="L19" s="95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outlineLevel="1">
      <c r="A20" s="83"/>
      <c r="B20" s="106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>
      <c r="A21" s="83"/>
      <c r="B21" s="83" t="s">
        <v>165</v>
      </c>
      <c r="C21" s="88">
        <f>SUM(C22:C31)</f>
        <v>15369</v>
      </c>
      <c r="D21" s="88">
        <f>SUM(D22:D31)</f>
        <v>26807</v>
      </c>
      <c r="E21" s="88">
        <f>SUM(E22:E31)</f>
        <v>54512</v>
      </c>
      <c r="F21" s="88">
        <f>SUM(F22:F31)</f>
        <v>64868</v>
      </c>
      <c r="G21" s="88">
        <f>SUM(G22:G31)</f>
        <v>112646</v>
      </c>
      <c r="H21" s="88"/>
      <c r="I21" s="88">
        <v>0</v>
      </c>
      <c r="J21" s="88">
        <v>0</v>
      </c>
      <c r="K21" s="88">
        <v>0</v>
      </c>
      <c r="L21" s="88">
        <v>0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 outlineLevel="1">
      <c r="A22" s="83"/>
      <c r="B22" s="106" t="s">
        <v>289</v>
      </c>
      <c r="C22" s="95">
        <v>15249</v>
      </c>
      <c r="D22" s="95">
        <v>17744</v>
      </c>
      <c r="E22" s="95">
        <v>14950</v>
      </c>
      <c r="F22" s="95">
        <v>11923</v>
      </c>
      <c r="G22" s="95">
        <v>8874</v>
      </c>
      <c r="H22" s="95"/>
      <c r="I22" s="95"/>
      <c r="J22" s="95"/>
      <c r="K22" s="95"/>
      <c r="L22" s="95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 outlineLevel="1">
      <c r="A23" s="83"/>
      <c r="B23" s="106" t="s">
        <v>290</v>
      </c>
      <c r="C23" s="95"/>
      <c r="D23" s="95"/>
      <c r="E23" s="95"/>
      <c r="F23" s="95">
        <v>10267</v>
      </c>
      <c r="G23" s="95"/>
      <c r="H23" s="95"/>
      <c r="I23" s="95"/>
      <c r="J23" s="95"/>
      <c r="K23" s="95"/>
      <c r="L23" s="95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</row>
    <row r="24" spans="1:43" ht="15.75" outlineLevel="1">
      <c r="A24" s="83"/>
      <c r="B24" s="106" t="s">
        <v>291</v>
      </c>
      <c r="C24" s="95"/>
      <c r="D24" s="95"/>
      <c r="E24" s="95">
        <v>20995</v>
      </c>
      <c r="F24" s="95">
        <v>27300</v>
      </c>
      <c r="G24" s="95">
        <v>46655</v>
      </c>
      <c r="H24" s="95"/>
      <c r="I24" s="95"/>
      <c r="J24" s="95"/>
      <c r="K24" s="95"/>
      <c r="L24" s="95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5.75" outlineLevel="1">
      <c r="A25" s="83"/>
      <c r="B25" s="106" t="s">
        <v>292</v>
      </c>
      <c r="C25" s="95"/>
      <c r="D25" s="95">
        <v>5400</v>
      </c>
      <c r="E25" s="95">
        <v>10800</v>
      </c>
      <c r="F25" s="95">
        <v>10800</v>
      </c>
      <c r="G25" s="95">
        <v>30000</v>
      </c>
      <c r="H25" s="95"/>
      <c r="I25" s="95"/>
      <c r="J25" s="95"/>
      <c r="K25" s="95"/>
      <c r="L25" s="95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</row>
    <row r="26" spans="1:43" ht="15.75" outlineLevel="1">
      <c r="A26" s="83"/>
      <c r="B26" s="106" t="s">
        <v>293</v>
      </c>
      <c r="C26" s="95">
        <v>120</v>
      </c>
      <c r="D26" s="95"/>
      <c r="E26" s="95"/>
      <c r="F26" s="95">
        <v>1813</v>
      </c>
      <c r="G26" s="95"/>
      <c r="H26" s="95"/>
      <c r="I26" s="95"/>
      <c r="J26" s="95"/>
      <c r="K26" s="95"/>
      <c r="L26" s="95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</row>
    <row r="27" spans="1:43" ht="15.75" outlineLevel="1">
      <c r="A27" s="83"/>
      <c r="B27" s="106" t="s">
        <v>294</v>
      </c>
      <c r="C27" s="95"/>
      <c r="D27" s="95">
        <v>2723</v>
      </c>
      <c r="E27" s="95">
        <v>4592</v>
      </c>
      <c r="F27" s="95"/>
      <c r="G27" s="95"/>
      <c r="H27" s="95"/>
      <c r="I27" s="95"/>
      <c r="J27" s="95"/>
      <c r="K27" s="95"/>
      <c r="L27" s="95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</row>
    <row r="28" spans="1:43" ht="15.75" outlineLevel="1">
      <c r="A28" s="83"/>
      <c r="B28" s="106" t="s">
        <v>295</v>
      </c>
      <c r="C28" s="95"/>
      <c r="D28" s="95">
        <v>940</v>
      </c>
      <c r="E28" s="95">
        <v>3175</v>
      </c>
      <c r="F28" s="95">
        <v>1535</v>
      </c>
      <c r="G28" s="95">
        <v>15117</v>
      </c>
      <c r="H28" s="95"/>
      <c r="I28" s="95"/>
      <c r="J28" s="95"/>
      <c r="K28" s="95"/>
      <c r="L28" s="95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</row>
    <row r="29" spans="1:43" ht="15.75" outlineLevel="1">
      <c r="A29" s="83"/>
      <c r="B29" s="106" t="s">
        <v>296</v>
      </c>
      <c r="C29" s="95"/>
      <c r="D29" s="95"/>
      <c r="E29" s="95"/>
      <c r="F29" s="95">
        <v>579</v>
      </c>
      <c r="G29" s="95">
        <v>12000</v>
      </c>
      <c r="H29" s="95"/>
      <c r="I29" s="95"/>
      <c r="J29" s="95"/>
      <c r="K29" s="95"/>
      <c r="L29" s="95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</row>
    <row r="30" spans="1:43" ht="15.75" outlineLevel="1">
      <c r="A30" s="83"/>
      <c r="B30" s="106" t="s">
        <v>297</v>
      </c>
      <c r="C30" s="95"/>
      <c r="D30" s="95"/>
      <c r="E30" s="95"/>
      <c r="F30" s="95">
        <v>651</v>
      </c>
      <c r="G30" s="95"/>
      <c r="H30" s="95"/>
      <c r="I30" s="95"/>
      <c r="J30" s="95"/>
      <c r="K30" s="95"/>
      <c r="L30" s="95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</row>
    <row r="31" spans="1:43" ht="15.75" outlineLevel="1">
      <c r="A31" s="83"/>
      <c r="B31" s="106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</row>
    <row r="32" spans="1:43" ht="15.75">
      <c r="A32" s="83"/>
      <c r="B32" s="83" t="s">
        <v>166</v>
      </c>
      <c r="C32" s="88">
        <v>0</v>
      </c>
      <c r="D32" s="88">
        <v>0</v>
      </c>
      <c r="E32" s="88">
        <v>0</v>
      </c>
      <c r="F32" s="88">
        <v>0</v>
      </c>
      <c r="G32" s="88">
        <v>0</v>
      </c>
      <c r="H32" s="88"/>
      <c r="I32" s="88">
        <v>0</v>
      </c>
      <c r="J32" s="88">
        <v>0</v>
      </c>
      <c r="K32" s="88">
        <v>0</v>
      </c>
      <c r="L32" s="88">
        <v>0</v>
      </c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</row>
    <row r="33" spans="1:43" ht="15.75">
      <c r="A33" s="83"/>
      <c r="B33" s="98" t="s">
        <v>7</v>
      </c>
      <c r="C33" s="99">
        <f t="shared" ref="C33:L33" si="0">C6+C32+C21</f>
        <v>2647565</v>
      </c>
      <c r="D33" s="99">
        <f t="shared" si="0"/>
        <v>2639820</v>
      </c>
      <c r="E33" s="99">
        <f t="shared" si="0"/>
        <v>3379603</v>
      </c>
      <c r="F33" s="99">
        <f t="shared" si="0"/>
        <v>4882693</v>
      </c>
      <c r="G33" s="99">
        <f t="shared" ref="G33" si="1">G6+G32+G21</f>
        <v>3601680</v>
      </c>
      <c r="H33" s="275"/>
      <c r="I33" s="99">
        <f t="shared" si="0"/>
        <v>3710725</v>
      </c>
      <c r="J33" s="99">
        <f t="shared" si="0"/>
        <v>3896261</v>
      </c>
      <c r="K33" s="99">
        <f t="shared" si="0"/>
        <v>4091074</v>
      </c>
      <c r="L33" s="99">
        <f t="shared" si="0"/>
        <v>4295628</v>
      </c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>
      <c r="A34" s="83"/>
      <c r="B34" s="97" t="s">
        <v>8</v>
      </c>
      <c r="C34" s="89">
        <f>'Probois 43'!C9</f>
        <v>0</v>
      </c>
      <c r="D34" s="89">
        <f>'Probois 43'!D9</f>
        <v>0</v>
      </c>
      <c r="E34" s="89">
        <f>'Probois 43'!E9</f>
        <v>0</v>
      </c>
      <c r="F34" s="89">
        <f>'Probois 43'!F9</f>
        <v>0</v>
      </c>
      <c r="G34" s="89">
        <f>'Probois 43'!G9</f>
        <v>0</v>
      </c>
      <c r="H34" s="89"/>
      <c r="I34" s="89">
        <v>0</v>
      </c>
      <c r="J34" s="89">
        <v>0</v>
      </c>
      <c r="K34" s="89">
        <v>0</v>
      </c>
      <c r="L34" s="89">
        <v>0</v>
      </c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>
      <c r="A35" s="83"/>
      <c r="B35" s="97" t="s">
        <v>9</v>
      </c>
      <c r="C35" s="169">
        <f>'Probois 43'!C10</f>
        <v>0</v>
      </c>
      <c r="D35" s="169">
        <f>'Probois 43'!D10</f>
        <v>0</v>
      </c>
      <c r="E35" s="169">
        <f>'Probois 43'!E10</f>
        <v>0</v>
      </c>
      <c r="F35" s="169">
        <f>'Probois 43'!F10</f>
        <v>0</v>
      </c>
      <c r="G35" s="169">
        <f>'Probois 43'!G10</f>
        <v>0</v>
      </c>
      <c r="H35" s="169"/>
      <c r="I35" s="169">
        <v>0</v>
      </c>
      <c r="J35" s="169">
        <v>0</v>
      </c>
      <c r="K35" s="169">
        <v>0</v>
      </c>
      <c r="L35" s="169">
        <v>0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>
      <c r="A36" s="83"/>
      <c r="B36" s="100" t="s">
        <v>14</v>
      </c>
      <c r="C36" s="99">
        <f t="shared" ref="C36:L36" si="2">C33+C34+C35</f>
        <v>2647565</v>
      </c>
      <c r="D36" s="99">
        <f t="shared" si="2"/>
        <v>2639820</v>
      </c>
      <c r="E36" s="99">
        <f t="shared" si="2"/>
        <v>3379603</v>
      </c>
      <c r="F36" s="99">
        <f t="shared" si="2"/>
        <v>4882693</v>
      </c>
      <c r="G36" s="99">
        <f t="shared" ref="G36" si="3">G33+G34+G35</f>
        <v>3601680</v>
      </c>
      <c r="H36" s="275"/>
      <c r="I36" s="99">
        <f t="shared" si="2"/>
        <v>3710725</v>
      </c>
      <c r="J36" s="99">
        <f t="shared" si="2"/>
        <v>3896261</v>
      </c>
      <c r="K36" s="99">
        <f t="shared" si="2"/>
        <v>4091074</v>
      </c>
      <c r="L36" s="99">
        <f t="shared" si="2"/>
        <v>4295628</v>
      </c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6.5" thickBot="1">
      <c r="A37" s="83"/>
      <c r="B37" s="101" t="s">
        <v>106</v>
      </c>
      <c r="C37" s="102">
        <f t="shared" ref="C37:L37" si="4">C36/C33</f>
        <v>1</v>
      </c>
      <c r="D37" s="102">
        <f t="shared" si="4"/>
        <v>1</v>
      </c>
      <c r="E37" s="102">
        <f t="shared" si="4"/>
        <v>1</v>
      </c>
      <c r="F37" s="102">
        <f t="shared" si="4"/>
        <v>1</v>
      </c>
      <c r="G37" s="102">
        <f t="shared" ref="G37" si="5">G36/G33</f>
        <v>1</v>
      </c>
      <c r="H37" s="276"/>
      <c r="I37" s="102">
        <f t="shared" si="4"/>
        <v>1</v>
      </c>
      <c r="J37" s="102">
        <f t="shared" si="4"/>
        <v>1</v>
      </c>
      <c r="K37" s="102">
        <f t="shared" si="4"/>
        <v>1</v>
      </c>
      <c r="L37" s="102">
        <f t="shared" si="4"/>
        <v>1</v>
      </c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ht="15.75" collapsed="1">
      <c r="A38" s="83"/>
      <c r="B38" s="103" t="s">
        <v>167</v>
      </c>
      <c r="C38" s="89">
        <f>SUM(C39:C60)</f>
        <v>-2221830</v>
      </c>
      <c r="D38" s="89">
        <f>SUM(D39:D60)</f>
        <v>-2339794</v>
      </c>
      <c r="E38" s="89">
        <f>SUM(E39:E60)</f>
        <v>-2856195</v>
      </c>
      <c r="F38" s="89">
        <f>SUM(F39:F60)</f>
        <v>-4124290</v>
      </c>
      <c r="G38" s="89">
        <f>SUM(G39:G60)</f>
        <v>-3047998</v>
      </c>
      <c r="H38" s="89"/>
      <c r="I38" s="89">
        <v>-3005687</v>
      </c>
      <c r="J38" s="89">
        <v>-3155971</v>
      </c>
      <c r="K38" s="89">
        <v>-3313770</v>
      </c>
      <c r="L38" s="89">
        <v>-3479459</v>
      </c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</row>
    <row r="39" spans="1:43" ht="15.75" outlineLevel="1">
      <c r="A39" s="83"/>
      <c r="B39" s="106" t="s">
        <v>301</v>
      </c>
      <c r="C39" s="95">
        <v>-510656</v>
      </c>
      <c r="D39" s="95">
        <v>-445921</v>
      </c>
      <c r="E39" s="95">
        <v>-564703</v>
      </c>
      <c r="F39" s="95">
        <v>-406748</v>
      </c>
      <c r="G39" s="95">
        <v>-331257</v>
      </c>
      <c r="H39" s="95"/>
      <c r="I39" s="95"/>
      <c r="J39" s="95"/>
      <c r="K39" s="95"/>
      <c r="L39" s="95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</row>
    <row r="40" spans="1:43" ht="15.75" outlineLevel="1">
      <c r="A40" s="83"/>
      <c r="B40" s="106" t="s">
        <v>302</v>
      </c>
      <c r="C40" s="95">
        <v>-395174</v>
      </c>
      <c r="D40" s="95">
        <v>-226014</v>
      </c>
      <c r="E40" s="95">
        <v>-355240</v>
      </c>
      <c r="F40" s="95">
        <v>-208824</v>
      </c>
      <c r="G40" s="95">
        <v>-432758</v>
      </c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1">
      <c r="A41" s="83"/>
      <c r="B41" s="106" t="s">
        <v>303</v>
      </c>
      <c r="D41" s="95"/>
      <c r="E41" s="95">
        <v>-2340</v>
      </c>
      <c r="F41" s="95">
        <v>-350</v>
      </c>
      <c r="G41" s="95">
        <v>-5126</v>
      </c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1">
      <c r="A42" s="83"/>
      <c r="B42" s="106" t="s">
        <v>304</v>
      </c>
      <c r="C42" s="95">
        <v>-58627</v>
      </c>
      <c r="D42" s="95">
        <v>-518783</v>
      </c>
      <c r="E42" s="95">
        <v>-370567</v>
      </c>
      <c r="F42" s="95">
        <v>-561786</v>
      </c>
      <c r="G42" s="95">
        <v>-621040</v>
      </c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1">
      <c r="A43" s="83"/>
      <c r="B43" s="106" t="s">
        <v>305</v>
      </c>
      <c r="C43" s="95">
        <v>-689025</v>
      </c>
      <c r="D43" s="95">
        <v>-515106</v>
      </c>
      <c r="E43" s="95">
        <v>-306220</v>
      </c>
      <c r="F43" s="95">
        <v>-245153</v>
      </c>
      <c r="G43" s="95">
        <v>-82723</v>
      </c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106" t="s">
        <v>306</v>
      </c>
      <c r="C44" s="95">
        <v>-137465</v>
      </c>
      <c r="D44" s="95">
        <v>-162501</v>
      </c>
      <c r="E44" s="95">
        <v>-597814</v>
      </c>
      <c r="F44" s="95">
        <v>-656940</v>
      </c>
      <c r="G44" s="95">
        <v>-493463</v>
      </c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1">
      <c r="A45" s="83"/>
      <c r="B45" s="106" t="s">
        <v>307</v>
      </c>
      <c r="D45" s="95"/>
      <c r="E45" s="95">
        <v>-15000</v>
      </c>
      <c r="F45" s="95"/>
      <c r="G45" s="95"/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5.75" outlineLevel="1">
      <c r="A46" s="83"/>
      <c r="B46" s="106" t="s">
        <v>308</v>
      </c>
      <c r="D46" s="95"/>
      <c r="E46" s="95"/>
      <c r="F46" s="95">
        <v>-516667</v>
      </c>
      <c r="G46" s="95">
        <v>-597092</v>
      </c>
      <c r="H46" s="95"/>
      <c r="I46" s="95"/>
      <c r="J46" s="95"/>
      <c r="K46" s="95"/>
      <c r="L46" s="95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 outlineLevel="1">
      <c r="A47" s="83"/>
      <c r="B47" s="106" t="s">
        <v>309</v>
      </c>
      <c r="D47" s="95"/>
      <c r="E47" s="95"/>
      <c r="F47" s="95">
        <v>-615289</v>
      </c>
      <c r="G47" s="95">
        <v>-18088</v>
      </c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1">
      <c r="A48" s="83"/>
      <c r="B48" s="106" t="s">
        <v>310</v>
      </c>
      <c r="C48" s="95"/>
      <c r="D48" s="95"/>
      <c r="E48" s="95"/>
      <c r="F48" s="95">
        <v>-163984</v>
      </c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ht="15.75" outlineLevel="1">
      <c r="A49" s="83"/>
      <c r="B49" s="106" t="s">
        <v>311</v>
      </c>
      <c r="C49" s="95">
        <v>-117465</v>
      </c>
      <c r="D49" s="95">
        <v>-126655</v>
      </c>
      <c r="E49" s="95">
        <v>-313245</v>
      </c>
      <c r="F49" s="95">
        <v>-479549</v>
      </c>
      <c r="G49" s="95">
        <v>-269057</v>
      </c>
      <c r="H49" s="95"/>
      <c r="I49" s="95"/>
      <c r="J49" s="95"/>
      <c r="K49" s="95"/>
      <c r="L49" s="95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 t="s">
        <v>312</v>
      </c>
      <c r="C50" s="95">
        <v>-5676</v>
      </c>
      <c r="D50" s="95">
        <v>-2789</v>
      </c>
      <c r="E50" s="95">
        <v>-9498</v>
      </c>
      <c r="F50" s="95">
        <v>-14488</v>
      </c>
      <c r="G50" s="95">
        <v>-9638</v>
      </c>
      <c r="H50" s="95"/>
      <c r="I50" s="95"/>
      <c r="J50" s="95"/>
      <c r="K50" s="95"/>
      <c r="L50" s="95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 outlineLevel="1">
      <c r="A51" s="83"/>
      <c r="B51" s="106" t="s">
        <v>313</v>
      </c>
      <c r="C51" s="95">
        <v>-130384</v>
      </c>
      <c r="D51" s="95">
        <v>-60060</v>
      </c>
      <c r="E51" s="95">
        <v>-67153</v>
      </c>
      <c r="F51" s="95">
        <v>-94330</v>
      </c>
      <c r="G51" s="95">
        <v>-77131</v>
      </c>
      <c r="H51" s="95"/>
      <c r="I51" s="95"/>
      <c r="J51" s="95"/>
      <c r="K51" s="95"/>
      <c r="L51" s="95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 outlineLevel="1">
      <c r="A52" s="83"/>
      <c r="B52" s="106" t="s">
        <v>441</v>
      </c>
      <c r="C52" s="95">
        <v>-50026</v>
      </c>
      <c r="D52" s="95">
        <v>-81203</v>
      </c>
      <c r="E52" s="95">
        <v>-58819</v>
      </c>
      <c r="F52" s="95">
        <v>-15052</v>
      </c>
      <c r="G52" s="95">
        <v>-16020</v>
      </c>
      <c r="H52" s="95"/>
      <c r="I52" s="95"/>
      <c r="J52" s="95"/>
      <c r="K52" s="95"/>
      <c r="L52" s="95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 outlineLevel="1">
      <c r="A53" s="83"/>
      <c r="B53" s="106" t="s">
        <v>314</v>
      </c>
      <c r="C53" s="95">
        <v>-26061</v>
      </c>
      <c r="D53" s="95">
        <v>-107277</v>
      </c>
      <c r="E53" s="95">
        <v>-52383</v>
      </c>
      <c r="F53" s="95">
        <v>-14569</v>
      </c>
      <c r="G53" s="95">
        <v>-1283</v>
      </c>
      <c r="H53" s="95"/>
      <c r="I53" s="95"/>
      <c r="J53" s="95"/>
      <c r="K53" s="95"/>
      <c r="L53" s="95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106" t="s">
        <v>315</v>
      </c>
      <c r="C54" s="95"/>
      <c r="D54" s="95"/>
      <c r="E54" s="95"/>
      <c r="F54" s="95">
        <v>-4190</v>
      </c>
      <c r="G54" s="95">
        <v>-19847</v>
      </c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 outlineLevel="1">
      <c r="A55" s="83"/>
      <c r="B55" s="106" t="s">
        <v>316</v>
      </c>
      <c r="C55" s="95"/>
      <c r="D55" s="95"/>
      <c r="E55" s="95"/>
      <c r="F55" s="95">
        <v>-11335</v>
      </c>
      <c r="G55" s="95">
        <v>-32015</v>
      </c>
      <c r="H55" s="95"/>
      <c r="I55" s="95"/>
      <c r="J55" s="95"/>
      <c r="K55" s="95"/>
      <c r="L55" s="95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 outlineLevel="1">
      <c r="A56" s="83"/>
      <c r="B56" s="106" t="s">
        <v>317</v>
      </c>
      <c r="C56" s="95"/>
      <c r="D56" s="95"/>
      <c r="E56" s="95"/>
      <c r="F56" s="95">
        <v>-2571</v>
      </c>
      <c r="G56" s="95"/>
      <c r="H56" s="95"/>
      <c r="I56" s="95"/>
      <c r="J56" s="95"/>
      <c r="K56" s="95"/>
      <c r="L56" s="95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 outlineLevel="1">
      <c r="A57" s="83"/>
      <c r="B57" s="106" t="s">
        <v>318</v>
      </c>
      <c r="C57" s="95">
        <v>-3437</v>
      </c>
      <c r="D57" s="95">
        <v>-5461</v>
      </c>
      <c r="E57" s="95">
        <v>-4107</v>
      </c>
      <c r="F57" s="95"/>
      <c r="G57" s="95"/>
      <c r="H57" s="95"/>
      <c r="I57" s="95"/>
      <c r="J57" s="95"/>
      <c r="K57" s="95"/>
      <c r="L57" s="95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5.75" outlineLevel="1">
      <c r="A58" s="83"/>
      <c r="B58" s="106" t="s">
        <v>319</v>
      </c>
      <c r="C58" s="95">
        <v>-759</v>
      </c>
      <c r="D58" s="95">
        <v>-1507</v>
      </c>
      <c r="E58" s="95">
        <v>-1078</v>
      </c>
      <c r="F58" s="95">
        <v>-3527</v>
      </c>
      <c r="G58" s="95">
        <v>-2787</v>
      </c>
      <c r="H58" s="95"/>
      <c r="I58" s="95"/>
      <c r="J58" s="95"/>
      <c r="K58" s="95"/>
      <c r="L58" s="95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 outlineLevel="1">
      <c r="A59" s="83"/>
      <c r="B59" s="106" t="s">
        <v>526</v>
      </c>
      <c r="C59" s="95">
        <v>-97075</v>
      </c>
      <c r="D59" s="95">
        <v>-86517</v>
      </c>
      <c r="E59" s="95">
        <v>-138028</v>
      </c>
      <c r="F59" s="95">
        <v>-108938</v>
      </c>
      <c r="G59" s="95">
        <v>-38673</v>
      </c>
      <c r="H59" s="95"/>
      <c r="I59" s="95"/>
      <c r="J59" s="95"/>
      <c r="K59" s="95"/>
      <c r="L59" s="95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83"/>
      <c r="B61" s="103" t="s">
        <v>168</v>
      </c>
      <c r="C61" s="89">
        <f>SUM(C62:C64)</f>
        <v>-75593</v>
      </c>
      <c r="D61" s="89">
        <f>SUM(D62:D64)</f>
        <v>54057</v>
      </c>
      <c r="E61" s="89">
        <f>SUM(E62:E64)</f>
        <v>53913</v>
      </c>
      <c r="F61" s="89">
        <f>SUM(F62:F64)</f>
        <v>-141272</v>
      </c>
      <c r="G61" s="89">
        <f>SUM(G62:G64)</f>
        <v>92791</v>
      </c>
      <c r="H61" s="89"/>
      <c r="I61" s="89">
        <f t="shared" ref="I61:L61" si="6">I62</f>
        <v>0</v>
      </c>
      <c r="J61" s="89">
        <f t="shared" si="6"/>
        <v>0</v>
      </c>
      <c r="K61" s="89">
        <f t="shared" si="6"/>
        <v>0</v>
      </c>
      <c r="L61" s="89">
        <f t="shared" si="6"/>
        <v>0</v>
      </c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 outlineLevel="1">
      <c r="A62" s="83"/>
      <c r="B62" s="106" t="s">
        <v>320</v>
      </c>
      <c r="C62" s="95">
        <v>-74893</v>
      </c>
      <c r="D62" s="95">
        <v>54857</v>
      </c>
      <c r="E62" s="95">
        <v>53913</v>
      </c>
      <c r="F62" s="95">
        <v>-141272</v>
      </c>
      <c r="G62" s="95">
        <v>92791</v>
      </c>
      <c r="H62" s="95"/>
      <c r="I62" s="95"/>
      <c r="J62" s="95"/>
      <c r="K62" s="95"/>
      <c r="L62" s="95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426</v>
      </c>
      <c r="C63" s="95">
        <v>-700</v>
      </c>
      <c r="D63" s="95">
        <v>-800</v>
      </c>
      <c r="E63" s="95"/>
      <c r="F63" s="95"/>
      <c r="G63" s="95"/>
      <c r="H63" s="95"/>
      <c r="I63" s="95"/>
      <c r="J63" s="95"/>
      <c r="K63" s="95"/>
      <c r="L63" s="95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>
      <c r="A65" s="83"/>
      <c r="B65" s="83" t="s">
        <v>190</v>
      </c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>
      <c r="A66" s="107"/>
      <c r="B66" s="108" t="s">
        <v>169</v>
      </c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8"/>
      <c r="N66" s="108"/>
      <c r="O66" s="109"/>
      <c r="P66" s="109"/>
      <c r="Q66" s="109"/>
      <c r="R66" s="109"/>
      <c r="S66" s="109"/>
      <c r="T66" s="109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</row>
    <row r="67" spans="1:43" ht="15.75">
      <c r="A67" s="83"/>
      <c r="B67" s="100" t="s">
        <v>16</v>
      </c>
      <c r="C67" s="99">
        <f t="shared" ref="C67:L67" si="7">C36+C38+C61+C65+C66</f>
        <v>350142</v>
      </c>
      <c r="D67" s="99">
        <f t="shared" si="7"/>
        <v>354083</v>
      </c>
      <c r="E67" s="99">
        <f t="shared" si="7"/>
        <v>577321</v>
      </c>
      <c r="F67" s="99">
        <f t="shared" si="7"/>
        <v>617131</v>
      </c>
      <c r="G67" s="99">
        <f t="shared" ref="G67" si="8">G36+G38+G61+G65+G66</f>
        <v>646473</v>
      </c>
      <c r="H67" s="275"/>
      <c r="I67" s="99">
        <f t="shared" si="7"/>
        <v>705038</v>
      </c>
      <c r="J67" s="99">
        <f t="shared" si="7"/>
        <v>740290</v>
      </c>
      <c r="K67" s="99">
        <f t="shared" si="7"/>
        <v>777304</v>
      </c>
      <c r="L67" s="99">
        <f t="shared" si="7"/>
        <v>816169</v>
      </c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6.5" thickBot="1">
      <c r="A68" s="107"/>
      <c r="B68" s="101" t="s">
        <v>106</v>
      </c>
      <c r="C68" s="102">
        <f>C67/C36</f>
        <v>0.13225057741736274</v>
      </c>
      <c r="D68" s="102">
        <f t="shared" ref="D68:L68" si="9">D67/D36</f>
        <v>0.13413149381397216</v>
      </c>
      <c r="E68" s="102">
        <f t="shared" si="9"/>
        <v>0.17082509395334303</v>
      </c>
      <c r="F68" s="102">
        <f t="shared" si="9"/>
        <v>0.12639152205555418</v>
      </c>
      <c r="G68" s="102">
        <f t="shared" ref="G68" si="10">G67/G36</f>
        <v>0.179492070367162</v>
      </c>
      <c r="H68" s="276"/>
      <c r="I68" s="102">
        <f t="shared" si="9"/>
        <v>0.19000006737227901</v>
      </c>
      <c r="J68" s="102">
        <f t="shared" si="9"/>
        <v>0.19000010522909014</v>
      </c>
      <c r="K68" s="102">
        <f t="shared" si="9"/>
        <v>0.18999998533392454</v>
      </c>
      <c r="L68" s="102">
        <f t="shared" si="9"/>
        <v>0.18999992550565364</v>
      </c>
      <c r="M68" s="108"/>
      <c r="N68" s="108"/>
      <c r="O68" s="109"/>
      <c r="P68" s="109"/>
      <c r="Q68" s="109"/>
      <c r="R68" s="109"/>
      <c r="S68" s="109"/>
      <c r="T68" s="109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</row>
    <row r="69" spans="1:43" ht="15.75">
      <c r="A69" s="107"/>
      <c r="B69" s="108" t="s">
        <v>170</v>
      </c>
      <c r="C69" s="104">
        <f>C71+C82+C85+C92+C99+C109+C119+C122+C137+C144+C154</f>
        <v>-130343</v>
      </c>
      <c r="D69" s="104">
        <f>D71+D82+D85+D92+D99+D109+D119+D122+D137+D144+D154</f>
        <v>-120600</v>
      </c>
      <c r="E69" s="104">
        <f>E71+E82+E85+E92+E99+E109+E119+E122+E137+E144+E154</f>
        <v>-167887</v>
      </c>
      <c r="F69" s="104">
        <f>F71+F82+F85+F92+F99+F109+F119+F122+F137+F144+F154</f>
        <v>-174039</v>
      </c>
      <c r="G69" s="104">
        <f>G71+G82+G85+G92+G99+G109+G119+G122+G137+G144+G154</f>
        <v>-255410</v>
      </c>
      <c r="H69" s="104"/>
      <c r="I69" s="104">
        <v>-266106</v>
      </c>
      <c r="J69" s="104">
        <v>-280032</v>
      </c>
      <c r="K69" s="104">
        <v>-294654</v>
      </c>
      <c r="L69" s="104">
        <v>-310007</v>
      </c>
      <c r="M69" s="108"/>
      <c r="N69" s="108"/>
      <c r="O69" s="109"/>
      <c r="P69" s="109"/>
      <c r="Q69" s="109"/>
      <c r="R69" s="109"/>
      <c r="S69" s="109"/>
      <c r="T69" s="109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</row>
    <row r="70" spans="1:43" outlineLevel="1"/>
    <row r="71" spans="1:43" s="92" customFormat="1" ht="12.75" outlineLevel="1">
      <c r="A71" s="90"/>
      <c r="B71" s="105" t="s">
        <v>171</v>
      </c>
      <c r="C71" s="91">
        <f>SUM(C72:C81)</f>
        <v>-18223</v>
      </c>
      <c r="D71" s="91">
        <f>SUM(D72:D81)</f>
        <v>-17002</v>
      </c>
      <c r="E71" s="91">
        <f t="shared" ref="E71:F71" si="11">SUM(E72:E81)</f>
        <v>-26976</v>
      </c>
      <c r="F71" s="91">
        <f t="shared" si="11"/>
        <v>-26010</v>
      </c>
      <c r="G71" s="91">
        <f t="shared" ref="G71" si="12">SUM(G72:G81)</f>
        <v>-18508</v>
      </c>
      <c r="H71" s="91"/>
      <c r="I71" s="91"/>
      <c r="J71" s="91"/>
      <c r="K71" s="91"/>
      <c r="L71" s="91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</row>
    <row r="72" spans="1:43" ht="15.75" outlineLevel="2">
      <c r="A72" s="83"/>
      <c r="B72" s="106" t="s">
        <v>321</v>
      </c>
      <c r="C72" s="95"/>
      <c r="D72" s="95"/>
      <c r="E72" s="95"/>
      <c r="F72" s="95">
        <v>-2388</v>
      </c>
      <c r="G72" s="95"/>
      <c r="H72" s="95"/>
      <c r="I72" s="95"/>
      <c r="J72" s="95"/>
      <c r="K72" s="95"/>
      <c r="L72" s="95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 outlineLevel="2">
      <c r="A73" s="83"/>
      <c r="B73" s="106" t="s">
        <v>322</v>
      </c>
      <c r="C73" s="95">
        <v>-1858</v>
      </c>
      <c r="D73" s="95">
        <v>-1635</v>
      </c>
      <c r="E73" s="95">
        <v>-2051</v>
      </c>
      <c r="F73" s="95">
        <v>-1820</v>
      </c>
      <c r="G73" s="95">
        <v>-1968</v>
      </c>
      <c r="H73" s="95"/>
      <c r="I73" s="95"/>
      <c r="J73" s="95"/>
      <c r="K73" s="95"/>
      <c r="L73" s="95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2">
      <c r="A74" s="83"/>
      <c r="B74" s="106" t="s">
        <v>323</v>
      </c>
      <c r="C74" s="95"/>
      <c r="D74" s="95">
        <v>-310</v>
      </c>
      <c r="E74" s="95">
        <v>-112</v>
      </c>
      <c r="F74" s="95">
        <v>-124</v>
      </c>
      <c r="G74" s="95">
        <v>-135</v>
      </c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2">
      <c r="A75" s="83"/>
      <c r="B75" s="106" t="s">
        <v>324</v>
      </c>
      <c r="C75" s="95">
        <v>-8205</v>
      </c>
      <c r="D75" s="95">
        <v>-6985</v>
      </c>
      <c r="E75" s="95">
        <v>-8980</v>
      </c>
      <c r="F75" s="95">
        <v>-7611</v>
      </c>
      <c r="G75" s="95">
        <v>-7499</v>
      </c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2">
      <c r="A76" s="83"/>
      <c r="B76" s="106" t="s">
        <v>325</v>
      </c>
      <c r="C76" s="95">
        <v>-3123</v>
      </c>
      <c r="D76" s="95">
        <v>-3248</v>
      </c>
      <c r="E76" s="95">
        <v>-4709</v>
      </c>
      <c r="F76" s="95">
        <v>-5348</v>
      </c>
      <c r="G76" s="95">
        <v>-5649</v>
      </c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 outlineLevel="2">
      <c r="A77" s="83"/>
      <c r="B77" s="106" t="s">
        <v>326</v>
      </c>
      <c r="E77" s="95"/>
      <c r="F77" s="95">
        <v>-2340</v>
      </c>
      <c r="G77" s="95"/>
      <c r="H77" s="95"/>
      <c r="I77" s="95"/>
      <c r="J77" s="95"/>
      <c r="K77" s="95"/>
      <c r="L77" s="95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5.75" outlineLevel="2">
      <c r="A78" s="83"/>
      <c r="B78" s="106" t="s">
        <v>327</v>
      </c>
      <c r="C78" s="95">
        <v>-4423</v>
      </c>
      <c r="D78" s="95">
        <v>-1843</v>
      </c>
      <c r="E78" s="95">
        <v>-4952</v>
      </c>
      <c r="F78" s="95">
        <v>-2766</v>
      </c>
      <c r="G78" s="95">
        <v>-976</v>
      </c>
      <c r="H78" s="95"/>
      <c r="I78" s="95"/>
      <c r="J78" s="95"/>
      <c r="K78" s="95"/>
      <c r="L78" s="95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15.75" outlineLevel="2">
      <c r="A79" s="83"/>
      <c r="B79" s="106" t="s">
        <v>328</v>
      </c>
      <c r="C79" s="95">
        <v>-228</v>
      </c>
      <c r="D79" s="95">
        <v>-574</v>
      </c>
      <c r="E79" s="95">
        <v>-2833</v>
      </c>
      <c r="F79" s="95">
        <v>-1720</v>
      </c>
      <c r="G79" s="95"/>
      <c r="H79" s="95"/>
      <c r="I79" s="95"/>
      <c r="J79" s="95"/>
      <c r="K79" s="95"/>
      <c r="L79" s="95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 outlineLevel="2">
      <c r="A80" s="83"/>
      <c r="B80" s="106" t="s">
        <v>329</v>
      </c>
      <c r="C80" s="95">
        <v>-386</v>
      </c>
      <c r="D80" s="95">
        <v>-2407</v>
      </c>
      <c r="E80" s="95">
        <v>-3339</v>
      </c>
      <c r="F80" s="95">
        <v>-1893</v>
      </c>
      <c r="G80" s="95">
        <v>-2281</v>
      </c>
      <c r="H80" s="95"/>
      <c r="I80" s="95"/>
      <c r="J80" s="95"/>
      <c r="K80" s="95"/>
      <c r="L80" s="95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ht="15.75" outlineLevel="2">
      <c r="A81" s="83"/>
      <c r="B81" s="106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</row>
    <row r="82" spans="1:43" s="92" customFormat="1" ht="12.75" outlineLevel="1">
      <c r="A82" s="90"/>
      <c r="B82" s="105" t="s">
        <v>172</v>
      </c>
      <c r="C82" s="91">
        <f t="shared" ref="C82:D82" si="13">C83</f>
        <v>0</v>
      </c>
      <c r="D82" s="91">
        <f t="shared" si="13"/>
        <v>-1665</v>
      </c>
      <c r="E82" s="91">
        <f>E83</f>
        <v>-1260</v>
      </c>
      <c r="F82" s="91">
        <f t="shared" ref="F82:G82" si="14">F83</f>
        <v>0</v>
      </c>
      <c r="G82" s="91">
        <f t="shared" si="14"/>
        <v>-1650</v>
      </c>
      <c r="H82" s="91"/>
      <c r="I82" s="91"/>
      <c r="J82" s="91"/>
      <c r="K82" s="91"/>
      <c r="L82" s="91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</row>
    <row r="83" spans="1:43" ht="15.75" outlineLevel="2">
      <c r="A83" s="83"/>
      <c r="B83" s="106" t="s">
        <v>330</v>
      </c>
      <c r="C83" s="95"/>
      <c r="D83" s="95">
        <v>-1665</v>
      </c>
      <c r="E83" s="95">
        <v>-1260</v>
      </c>
      <c r="F83" s="95"/>
      <c r="G83" s="95">
        <v>-1650</v>
      </c>
      <c r="H83" s="95"/>
      <c r="I83" s="95"/>
      <c r="J83" s="95"/>
      <c r="K83" s="95"/>
      <c r="L83" s="95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2">
      <c r="A84" s="83"/>
      <c r="B84" s="106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s="92" customFormat="1" ht="12.75" outlineLevel="1">
      <c r="A85" s="90"/>
      <c r="B85" s="105" t="s">
        <v>173</v>
      </c>
      <c r="C85" s="91">
        <f>SUM(C86:C90)</f>
        <v>-31175</v>
      </c>
      <c r="D85" s="91">
        <f>SUM(D86:D90)</f>
        <v>-26237</v>
      </c>
      <c r="E85" s="91">
        <f t="shared" ref="E85:G85" si="15">SUM(E86:E90)</f>
        <v>-25182</v>
      </c>
      <c r="F85" s="91">
        <f t="shared" si="15"/>
        <v>-25248</v>
      </c>
      <c r="G85" s="91">
        <f t="shared" si="15"/>
        <v>-18969</v>
      </c>
      <c r="H85" s="91"/>
      <c r="I85" s="91"/>
      <c r="J85" s="91"/>
      <c r="K85" s="91"/>
      <c r="L85" s="91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</row>
    <row r="86" spans="1:43" ht="15.75" outlineLevel="2">
      <c r="A86" s="83"/>
      <c r="B86" s="106" t="s">
        <v>331</v>
      </c>
      <c r="C86" s="95">
        <v>-8403</v>
      </c>
      <c r="D86" s="95">
        <v>-8403</v>
      </c>
      <c r="E86" s="95">
        <v>-5895</v>
      </c>
      <c r="F86" s="95">
        <v>-5488</v>
      </c>
      <c r="G86" s="95">
        <v>-11568</v>
      </c>
      <c r="H86" s="95"/>
      <c r="I86" s="95"/>
      <c r="J86" s="95"/>
      <c r="K86" s="95"/>
      <c r="L86" s="95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332</v>
      </c>
      <c r="C87" s="95"/>
      <c r="D87" s="95"/>
      <c r="E87" s="95">
        <v>-5804</v>
      </c>
      <c r="F87" s="95">
        <v>-6277</v>
      </c>
      <c r="G87" s="95">
        <v>-6277</v>
      </c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 t="s">
        <v>427</v>
      </c>
      <c r="C88" s="95">
        <v>-4164</v>
      </c>
      <c r="D88" s="95">
        <v>-2922</v>
      </c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5.75" outlineLevel="2">
      <c r="A89" s="83"/>
      <c r="B89" s="106" t="s">
        <v>428</v>
      </c>
      <c r="C89" s="95">
        <v>-18608</v>
      </c>
      <c r="D89" s="95">
        <v>-9294</v>
      </c>
      <c r="E89" s="95"/>
      <c r="F89" s="95"/>
      <c r="G89" s="95"/>
      <c r="H89" s="95"/>
      <c r="I89" s="95"/>
      <c r="J89" s="95"/>
      <c r="K89" s="95"/>
      <c r="L89" s="95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 outlineLevel="2">
      <c r="A90" s="83"/>
      <c r="B90" s="106" t="s">
        <v>333</v>
      </c>
      <c r="C90" s="95"/>
      <c r="D90" s="95">
        <v>-5618</v>
      </c>
      <c r="E90" s="95">
        <v>-13483</v>
      </c>
      <c r="F90" s="95">
        <v>-13483</v>
      </c>
      <c r="G90" s="95">
        <v>-1124</v>
      </c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s="92" customFormat="1" ht="12.75" outlineLevel="1">
      <c r="A92" s="90"/>
      <c r="B92" s="105" t="s">
        <v>174</v>
      </c>
      <c r="C92" s="91">
        <f>SUM(C93:C98)</f>
        <v>-15561</v>
      </c>
      <c r="D92" s="91">
        <f>SUM(D93:D98)</f>
        <v>-15420</v>
      </c>
      <c r="E92" s="91">
        <f t="shared" ref="E92:G92" si="16">SUM(E93:E98)</f>
        <v>-15556</v>
      </c>
      <c r="F92" s="91">
        <f t="shared" si="16"/>
        <v>-17356</v>
      </c>
      <c r="G92" s="91">
        <f t="shared" si="16"/>
        <v>-16421</v>
      </c>
      <c r="H92" s="91"/>
      <c r="I92" s="91"/>
      <c r="J92" s="91"/>
      <c r="K92" s="91"/>
      <c r="L92" s="91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</row>
    <row r="93" spans="1:43" ht="15.75" outlineLevel="2">
      <c r="A93" s="83"/>
      <c r="B93" s="106" t="s">
        <v>334</v>
      </c>
      <c r="C93" s="95">
        <v>-12930</v>
      </c>
      <c r="D93" s="95">
        <v>-12930</v>
      </c>
      <c r="E93" s="95">
        <v>-12930</v>
      </c>
      <c r="F93" s="95">
        <v>-14080</v>
      </c>
      <c r="G93" s="95">
        <v>-14080</v>
      </c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2">
      <c r="A94" s="83"/>
      <c r="B94" s="106" t="s">
        <v>335</v>
      </c>
      <c r="C94" s="95"/>
      <c r="E94" s="95"/>
      <c r="F94" s="95">
        <v>-204</v>
      </c>
      <c r="G94" s="95"/>
      <c r="H94" s="95"/>
      <c r="I94" s="95"/>
      <c r="J94" s="95"/>
      <c r="K94" s="95"/>
      <c r="L94" s="95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336</v>
      </c>
      <c r="C95" s="95">
        <v>-766</v>
      </c>
      <c r="D95" s="95">
        <v>-764</v>
      </c>
      <c r="E95" s="95">
        <v>-762</v>
      </c>
      <c r="F95" s="95">
        <v>-762</v>
      </c>
      <c r="G95" s="95">
        <v>129</v>
      </c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337</v>
      </c>
      <c r="C96" s="95">
        <v>-696</v>
      </c>
      <c r="D96" s="95">
        <v>-696</v>
      </c>
      <c r="E96" s="95">
        <v>-893</v>
      </c>
      <c r="F96" s="95">
        <v>-1155</v>
      </c>
      <c r="G96" s="95">
        <v>-1248</v>
      </c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338</v>
      </c>
      <c r="C97" s="95">
        <v>-1169</v>
      </c>
      <c r="D97" s="95">
        <v>-1030</v>
      </c>
      <c r="E97" s="95">
        <v>-971</v>
      </c>
      <c r="F97" s="95">
        <v>-1155</v>
      </c>
      <c r="G97" s="95">
        <v>-1222</v>
      </c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2">
      <c r="A98" s="83"/>
      <c r="B98" s="106"/>
      <c r="C98" s="95"/>
      <c r="D98" s="95"/>
      <c r="F98" s="95"/>
      <c r="G98" s="95"/>
      <c r="H98" s="95"/>
      <c r="I98" s="95"/>
      <c r="J98" s="95"/>
      <c r="K98" s="95"/>
      <c r="L98" s="95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s="92" customFormat="1" ht="12.75" outlineLevel="1">
      <c r="A99" s="90"/>
      <c r="B99" s="105" t="s">
        <v>175</v>
      </c>
      <c r="C99" s="91">
        <f>SUM(C100:C108)</f>
        <v>-11105</v>
      </c>
      <c r="D99" s="91">
        <f>SUM(D100:D108)</f>
        <v>-12972</v>
      </c>
      <c r="E99" s="91">
        <f>SUM(E100:E108)</f>
        <v>-20760</v>
      </c>
      <c r="F99" s="91">
        <f>SUM(F100:F108)</f>
        <v>-10654</v>
      </c>
      <c r="G99" s="91">
        <f>SUM(G100:G108)</f>
        <v>-16879</v>
      </c>
      <c r="H99" s="91"/>
      <c r="I99" s="91"/>
      <c r="J99" s="91"/>
      <c r="K99" s="91"/>
      <c r="L99" s="91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</row>
    <row r="100" spans="1:43" ht="15.75" outlineLevel="2">
      <c r="A100" s="83"/>
      <c r="B100" s="106" t="s">
        <v>339</v>
      </c>
      <c r="C100" s="95"/>
      <c r="D100" s="95"/>
      <c r="E100" s="95">
        <v>-4788</v>
      </c>
      <c r="F100" s="95"/>
      <c r="G100" s="95">
        <v>-1078</v>
      </c>
      <c r="H100" s="95"/>
      <c r="I100" s="95"/>
      <c r="J100" s="95"/>
      <c r="K100" s="95"/>
      <c r="L100" s="95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ht="15.75" outlineLevel="2">
      <c r="A101" s="83"/>
      <c r="B101" s="106" t="s">
        <v>340</v>
      </c>
      <c r="C101" s="95">
        <v>-3127</v>
      </c>
      <c r="D101" s="95">
        <v>-3933</v>
      </c>
      <c r="E101" s="95">
        <v>-2743</v>
      </c>
      <c r="F101" s="95">
        <v>-2710</v>
      </c>
      <c r="G101" s="95">
        <v>-6453</v>
      </c>
      <c r="H101" s="95"/>
      <c r="I101" s="95"/>
      <c r="J101" s="95"/>
      <c r="K101" s="95"/>
      <c r="L101" s="95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</row>
    <row r="102" spans="1:43" ht="15.75" outlineLevel="2">
      <c r="A102" s="83"/>
      <c r="B102" s="106" t="s">
        <v>341</v>
      </c>
      <c r="C102" s="95">
        <v>-1650</v>
      </c>
      <c r="D102" s="95">
        <v>-1633</v>
      </c>
      <c r="E102" s="95">
        <v>-675</v>
      </c>
      <c r="F102" s="95">
        <v>-1145</v>
      </c>
      <c r="G102" s="95">
        <v>-1310</v>
      </c>
      <c r="H102" s="95"/>
      <c r="I102" s="95"/>
      <c r="J102" s="95"/>
      <c r="K102" s="95"/>
      <c r="L102" s="95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</row>
    <row r="103" spans="1:43" ht="15.75" outlineLevel="2">
      <c r="A103" s="83"/>
      <c r="B103" s="106" t="s">
        <v>342</v>
      </c>
      <c r="C103" s="95">
        <v>-1098</v>
      </c>
      <c r="D103" s="95"/>
      <c r="E103" s="95">
        <v>-2653</v>
      </c>
      <c r="F103" s="95">
        <v>-111</v>
      </c>
      <c r="G103" s="95">
        <v>-1547</v>
      </c>
      <c r="H103" s="95"/>
      <c r="I103" s="95"/>
      <c r="J103" s="95"/>
      <c r="K103" s="95"/>
      <c r="L103" s="95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ht="15.75" outlineLevel="2">
      <c r="A104" s="83"/>
      <c r="B104" s="106" t="s">
        <v>343</v>
      </c>
      <c r="C104" s="95"/>
      <c r="D104" s="95"/>
      <c r="E104" s="95"/>
      <c r="F104" s="95">
        <v>-609</v>
      </c>
      <c r="G104" s="95"/>
      <c r="H104" s="95"/>
      <c r="I104" s="95"/>
      <c r="J104" s="95"/>
      <c r="K104" s="95"/>
      <c r="L104" s="95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</row>
    <row r="105" spans="1:43" ht="15.75" outlineLevel="2">
      <c r="A105" s="83"/>
      <c r="B105" s="106" t="s">
        <v>344</v>
      </c>
      <c r="C105" s="95">
        <v>-5160</v>
      </c>
      <c r="D105" s="95">
        <v>-6125</v>
      </c>
      <c r="E105" s="95">
        <v>-5983</v>
      </c>
      <c r="F105" s="95">
        <v>-5441</v>
      </c>
      <c r="G105" s="95">
        <v>-6491</v>
      </c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ht="15.75" outlineLevel="2">
      <c r="A106" s="83"/>
      <c r="B106" s="106" t="s">
        <v>345</v>
      </c>
      <c r="C106" s="95">
        <v>-70</v>
      </c>
      <c r="D106" s="95">
        <v>-1281</v>
      </c>
      <c r="E106" s="95">
        <v>-3183</v>
      </c>
      <c r="F106" s="95">
        <v>-638</v>
      </c>
      <c r="G106" s="95"/>
      <c r="H106" s="95"/>
      <c r="I106" s="95"/>
      <c r="J106" s="95"/>
      <c r="K106" s="95"/>
      <c r="L106" s="95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 outlineLevel="2">
      <c r="A107" s="83"/>
      <c r="B107" s="106" t="s">
        <v>346</v>
      </c>
      <c r="C107" s="95"/>
      <c r="D107" s="95"/>
      <c r="E107" s="95">
        <v>-735</v>
      </c>
      <c r="F107" s="95"/>
      <c r="G107" s="95"/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 outlineLevel="2">
      <c r="A108" s="8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</row>
    <row r="109" spans="1:43" s="92" customFormat="1" ht="12.75" outlineLevel="1">
      <c r="A109" s="90"/>
      <c r="B109" s="105" t="s">
        <v>176</v>
      </c>
      <c r="C109" s="91">
        <f>SUM(C110:C118)</f>
        <v>-11086</v>
      </c>
      <c r="D109" s="91">
        <f>SUM(D110:D118)</f>
        <v>-10709</v>
      </c>
      <c r="E109" s="91">
        <f t="shared" ref="E109:G109" si="17">SUM(E110:E118)</f>
        <v>-12069</v>
      </c>
      <c r="F109" s="91">
        <f t="shared" si="17"/>
        <v>-12909</v>
      </c>
      <c r="G109" s="91">
        <f t="shared" si="17"/>
        <v>-12843</v>
      </c>
      <c r="H109" s="91"/>
      <c r="I109" s="91"/>
      <c r="J109" s="91"/>
      <c r="K109" s="91"/>
      <c r="L109" s="91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</row>
    <row r="110" spans="1:43" ht="15.75" outlineLevel="2">
      <c r="A110" s="83"/>
      <c r="B110" s="106" t="s">
        <v>347</v>
      </c>
      <c r="C110" s="95">
        <v>-4468</v>
      </c>
      <c r="D110" s="95">
        <v>-3652</v>
      </c>
      <c r="E110" s="95">
        <v>-3585</v>
      </c>
      <c r="F110" s="95">
        <v>-4384</v>
      </c>
      <c r="G110" s="95">
        <v>-4106</v>
      </c>
      <c r="H110" s="95"/>
      <c r="I110" s="95"/>
      <c r="J110" s="95"/>
      <c r="K110" s="95"/>
      <c r="L110" s="95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</row>
    <row r="111" spans="1:43" ht="15.75" outlineLevel="2">
      <c r="A111" s="83"/>
      <c r="B111" s="106" t="s">
        <v>348</v>
      </c>
      <c r="C111" s="95"/>
      <c r="D111" s="95">
        <v>-307</v>
      </c>
      <c r="E111" s="95">
        <v>-1013</v>
      </c>
      <c r="F111" s="95">
        <v>-506</v>
      </c>
      <c r="G111" s="95">
        <v>-761</v>
      </c>
      <c r="H111" s="95"/>
      <c r="I111" s="95"/>
      <c r="J111" s="95"/>
      <c r="K111" s="95"/>
      <c r="L111" s="95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2">
      <c r="A112" s="83"/>
      <c r="B112" s="106" t="s">
        <v>349</v>
      </c>
      <c r="C112" s="95">
        <v>-1889</v>
      </c>
      <c r="D112" s="95">
        <v>-1935</v>
      </c>
      <c r="E112" s="95">
        <v>-2010</v>
      </c>
      <c r="F112" s="95">
        <v>-2049</v>
      </c>
      <c r="G112" s="95">
        <v>-3297</v>
      </c>
      <c r="H112" s="95"/>
      <c r="I112" s="95"/>
      <c r="J112" s="95"/>
      <c r="K112" s="95"/>
      <c r="L112" s="95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2">
      <c r="A113" s="83"/>
      <c r="B113" s="106" t="s">
        <v>350</v>
      </c>
      <c r="C113" s="95">
        <v>-4061</v>
      </c>
      <c r="D113" s="95">
        <v>-4174</v>
      </c>
      <c r="E113" s="95">
        <v>-4840</v>
      </c>
      <c r="F113" s="95">
        <v>-4899</v>
      </c>
      <c r="G113" s="95">
        <v>-3324</v>
      </c>
      <c r="H113" s="95"/>
      <c r="I113" s="95"/>
      <c r="J113" s="95"/>
      <c r="K113" s="95"/>
      <c r="L113" s="95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 outlineLevel="2">
      <c r="A114" s="83"/>
      <c r="B114" s="106" t="s">
        <v>351</v>
      </c>
      <c r="C114" s="95">
        <v>-560</v>
      </c>
      <c r="D114" s="95">
        <v>-593</v>
      </c>
      <c r="E114" s="95">
        <v>-621</v>
      </c>
      <c r="F114" s="95">
        <v>-609</v>
      </c>
      <c r="G114" s="95">
        <v>-688</v>
      </c>
      <c r="H114" s="95"/>
      <c r="I114" s="95"/>
      <c r="J114" s="95"/>
      <c r="K114" s="95"/>
      <c r="L114" s="95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 outlineLevel="2">
      <c r="A115" s="83"/>
      <c r="B115" s="106" t="s">
        <v>442</v>
      </c>
      <c r="C115" s="95">
        <v>-11</v>
      </c>
      <c r="D115" s="95"/>
      <c r="E115" s="95"/>
      <c r="F115" s="95"/>
      <c r="G115" s="95"/>
      <c r="H115" s="95"/>
      <c r="I115" s="95"/>
      <c r="J115" s="95"/>
      <c r="K115" s="95"/>
      <c r="L115" s="95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 outlineLevel="2">
      <c r="A116" s="83"/>
      <c r="B116" s="106" t="s">
        <v>429</v>
      </c>
      <c r="C116" s="95">
        <v>-97</v>
      </c>
      <c r="D116" s="95">
        <v>-48</v>
      </c>
      <c r="E116" s="95"/>
      <c r="F116" s="95"/>
      <c r="G116" s="95"/>
      <c r="H116" s="95"/>
      <c r="I116" s="95"/>
      <c r="J116" s="95"/>
      <c r="K116" s="95"/>
      <c r="L116" s="95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5.75" outlineLevel="2">
      <c r="A117" s="83"/>
      <c r="B117" s="106" t="s">
        <v>380</v>
      </c>
      <c r="C117" s="95"/>
      <c r="D117" s="95"/>
      <c r="E117" s="95"/>
      <c r="F117" s="95">
        <v>-462</v>
      </c>
      <c r="G117" s="95">
        <v>-667</v>
      </c>
      <c r="H117" s="95"/>
      <c r="I117" s="95"/>
      <c r="J117" s="95"/>
      <c r="K117" s="95"/>
      <c r="L117" s="95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</row>
    <row r="118" spans="1:43" ht="15.75" outlineLevel="2">
      <c r="A118" s="83"/>
      <c r="B118" s="106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s="92" customFormat="1" ht="12.75" outlineLevel="1">
      <c r="A119" s="90"/>
      <c r="B119" s="105" t="s">
        <v>177</v>
      </c>
      <c r="C119" s="91">
        <f>C120</f>
        <v>-191</v>
      </c>
      <c r="D119" s="91">
        <f t="shared" ref="D119:G119" si="18">D120</f>
        <v>-375</v>
      </c>
      <c r="E119" s="91">
        <f t="shared" si="18"/>
        <v>-465</v>
      </c>
      <c r="F119" s="91">
        <f t="shared" si="18"/>
        <v>-223</v>
      </c>
      <c r="G119" s="91">
        <f t="shared" si="18"/>
        <v>-287</v>
      </c>
      <c r="H119" s="91"/>
      <c r="I119" s="91"/>
      <c r="J119" s="91"/>
      <c r="K119" s="91"/>
      <c r="L119" s="91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</row>
    <row r="120" spans="1:43" ht="15.75" outlineLevel="2">
      <c r="A120" s="83"/>
      <c r="B120" s="106" t="s">
        <v>352</v>
      </c>
      <c r="C120" s="95">
        <v>-191</v>
      </c>
      <c r="D120" s="95">
        <v>-375</v>
      </c>
      <c r="E120" s="95">
        <v>-465</v>
      </c>
      <c r="F120" s="95">
        <v>-223</v>
      </c>
      <c r="G120" s="95">
        <v>-287</v>
      </c>
      <c r="H120" s="95"/>
      <c r="I120" s="95"/>
      <c r="J120" s="95"/>
      <c r="K120" s="95"/>
      <c r="L120" s="95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</row>
    <row r="121" spans="1:43" ht="15.75" outlineLevel="2">
      <c r="A121" s="83"/>
      <c r="B121" s="106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s="92" customFormat="1" ht="12.75" outlineLevel="1">
      <c r="A122" s="90"/>
      <c r="B122" s="105" t="s">
        <v>143</v>
      </c>
      <c r="C122" s="91">
        <f>SUM(C123:C136)</f>
        <v>-15134</v>
      </c>
      <c r="D122" s="91">
        <f t="shared" ref="D122:G122" si="19">SUM(D123:D136)</f>
        <v>-10658</v>
      </c>
      <c r="E122" s="91">
        <f t="shared" si="19"/>
        <v>-25211</v>
      </c>
      <c r="F122" s="91">
        <f t="shared" si="19"/>
        <v>-45616</v>
      </c>
      <c r="G122" s="91">
        <f t="shared" si="19"/>
        <v>-142633</v>
      </c>
      <c r="H122" s="91"/>
      <c r="I122" s="91"/>
      <c r="J122" s="91"/>
      <c r="K122" s="91"/>
      <c r="L122" s="91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</row>
    <row r="123" spans="1:43" ht="15.75" outlineLevel="2">
      <c r="A123" s="83"/>
      <c r="B123" s="106" t="s">
        <v>843</v>
      </c>
      <c r="C123" s="95"/>
      <c r="D123" s="95"/>
      <c r="E123" s="95"/>
      <c r="F123" s="95"/>
      <c r="G123" s="95">
        <v>-84400</v>
      </c>
      <c r="H123" s="95"/>
      <c r="I123" s="95"/>
      <c r="J123" s="95"/>
      <c r="K123" s="95"/>
      <c r="L123" s="95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 outlineLevel="2">
      <c r="A124" s="83"/>
      <c r="B124" s="106" t="s">
        <v>353</v>
      </c>
      <c r="C124" s="95">
        <v>-6445</v>
      </c>
      <c r="D124" s="95">
        <v>-2257</v>
      </c>
      <c r="E124" s="95">
        <v>-1788</v>
      </c>
      <c r="F124" s="95">
        <v>-3200</v>
      </c>
      <c r="G124" s="95"/>
      <c r="H124" s="95"/>
      <c r="I124" s="95"/>
      <c r="J124" s="95"/>
      <c r="K124" s="95"/>
      <c r="L124" s="95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 outlineLevel="2">
      <c r="A125" s="83"/>
      <c r="B125" s="106" t="s">
        <v>354</v>
      </c>
      <c r="C125" s="95"/>
      <c r="D125" s="95"/>
      <c r="E125" s="95"/>
      <c r="F125" s="95">
        <v>-2813</v>
      </c>
      <c r="G125" s="95"/>
      <c r="H125" s="95"/>
      <c r="I125" s="95"/>
      <c r="J125" s="95"/>
      <c r="K125" s="95"/>
      <c r="L125" s="95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 outlineLevel="2">
      <c r="A126" s="83"/>
      <c r="B126" s="106" t="s">
        <v>355</v>
      </c>
      <c r="C126" s="95"/>
      <c r="D126" s="95"/>
      <c r="E126" s="95"/>
      <c r="F126" s="95">
        <v>-16053</v>
      </c>
      <c r="G126" s="95">
        <v>-20372</v>
      </c>
      <c r="H126" s="95"/>
      <c r="I126" s="95"/>
      <c r="J126" s="95"/>
      <c r="K126" s="95"/>
      <c r="L126" s="95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 outlineLevel="2">
      <c r="A127" s="83"/>
      <c r="B127" s="106" t="s">
        <v>356</v>
      </c>
      <c r="C127" s="95"/>
      <c r="D127" s="95"/>
      <c r="E127" s="95"/>
      <c r="F127" s="95">
        <v>-8215</v>
      </c>
      <c r="G127" s="95">
        <v>-5580</v>
      </c>
      <c r="H127" s="95"/>
      <c r="I127" s="95"/>
      <c r="J127" s="95"/>
      <c r="K127" s="95"/>
      <c r="L127" s="95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</row>
    <row r="128" spans="1:43" ht="15.75" outlineLevel="2">
      <c r="A128" s="83"/>
      <c r="B128" s="106" t="s">
        <v>357</v>
      </c>
      <c r="C128" s="95"/>
      <c r="D128" s="95">
        <v>-2248</v>
      </c>
      <c r="E128" s="95">
        <v>-6085</v>
      </c>
      <c r="F128" s="95"/>
      <c r="G128" s="95">
        <v>-1223</v>
      </c>
      <c r="H128" s="95"/>
      <c r="I128" s="95"/>
      <c r="J128" s="95"/>
      <c r="K128" s="95"/>
      <c r="L128" s="95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</row>
    <row r="129" spans="1:43" ht="15.75" outlineLevel="2">
      <c r="A129" s="83"/>
      <c r="B129" s="243" t="s">
        <v>358</v>
      </c>
      <c r="C129" s="95">
        <v>-3279</v>
      </c>
      <c r="D129" s="95">
        <v>-741</v>
      </c>
      <c r="E129" s="95">
        <v>-7114</v>
      </c>
      <c r="F129" s="95">
        <v>-1741</v>
      </c>
      <c r="G129" s="95">
        <v>-1283</v>
      </c>
      <c r="H129" s="95"/>
      <c r="I129" s="95"/>
      <c r="J129" s="95"/>
      <c r="K129" s="95"/>
      <c r="L129" s="95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 outlineLevel="2">
      <c r="A130" s="83"/>
      <c r="B130" s="106" t="s">
        <v>359</v>
      </c>
      <c r="C130" s="95">
        <v>-5016</v>
      </c>
      <c r="D130" s="95">
        <v>-5206</v>
      </c>
      <c r="E130" s="95">
        <v>-5179</v>
      </c>
      <c r="F130" s="95">
        <v>-6685</v>
      </c>
      <c r="G130" s="95">
        <v>-7105</v>
      </c>
      <c r="H130" s="95"/>
      <c r="I130" s="95"/>
      <c r="J130" s="95"/>
      <c r="K130" s="95"/>
      <c r="L130" s="95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</row>
    <row r="131" spans="1:43" ht="15.75" outlineLevel="2">
      <c r="A131" s="83"/>
      <c r="B131" s="106" t="s">
        <v>844</v>
      </c>
      <c r="C131" s="95"/>
      <c r="D131" s="95"/>
      <c r="E131" s="95"/>
      <c r="F131" s="95"/>
      <c r="G131" s="95">
        <v>-18000</v>
      </c>
      <c r="H131" s="95"/>
      <c r="I131" s="95"/>
      <c r="J131" s="95"/>
      <c r="K131" s="95"/>
      <c r="L131" s="95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</row>
    <row r="132" spans="1:43" ht="15.75" outlineLevel="2">
      <c r="A132" s="83"/>
      <c r="B132" s="106" t="s">
        <v>845</v>
      </c>
      <c r="C132" s="95"/>
      <c r="D132" s="95"/>
      <c r="E132" s="95"/>
      <c r="F132" s="95"/>
      <c r="G132" s="95">
        <v>-1200</v>
      </c>
      <c r="H132" s="95"/>
      <c r="I132" s="95"/>
      <c r="J132" s="95"/>
      <c r="K132" s="95"/>
      <c r="L132" s="95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</row>
    <row r="133" spans="1:43" ht="15.75" outlineLevel="2">
      <c r="A133" s="83"/>
      <c r="B133" s="106" t="s">
        <v>360</v>
      </c>
      <c r="C133" s="95">
        <v>-46</v>
      </c>
      <c r="D133" s="95">
        <v>-14</v>
      </c>
      <c r="E133" s="95">
        <v>-15</v>
      </c>
      <c r="F133" s="95">
        <v>-6</v>
      </c>
      <c r="G133" s="95">
        <v>-1664</v>
      </c>
      <c r="H133" s="95"/>
      <c r="I133" s="95"/>
      <c r="J133" s="95"/>
      <c r="K133" s="95"/>
      <c r="L133" s="95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ht="15.75" outlineLevel="2">
      <c r="A134" s="83"/>
      <c r="B134" s="106" t="s">
        <v>361</v>
      </c>
      <c r="C134" s="95"/>
      <c r="D134" s="95">
        <v>-192</v>
      </c>
      <c r="E134" s="95">
        <v>-30</v>
      </c>
      <c r="F134" s="95">
        <v>-473</v>
      </c>
      <c r="G134" s="95">
        <v>-526</v>
      </c>
      <c r="H134" s="95"/>
      <c r="I134" s="95"/>
      <c r="J134" s="95"/>
      <c r="K134" s="95"/>
      <c r="L134" s="95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</row>
    <row r="135" spans="1:43" ht="15.75" outlineLevel="2">
      <c r="A135" s="83"/>
      <c r="B135" s="106" t="s">
        <v>362</v>
      </c>
      <c r="C135" s="95">
        <v>-348</v>
      </c>
      <c r="D135" s="95"/>
      <c r="E135" s="95">
        <v>-5000</v>
      </c>
      <c r="F135" s="95">
        <v>-6430</v>
      </c>
      <c r="G135" s="95">
        <v>-1280</v>
      </c>
      <c r="H135" s="95"/>
      <c r="I135" s="95"/>
      <c r="J135" s="95"/>
      <c r="K135" s="95"/>
      <c r="L135" s="95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</row>
    <row r="136" spans="1:43" ht="15.75" outlineLevel="2">
      <c r="A136" s="83"/>
      <c r="B136" s="106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s="92" customFormat="1" ht="12.75" outlineLevel="1">
      <c r="A137" s="90"/>
      <c r="B137" s="105" t="s">
        <v>178</v>
      </c>
      <c r="C137" s="91">
        <f>SUM(C138:C143)</f>
        <v>-875</v>
      </c>
      <c r="D137" s="91">
        <f t="shared" ref="D137:G137" si="20">SUM(D138:D143)</f>
        <v>-754</v>
      </c>
      <c r="E137" s="91">
        <f t="shared" si="20"/>
        <v>-1105</v>
      </c>
      <c r="F137" s="91">
        <f t="shared" si="20"/>
        <v>-4173</v>
      </c>
      <c r="G137" s="91">
        <f t="shared" si="20"/>
        <v>-891</v>
      </c>
      <c r="H137" s="91"/>
      <c r="I137" s="91"/>
      <c r="J137" s="91"/>
      <c r="K137" s="91"/>
      <c r="L137" s="91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</row>
    <row r="138" spans="1:43" ht="15.75" outlineLevel="2">
      <c r="A138" s="83"/>
      <c r="B138" s="106" t="s">
        <v>178</v>
      </c>
      <c r="C138" s="95"/>
      <c r="D138" s="95"/>
      <c r="E138" s="95">
        <v>-450</v>
      </c>
      <c r="F138" s="95"/>
      <c r="G138" s="95"/>
      <c r="H138" s="95"/>
      <c r="I138" s="95"/>
      <c r="J138" s="95"/>
      <c r="K138" s="95"/>
      <c r="L138" s="95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ht="15.75" outlineLevel="2">
      <c r="A139" s="83"/>
      <c r="B139" s="106" t="s">
        <v>363</v>
      </c>
      <c r="C139" s="95">
        <v>-67</v>
      </c>
      <c r="D139" s="95"/>
      <c r="E139" s="95"/>
      <c r="F139" s="95">
        <v>-1600</v>
      </c>
      <c r="G139" s="95"/>
      <c r="H139" s="95"/>
      <c r="I139" s="95"/>
      <c r="J139" s="95"/>
      <c r="K139" s="95"/>
      <c r="L139" s="95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</row>
    <row r="140" spans="1:43" ht="15.75" outlineLevel="2">
      <c r="A140" s="83"/>
      <c r="B140" s="106" t="s">
        <v>364</v>
      </c>
      <c r="C140" s="95"/>
      <c r="D140" s="95">
        <v>-450</v>
      </c>
      <c r="E140" s="95"/>
      <c r="F140" s="95">
        <v>-450</v>
      </c>
      <c r="G140" s="95">
        <v>-650</v>
      </c>
      <c r="H140" s="95"/>
      <c r="I140" s="95"/>
      <c r="J140" s="95"/>
      <c r="K140" s="95"/>
      <c r="L140" s="95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</row>
    <row r="141" spans="1:43" ht="15.75" outlineLevel="2">
      <c r="A141" s="83"/>
      <c r="B141" s="106" t="s">
        <v>121</v>
      </c>
      <c r="C141" s="95">
        <v>-408</v>
      </c>
      <c r="D141" s="95">
        <v>-304</v>
      </c>
      <c r="E141" s="95">
        <v>-655</v>
      </c>
      <c r="F141" s="95">
        <v>-623</v>
      </c>
      <c r="G141" s="95">
        <v>-241</v>
      </c>
      <c r="H141" s="95"/>
      <c r="I141" s="95"/>
      <c r="J141" s="95"/>
      <c r="K141" s="95"/>
      <c r="L141" s="95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43" ht="15.75" outlineLevel="2">
      <c r="A142" s="83"/>
      <c r="B142" s="106" t="s">
        <v>365</v>
      </c>
      <c r="C142" s="95">
        <v>-400</v>
      </c>
      <c r="D142" s="95"/>
      <c r="E142" s="95"/>
      <c r="F142" s="95">
        <v>-1500</v>
      </c>
      <c r="G142" s="95"/>
      <c r="H142" s="95"/>
      <c r="I142" s="95"/>
      <c r="J142" s="95"/>
      <c r="K142" s="95"/>
      <c r="L142" s="95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</row>
    <row r="143" spans="1:43" ht="15.75" outlineLevel="2">
      <c r="A143" s="83"/>
      <c r="B143" s="106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s="92" customFormat="1" ht="12.75" outlineLevel="1">
      <c r="A144" s="90"/>
      <c r="B144" s="105" t="s">
        <v>179</v>
      </c>
      <c r="C144" s="91">
        <f>SUM(C145:C153)</f>
        <v>-9507</v>
      </c>
      <c r="D144" s="91">
        <f>SUM(D145:D153)</f>
        <v>-4649</v>
      </c>
      <c r="E144" s="91">
        <f t="shared" ref="E144:G144" si="21">SUM(E145:E153)</f>
        <v>-7561</v>
      </c>
      <c r="F144" s="91">
        <f t="shared" si="21"/>
        <v>-9979</v>
      </c>
      <c r="G144" s="91">
        <f t="shared" si="21"/>
        <v>-6442</v>
      </c>
      <c r="H144" s="91"/>
      <c r="I144" s="91"/>
      <c r="J144" s="91"/>
      <c r="K144" s="91"/>
      <c r="L144" s="91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</row>
    <row r="145" spans="1:43" ht="15.75" outlineLevel="2">
      <c r="A145" s="83"/>
      <c r="B145" s="106" t="s">
        <v>366</v>
      </c>
      <c r="C145" s="95">
        <v>-4289</v>
      </c>
      <c r="D145" s="95">
        <v>-3193</v>
      </c>
      <c r="E145" s="95">
        <v>-2669</v>
      </c>
      <c r="F145" s="95">
        <v>-3010</v>
      </c>
      <c r="G145" s="95">
        <v>-628</v>
      </c>
      <c r="H145" s="95"/>
      <c r="I145" s="95"/>
      <c r="J145" s="95"/>
      <c r="K145" s="95"/>
      <c r="L145" s="95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</row>
    <row r="146" spans="1:43" ht="15.75" outlineLevel="2">
      <c r="A146" s="83"/>
      <c r="B146" s="106" t="s">
        <v>367</v>
      </c>
      <c r="C146" s="95">
        <v>-1872</v>
      </c>
      <c r="D146" s="95">
        <v>-422</v>
      </c>
      <c r="E146" s="95">
        <v>-810</v>
      </c>
      <c r="F146" s="95">
        <v>-966</v>
      </c>
      <c r="G146" s="95">
        <v>-688</v>
      </c>
      <c r="H146" s="95"/>
      <c r="I146" s="95"/>
      <c r="J146" s="95"/>
      <c r="K146" s="95"/>
      <c r="L146" s="95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</row>
    <row r="147" spans="1:43" ht="15.75" outlineLevel="2">
      <c r="A147" s="83"/>
      <c r="B147" s="106" t="s">
        <v>368</v>
      </c>
      <c r="C147" s="95"/>
      <c r="D147" s="95"/>
      <c r="E147" s="95"/>
      <c r="F147" s="95">
        <v>-1076</v>
      </c>
      <c r="G147" s="95">
        <v>-1005</v>
      </c>
      <c r="H147" s="95"/>
      <c r="I147" s="95"/>
      <c r="J147" s="95"/>
      <c r="K147" s="95"/>
      <c r="L147" s="95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ht="15.75" outlineLevel="2">
      <c r="A148" s="83"/>
      <c r="B148" s="106" t="s">
        <v>369</v>
      </c>
      <c r="C148" s="95">
        <v>-992</v>
      </c>
      <c r="D148" s="95"/>
      <c r="E148" s="95">
        <v>-2326</v>
      </c>
      <c r="F148" s="95">
        <v>-2712</v>
      </c>
      <c r="G148" s="95">
        <v>-2282</v>
      </c>
      <c r="H148" s="95"/>
      <c r="I148" s="95"/>
      <c r="J148" s="95"/>
      <c r="K148" s="95"/>
      <c r="L148" s="95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  <row r="149" spans="1:43" ht="15.75" outlineLevel="2">
      <c r="A149" s="83"/>
      <c r="B149" s="106" t="s">
        <v>370</v>
      </c>
      <c r="C149" s="95"/>
      <c r="D149" s="95">
        <v>-70</v>
      </c>
      <c r="E149" s="95">
        <v>-968</v>
      </c>
      <c r="F149" s="95">
        <v>-1153</v>
      </c>
      <c r="G149" s="95">
        <v>-976</v>
      </c>
      <c r="H149" s="95"/>
      <c r="I149" s="95"/>
      <c r="J149" s="95"/>
      <c r="K149" s="95"/>
      <c r="L149" s="95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</row>
    <row r="150" spans="1:43" ht="15.75" outlineLevel="2">
      <c r="A150" s="83"/>
      <c r="B150" s="106" t="s">
        <v>371</v>
      </c>
      <c r="C150" s="95">
        <v>-1217</v>
      </c>
      <c r="D150" s="95">
        <v>-604</v>
      </c>
      <c r="E150" s="95">
        <v>-658</v>
      </c>
      <c r="F150" s="95">
        <v>-502</v>
      </c>
      <c r="G150" s="95">
        <v>-863</v>
      </c>
      <c r="H150" s="95"/>
      <c r="I150" s="95"/>
      <c r="J150" s="95"/>
      <c r="K150" s="95"/>
      <c r="L150" s="95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</row>
    <row r="151" spans="1:43" ht="15.75" outlineLevel="2">
      <c r="A151" s="83"/>
      <c r="B151" s="106" t="s">
        <v>372</v>
      </c>
      <c r="C151" s="95">
        <v>-1137</v>
      </c>
      <c r="D151" s="95">
        <v>-360</v>
      </c>
      <c r="E151" s="95">
        <v>-130</v>
      </c>
      <c r="F151" s="95">
        <v>-138</v>
      </c>
      <c r="G151" s="95"/>
      <c r="H151" s="95"/>
      <c r="I151" s="95"/>
      <c r="J151" s="95"/>
      <c r="K151" s="95"/>
      <c r="L151" s="95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</row>
    <row r="152" spans="1:43" ht="15.75" outlineLevel="2">
      <c r="A152" s="83"/>
      <c r="B152" s="106" t="s">
        <v>373</v>
      </c>
      <c r="C152" s="95"/>
      <c r="D152" s="95"/>
      <c r="E152" s="95"/>
      <c r="F152" s="95">
        <v>-422</v>
      </c>
      <c r="G152" s="95"/>
      <c r="H152" s="95"/>
      <c r="I152" s="95"/>
      <c r="J152" s="95"/>
      <c r="K152" s="95"/>
      <c r="L152" s="95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 ht="15.75" outlineLevel="2">
      <c r="A153" s="83"/>
      <c r="B153" s="106"/>
      <c r="C153" s="95"/>
      <c r="D153" s="95"/>
      <c r="E153" s="95"/>
      <c r="I153" s="95"/>
      <c r="J153" s="95"/>
      <c r="K153" s="95"/>
      <c r="L153" s="95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</row>
    <row r="154" spans="1:43" s="92" customFormat="1" ht="12.75" outlineLevel="1">
      <c r="A154" s="90"/>
      <c r="B154" s="105" t="s">
        <v>180</v>
      </c>
      <c r="C154" s="91">
        <f>SUM(C155:C168)</f>
        <v>-17486</v>
      </c>
      <c r="D154" s="91">
        <f>SUM(D155:D168)</f>
        <v>-20159</v>
      </c>
      <c r="E154" s="91">
        <f t="shared" ref="E154:G154" si="22">SUM(E155:E168)</f>
        <v>-31742</v>
      </c>
      <c r="F154" s="91">
        <f t="shared" si="22"/>
        <v>-21871</v>
      </c>
      <c r="G154" s="91">
        <f t="shared" si="22"/>
        <v>-19887</v>
      </c>
      <c r="H154" s="91"/>
      <c r="I154" s="91"/>
      <c r="J154" s="91"/>
      <c r="K154" s="91"/>
      <c r="L154" s="91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</row>
    <row r="155" spans="1:43" ht="15.75" outlineLevel="2">
      <c r="A155" s="83"/>
      <c r="B155" s="106" t="s">
        <v>374</v>
      </c>
      <c r="C155" s="95">
        <v>-652</v>
      </c>
      <c r="D155" s="95">
        <v>-704</v>
      </c>
      <c r="E155" s="95">
        <v>-852</v>
      </c>
      <c r="F155" s="95">
        <v>-420</v>
      </c>
      <c r="G155" s="95">
        <v>-315</v>
      </c>
      <c r="H155" s="95"/>
      <c r="I155" s="95"/>
      <c r="J155" s="95"/>
      <c r="K155" s="95"/>
      <c r="L155" s="95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</row>
    <row r="156" spans="1:43" ht="15.75" outlineLevel="2">
      <c r="A156" s="83"/>
      <c r="B156" s="106" t="s">
        <v>145</v>
      </c>
      <c r="C156" s="95">
        <v>-391</v>
      </c>
      <c r="D156" s="95">
        <v>-455</v>
      </c>
      <c r="E156" s="95">
        <v>-311</v>
      </c>
      <c r="F156" s="95">
        <v>-342</v>
      </c>
      <c r="G156" s="95">
        <v>-520</v>
      </c>
      <c r="H156" s="95"/>
      <c r="I156" s="95"/>
      <c r="J156" s="95"/>
      <c r="K156" s="95"/>
      <c r="L156" s="95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</row>
    <row r="157" spans="1:43" ht="15.75" outlineLevel="2">
      <c r="A157" s="83"/>
      <c r="B157" s="106" t="s">
        <v>375</v>
      </c>
      <c r="C157" s="95">
        <v>-2206</v>
      </c>
      <c r="D157" s="95">
        <v>-2384</v>
      </c>
      <c r="E157" s="95">
        <v>-2417</v>
      </c>
      <c r="F157" s="95">
        <v>-3772</v>
      </c>
      <c r="G157" s="95">
        <v>-2934</v>
      </c>
      <c r="H157" s="95"/>
      <c r="I157" s="95"/>
      <c r="J157" s="95"/>
      <c r="K157" s="95"/>
      <c r="L157" s="95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</row>
    <row r="158" spans="1:43" ht="15.75" outlineLevel="2">
      <c r="A158" s="83"/>
      <c r="B158" s="106" t="s">
        <v>376</v>
      </c>
      <c r="C158" s="95">
        <v>-219</v>
      </c>
      <c r="D158" s="95">
        <v>-216</v>
      </c>
      <c r="E158" s="95">
        <v>-221</v>
      </c>
      <c r="F158" s="95">
        <v>-216</v>
      </c>
      <c r="G158" s="95">
        <v>-220</v>
      </c>
      <c r="H158" s="95"/>
      <c r="I158" s="95"/>
      <c r="J158" s="95"/>
      <c r="K158" s="95"/>
      <c r="L158" s="95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</row>
    <row r="159" spans="1:43" ht="15.75" outlineLevel="2">
      <c r="A159" s="83"/>
      <c r="B159" s="106" t="s">
        <v>433</v>
      </c>
      <c r="C159" s="95">
        <v>-670</v>
      </c>
      <c r="D159" s="95">
        <v>-1404</v>
      </c>
      <c r="E159" s="95"/>
      <c r="F159" s="95"/>
      <c r="G159" s="95"/>
      <c r="H159" s="95"/>
      <c r="I159" s="95"/>
      <c r="J159" s="95"/>
      <c r="K159" s="95"/>
      <c r="L159" s="95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</row>
    <row r="160" spans="1:43" ht="15.75" outlineLevel="2">
      <c r="A160" s="83"/>
      <c r="B160" s="106" t="s">
        <v>434</v>
      </c>
      <c r="C160" s="95"/>
      <c r="D160" s="95">
        <v>-592</v>
      </c>
      <c r="E160" s="95">
        <v>-228</v>
      </c>
      <c r="F160" s="95"/>
      <c r="G160" s="95"/>
      <c r="H160" s="95"/>
      <c r="I160" s="95"/>
      <c r="J160" s="95"/>
      <c r="K160" s="95"/>
      <c r="L160" s="95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</row>
    <row r="161" spans="1:43" ht="15.75" outlineLevel="2">
      <c r="A161" s="83"/>
      <c r="B161" s="106" t="s">
        <v>430</v>
      </c>
      <c r="C161" s="95">
        <v>-7065</v>
      </c>
      <c r="D161" s="95">
        <v>-5574</v>
      </c>
      <c r="E161" s="95">
        <v>-6147</v>
      </c>
      <c r="F161" s="95">
        <v>-6196</v>
      </c>
      <c r="G161" s="95">
        <v>-4344</v>
      </c>
      <c r="H161" s="95"/>
      <c r="I161" s="95"/>
      <c r="J161" s="95"/>
      <c r="K161" s="95"/>
      <c r="L161" s="95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</row>
    <row r="162" spans="1:43" ht="15.75" outlineLevel="2">
      <c r="A162" s="83"/>
      <c r="B162" s="106" t="s">
        <v>431</v>
      </c>
      <c r="C162" s="95">
        <v>-3249</v>
      </c>
      <c r="D162" s="95">
        <v>-4954</v>
      </c>
      <c r="E162" s="95">
        <v>-4656</v>
      </c>
      <c r="F162" s="95">
        <v>-4370</v>
      </c>
      <c r="G162" s="95">
        <v>-3775</v>
      </c>
      <c r="H162" s="95"/>
      <c r="I162" s="95"/>
      <c r="J162" s="95"/>
      <c r="K162" s="95"/>
      <c r="L162" s="95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</row>
    <row r="163" spans="1:43" ht="15.75" outlineLevel="2">
      <c r="A163" s="83"/>
      <c r="B163" s="243" t="s">
        <v>432</v>
      </c>
      <c r="C163" s="95"/>
      <c r="D163" s="95">
        <v>-1139</v>
      </c>
      <c r="E163" s="95">
        <v>-3328</v>
      </c>
      <c r="F163" s="95">
        <v>-2334</v>
      </c>
      <c r="G163" s="95">
        <v>-3053</v>
      </c>
      <c r="H163" s="95"/>
      <c r="I163" s="95"/>
      <c r="J163" s="95"/>
      <c r="K163" s="95"/>
      <c r="L163" s="95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</row>
    <row r="164" spans="1:43" ht="15.75" outlineLevel="2">
      <c r="A164" s="83"/>
      <c r="B164" s="243" t="s">
        <v>435</v>
      </c>
      <c r="C164" s="95"/>
      <c r="D164" s="95">
        <v>-800</v>
      </c>
      <c r="E164" s="95"/>
      <c r="F164" s="95"/>
      <c r="G164" s="95"/>
      <c r="H164" s="95"/>
      <c r="I164" s="95"/>
      <c r="J164" s="95"/>
      <c r="K164" s="95"/>
      <c r="L164" s="95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</row>
    <row r="165" spans="1:43" ht="15.75" outlineLevel="2">
      <c r="A165" s="83"/>
      <c r="B165" s="106" t="s">
        <v>377</v>
      </c>
      <c r="C165" s="95">
        <v>-2614</v>
      </c>
      <c r="D165" s="95">
        <v>-1640</v>
      </c>
      <c r="E165" s="95">
        <v>-1601</v>
      </c>
      <c r="F165" s="95">
        <v>-1768</v>
      </c>
      <c r="G165" s="95">
        <v>-2251</v>
      </c>
      <c r="H165" s="95"/>
      <c r="I165" s="95"/>
      <c r="J165" s="95"/>
      <c r="K165" s="95"/>
      <c r="L165" s="95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</row>
    <row r="166" spans="1:43" ht="15.75" outlineLevel="2">
      <c r="A166" s="83"/>
      <c r="B166" s="106" t="s">
        <v>378</v>
      </c>
      <c r="C166" s="95">
        <v>-420</v>
      </c>
      <c r="D166" s="95">
        <v>-297</v>
      </c>
      <c r="E166" s="95">
        <v>-362</v>
      </c>
      <c r="F166" s="95">
        <v>-382</v>
      </c>
      <c r="G166" s="95">
        <v>-400</v>
      </c>
      <c r="H166" s="95"/>
      <c r="I166" s="95"/>
      <c r="J166" s="95"/>
      <c r="K166" s="95"/>
      <c r="L166" s="95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</row>
    <row r="167" spans="1:43" ht="15.75" outlineLevel="2">
      <c r="A167" s="83"/>
      <c r="B167" s="106" t="s">
        <v>379</v>
      </c>
      <c r="C167" s="95"/>
      <c r="D167" s="95"/>
      <c r="E167" s="95">
        <v>-11619</v>
      </c>
      <c r="F167" s="95">
        <v>-2071</v>
      </c>
      <c r="G167" s="95">
        <v>-2075</v>
      </c>
      <c r="H167" s="95"/>
      <c r="I167" s="95"/>
      <c r="J167" s="95"/>
      <c r="K167" s="95"/>
      <c r="L167" s="95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</row>
    <row r="168" spans="1:43" ht="15.75" outlineLevel="1">
      <c r="A168" s="8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</row>
    <row r="169" spans="1:43" ht="15.75">
      <c r="A169" s="83"/>
      <c r="B169" s="100" t="s">
        <v>181</v>
      </c>
      <c r="C169" s="110">
        <f t="shared" ref="C169:L169" si="23">C67+C69</f>
        <v>219799</v>
      </c>
      <c r="D169" s="110">
        <f t="shared" si="23"/>
        <v>233483</v>
      </c>
      <c r="E169" s="110">
        <f t="shared" si="23"/>
        <v>409434</v>
      </c>
      <c r="F169" s="110">
        <f t="shared" si="23"/>
        <v>443092</v>
      </c>
      <c r="G169" s="110">
        <f t="shared" ref="G169" si="24">G67+G69</f>
        <v>391063</v>
      </c>
      <c r="H169" s="277"/>
      <c r="I169" s="110">
        <f t="shared" si="23"/>
        <v>438932</v>
      </c>
      <c r="J169" s="110">
        <f t="shared" si="23"/>
        <v>460258</v>
      </c>
      <c r="K169" s="110">
        <f t="shared" si="23"/>
        <v>482650</v>
      </c>
      <c r="L169" s="110">
        <f t="shared" si="23"/>
        <v>506162</v>
      </c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</row>
    <row r="170" spans="1:43" ht="16.5" thickBot="1">
      <c r="A170" s="83"/>
      <c r="B170" s="101" t="s">
        <v>106</v>
      </c>
      <c r="C170" s="102">
        <f>C169/C36</f>
        <v>8.3019302642239196E-2</v>
      </c>
      <c r="D170" s="102">
        <f t="shared" ref="D170:L170" si="25">D169/D36</f>
        <v>8.8446560750354189E-2</v>
      </c>
      <c r="E170" s="102">
        <f t="shared" si="25"/>
        <v>0.12114854910473212</v>
      </c>
      <c r="F170" s="102">
        <f t="shared" si="25"/>
        <v>9.0747462517098657E-2</v>
      </c>
      <c r="G170" s="102">
        <f t="shared" ref="G170" si="26">G169/G36</f>
        <v>0.10857794140512206</v>
      </c>
      <c r="H170" s="276"/>
      <c r="I170" s="102">
        <f t="shared" si="25"/>
        <v>0.11828739666776708</v>
      </c>
      <c r="J170" s="102">
        <f t="shared" si="25"/>
        <v>0.11812812334697291</v>
      </c>
      <c r="K170" s="102">
        <f t="shared" si="25"/>
        <v>0.11797635535314199</v>
      </c>
      <c r="L170" s="102">
        <f t="shared" si="25"/>
        <v>0.11783189792039721</v>
      </c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</row>
    <row r="171" spans="1:43" ht="15.75">
      <c r="A171" s="107"/>
      <c r="B171" s="83" t="s">
        <v>262</v>
      </c>
      <c r="C171" s="104">
        <f>C172</f>
        <v>1250</v>
      </c>
      <c r="D171" s="104">
        <f t="shared" ref="D171:G171" si="27">D172</f>
        <v>0</v>
      </c>
      <c r="E171" s="104">
        <f t="shared" si="27"/>
        <v>0</v>
      </c>
      <c r="F171" s="104">
        <f t="shared" si="27"/>
        <v>855</v>
      </c>
      <c r="G171" s="104">
        <f t="shared" si="27"/>
        <v>0</v>
      </c>
      <c r="H171" s="104"/>
      <c r="I171" s="104">
        <f>SUM(I173:I173)</f>
        <v>0</v>
      </c>
      <c r="J171" s="104">
        <f>SUM(J173:J173)</f>
        <v>0</v>
      </c>
      <c r="K171" s="104">
        <f>SUM(K173:K173)</f>
        <v>0</v>
      </c>
      <c r="L171" s="104">
        <f>SUM(L173:L173)</f>
        <v>0</v>
      </c>
      <c r="M171" s="108"/>
      <c r="N171" s="108"/>
      <c r="O171" s="109"/>
      <c r="P171" s="109"/>
      <c r="Q171" s="109"/>
      <c r="R171" s="109"/>
      <c r="S171" s="109"/>
      <c r="T171" s="109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</row>
    <row r="172" spans="1:43" ht="15.75" outlineLevel="1">
      <c r="A172" s="83"/>
      <c r="B172" s="106" t="s">
        <v>262</v>
      </c>
      <c r="C172" s="95">
        <v>1250</v>
      </c>
      <c r="D172" s="95"/>
      <c r="E172" s="95"/>
      <c r="F172" s="95">
        <v>855</v>
      </c>
      <c r="G172" s="95"/>
      <c r="H172" s="95"/>
      <c r="I172" s="95"/>
      <c r="J172" s="95"/>
      <c r="K172" s="95"/>
      <c r="L172" s="95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</row>
    <row r="173" spans="1:43" ht="15.75" outlineLevel="1">
      <c r="A173" s="83"/>
      <c r="B173" s="10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</row>
    <row r="174" spans="1:43" ht="15.75">
      <c r="A174" s="107"/>
      <c r="B174" s="97" t="s">
        <v>22</v>
      </c>
      <c r="C174" s="104">
        <f>SUM(C175:C181)</f>
        <v>-8380</v>
      </c>
      <c r="D174" s="104">
        <f>SUM(D175:D181)</f>
        <v>-5794</v>
      </c>
      <c r="E174" s="104">
        <f>SUM(E175:E181)</f>
        <v>-4883</v>
      </c>
      <c r="F174" s="104">
        <f>SUM(F175:F181)</f>
        <v>-4519</v>
      </c>
      <c r="G174" s="104">
        <f>SUM(G175:G181)</f>
        <v>-4468</v>
      </c>
      <c r="H174" s="104"/>
      <c r="I174" s="104">
        <v>-3584</v>
      </c>
      <c r="J174" s="104">
        <v>-3456</v>
      </c>
      <c r="K174" s="104">
        <v>-3306</v>
      </c>
      <c r="L174" s="104">
        <v>-3331</v>
      </c>
      <c r="M174" s="108"/>
      <c r="N174" s="108"/>
      <c r="O174" s="109"/>
      <c r="P174" s="109"/>
      <c r="Q174" s="109"/>
      <c r="R174" s="109"/>
      <c r="S174" s="109"/>
      <c r="T174" s="109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</row>
    <row r="175" spans="1:43" ht="15.75" outlineLevel="1">
      <c r="A175" s="83"/>
      <c r="B175" s="106" t="s">
        <v>126</v>
      </c>
      <c r="C175" s="95">
        <v>-343</v>
      </c>
      <c r="D175" s="95">
        <v>-344</v>
      </c>
      <c r="E175" s="95">
        <v>-563</v>
      </c>
      <c r="F175" s="95">
        <v>-937</v>
      </c>
      <c r="G175" s="95">
        <v>-1121</v>
      </c>
      <c r="H175" s="95"/>
      <c r="I175" s="95"/>
      <c r="J175" s="95"/>
      <c r="K175" s="95"/>
      <c r="L175" s="95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</row>
    <row r="176" spans="1:43" ht="15.75" outlineLevel="1">
      <c r="A176" s="83"/>
      <c r="B176" s="106" t="s">
        <v>381</v>
      </c>
      <c r="C176" s="95">
        <v>-360</v>
      </c>
      <c r="D176" s="95">
        <v>-313</v>
      </c>
      <c r="E176" s="95">
        <v>-519</v>
      </c>
      <c r="F176" s="95">
        <v>-758</v>
      </c>
      <c r="G176" s="95">
        <v>-907</v>
      </c>
      <c r="H176" s="95"/>
      <c r="I176" s="95"/>
      <c r="J176" s="95"/>
      <c r="K176" s="95"/>
      <c r="L176" s="95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  <row r="177" spans="1:43" ht="15.75" outlineLevel="1">
      <c r="A177" s="83"/>
      <c r="B177" s="106" t="s">
        <v>514</v>
      </c>
      <c r="C177" s="95">
        <v>-434</v>
      </c>
      <c r="D177" s="95">
        <v>-1306</v>
      </c>
      <c r="E177" s="95">
        <v>-947</v>
      </c>
      <c r="F177" s="95">
        <v>-960</v>
      </c>
      <c r="G177" s="95">
        <v>-1024</v>
      </c>
      <c r="H177" s="95"/>
      <c r="I177" s="95"/>
      <c r="J177" s="95"/>
      <c r="K177" s="95"/>
      <c r="L177" s="95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</row>
    <row r="178" spans="1:43" ht="15.75" outlineLevel="1">
      <c r="A178" s="83"/>
      <c r="B178" s="106" t="s">
        <v>382</v>
      </c>
      <c r="C178" s="95">
        <v>-1083</v>
      </c>
      <c r="D178" s="95">
        <v>-1637</v>
      </c>
      <c r="E178" s="95">
        <v>-1268</v>
      </c>
      <c r="F178" s="95">
        <v>-1209</v>
      </c>
      <c r="G178" s="95">
        <v>-757</v>
      </c>
      <c r="H178" s="95"/>
      <c r="I178" s="95"/>
      <c r="J178" s="95"/>
      <c r="K178" s="95"/>
      <c r="L178" s="95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</row>
    <row r="179" spans="1:43" ht="15.75" outlineLevel="1">
      <c r="A179" s="83"/>
      <c r="B179" s="106" t="s">
        <v>383</v>
      </c>
      <c r="C179" s="95">
        <v>-6160</v>
      </c>
      <c r="D179" s="95">
        <v>-1936</v>
      </c>
      <c r="E179" s="95">
        <v>-679</v>
      </c>
      <c r="F179" s="95">
        <v>-258</v>
      </c>
      <c r="G179" s="95">
        <v>-659</v>
      </c>
      <c r="H179" s="95"/>
      <c r="I179" s="95"/>
      <c r="J179" s="95"/>
      <c r="K179" s="95"/>
      <c r="L179" s="95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</row>
    <row r="180" spans="1:43" ht="15.75" outlineLevel="1">
      <c r="A180" s="83"/>
      <c r="B180" s="106" t="s">
        <v>384</v>
      </c>
      <c r="C180" s="95"/>
      <c r="D180" s="95">
        <v>-258</v>
      </c>
      <c r="E180" s="95">
        <v>-907</v>
      </c>
      <c r="F180" s="95">
        <v>-397</v>
      </c>
      <c r="G180" s="95"/>
      <c r="H180" s="95"/>
      <c r="I180" s="95"/>
      <c r="J180" s="95"/>
      <c r="K180" s="95"/>
      <c r="L180" s="95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</row>
    <row r="181" spans="1:43" ht="15.75" outlineLevel="1">
      <c r="A181" s="83"/>
      <c r="B181" s="106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</row>
    <row r="182" spans="1:43" ht="15.75">
      <c r="A182" s="107"/>
      <c r="B182" s="97" t="s">
        <v>21</v>
      </c>
      <c r="C182" s="104">
        <f>C184+C198</f>
        <v>-170070</v>
      </c>
      <c r="D182" s="104">
        <f>D184+D198</f>
        <v>-184507</v>
      </c>
      <c r="E182" s="104">
        <f>E184+E198</f>
        <v>-252055</v>
      </c>
      <c r="F182" s="104">
        <f>F184+F198</f>
        <v>-308330</v>
      </c>
      <c r="G182" s="104">
        <f>G184+G198</f>
        <v>-232797</v>
      </c>
      <c r="H182" s="104"/>
      <c r="I182" s="104">
        <v>-234584</v>
      </c>
      <c r="J182" s="104">
        <v>-236584</v>
      </c>
      <c r="K182" s="104">
        <v>-249379</v>
      </c>
      <c r="L182" s="104">
        <v>-252288</v>
      </c>
      <c r="M182" s="108"/>
      <c r="N182" s="108"/>
      <c r="O182" s="109"/>
      <c r="P182" s="109"/>
      <c r="Q182" s="109"/>
      <c r="R182" s="109"/>
      <c r="S182" s="109"/>
      <c r="T182" s="109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</row>
    <row r="183" spans="1:43" s="96" customFormat="1" ht="12.75" outlineLevel="1">
      <c r="A183" s="93"/>
      <c r="B183" s="106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</row>
    <row r="184" spans="1:43" s="92" customFormat="1" ht="12.75" outlineLevel="1">
      <c r="A184" s="90"/>
      <c r="B184" s="105" t="s">
        <v>182</v>
      </c>
      <c r="C184" s="91">
        <f>SUM(C185:C197)</f>
        <v>-150293</v>
      </c>
      <c r="D184" s="91">
        <f>SUM(D185:D197)</f>
        <v>-167692</v>
      </c>
      <c r="E184" s="91">
        <f>SUM(E185:E197)</f>
        <v>-224486</v>
      </c>
      <c r="F184" s="91">
        <f>SUM(F185:F197)</f>
        <v>-260789</v>
      </c>
      <c r="G184" s="91">
        <f>SUM(G185:G197)</f>
        <v>-183863</v>
      </c>
      <c r="H184" s="91"/>
      <c r="I184" s="91"/>
      <c r="J184" s="91"/>
      <c r="K184" s="91"/>
      <c r="L184" s="91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</row>
    <row r="185" spans="1:43" ht="15.75" outlineLevel="2">
      <c r="A185" s="83"/>
      <c r="B185" s="106" t="s">
        <v>385</v>
      </c>
      <c r="C185" s="95">
        <v>-25218</v>
      </c>
      <c r="D185" s="95">
        <v>-24842</v>
      </c>
      <c r="E185" s="95">
        <v>-34321</v>
      </c>
      <c r="F185" s="95">
        <v>-58191</v>
      </c>
      <c r="G185" s="95">
        <v>-72557</v>
      </c>
      <c r="H185" s="95"/>
      <c r="I185" s="95"/>
      <c r="J185" s="95"/>
      <c r="K185" s="95"/>
      <c r="L185" s="95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</row>
    <row r="186" spans="1:43" ht="15.75" outlineLevel="2">
      <c r="A186" s="83"/>
      <c r="B186" s="106" t="s">
        <v>386</v>
      </c>
      <c r="C186" s="95">
        <v>-40551</v>
      </c>
      <c r="D186" s="95">
        <v>-32565</v>
      </c>
      <c r="E186" s="95">
        <v>-39504</v>
      </c>
      <c r="F186" s="95">
        <v>-30807</v>
      </c>
      <c r="G186" s="95">
        <v>-28794</v>
      </c>
      <c r="H186" s="95"/>
      <c r="I186" s="95"/>
      <c r="J186" s="95"/>
      <c r="K186" s="95"/>
      <c r="L186" s="95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</row>
    <row r="187" spans="1:43" ht="15.75" outlineLevel="2">
      <c r="A187" s="83"/>
      <c r="B187" s="106" t="s">
        <v>387</v>
      </c>
      <c r="C187" s="95"/>
      <c r="D187" s="95"/>
      <c r="E187" s="95"/>
      <c r="F187" s="95">
        <v>-46013</v>
      </c>
      <c r="G187" s="95">
        <v>-62869</v>
      </c>
      <c r="H187" s="95"/>
      <c r="I187" s="95"/>
      <c r="J187" s="95"/>
      <c r="K187" s="95"/>
      <c r="L187" s="95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</row>
    <row r="188" spans="1:43" ht="15.75" outlineLevel="2">
      <c r="A188" s="83"/>
      <c r="B188" s="106" t="s">
        <v>388</v>
      </c>
      <c r="C188" s="95">
        <v>-34000</v>
      </c>
      <c r="D188" s="95">
        <v>-57000</v>
      </c>
      <c r="E188" s="95">
        <v>-73958</v>
      </c>
      <c r="F188" s="95">
        <v>-41800</v>
      </c>
      <c r="G188" s="95"/>
      <c r="H188" s="95"/>
      <c r="I188" s="95"/>
      <c r="J188" s="95"/>
      <c r="K188" s="95"/>
      <c r="L188" s="95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</row>
    <row r="189" spans="1:43" ht="15.75" outlineLevel="2">
      <c r="A189" s="83"/>
      <c r="B189" s="106" t="s">
        <v>394</v>
      </c>
      <c r="C189" s="95">
        <v>-26227</v>
      </c>
      <c r="D189" s="95">
        <v>-30353</v>
      </c>
      <c r="E189" s="95">
        <v>-43628</v>
      </c>
      <c r="F189" s="95">
        <v>-49064</v>
      </c>
      <c r="G189" s="95"/>
      <c r="H189" s="95"/>
      <c r="I189" s="95"/>
      <c r="J189" s="95"/>
      <c r="K189" s="95"/>
      <c r="L189" s="95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</row>
    <row r="190" spans="1:43" ht="15.75" outlineLevel="2">
      <c r="A190" s="83"/>
      <c r="B190" s="106" t="s">
        <v>395</v>
      </c>
      <c r="C190" s="95">
        <v>-14505</v>
      </c>
      <c r="D190" s="95">
        <v>-12370</v>
      </c>
      <c r="E190" s="95">
        <v>-11497</v>
      </c>
      <c r="F190" s="95">
        <v>-12772</v>
      </c>
      <c r="G190" s="95"/>
      <c r="H190" s="95"/>
      <c r="I190" s="95"/>
      <c r="J190" s="95"/>
      <c r="K190" s="95"/>
      <c r="L190" s="95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</row>
    <row r="191" spans="1:43" ht="15.75" outlineLevel="2">
      <c r="A191" s="83"/>
      <c r="B191" s="106" t="s">
        <v>389</v>
      </c>
      <c r="C191" s="95"/>
      <c r="D191" s="95">
        <v>-1904</v>
      </c>
      <c r="E191" s="95">
        <v>-3239</v>
      </c>
      <c r="F191" s="95">
        <v>-3674</v>
      </c>
      <c r="G191" s="95"/>
      <c r="H191" s="95"/>
      <c r="I191" s="95"/>
      <c r="J191" s="95"/>
      <c r="K191" s="95"/>
      <c r="L191" s="95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</row>
    <row r="192" spans="1:43" ht="15.75" outlineLevel="2">
      <c r="A192" s="83"/>
      <c r="B192" s="106" t="s">
        <v>390</v>
      </c>
      <c r="C192" s="95">
        <v>-711</v>
      </c>
      <c r="D192" s="95">
        <v>-711</v>
      </c>
      <c r="E192" s="95">
        <v>-711</v>
      </c>
      <c r="F192" s="95">
        <v>-2778</v>
      </c>
      <c r="G192" s="95">
        <v>-711</v>
      </c>
      <c r="H192" s="95"/>
      <c r="I192" s="95"/>
      <c r="J192" s="95"/>
      <c r="K192" s="95"/>
      <c r="L192" s="95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</row>
    <row r="193" spans="1:43" ht="15.75" outlineLevel="2">
      <c r="A193" s="83"/>
      <c r="B193" s="106" t="s">
        <v>391</v>
      </c>
      <c r="C193" s="95">
        <v>-942</v>
      </c>
      <c r="D193" s="95">
        <v>521</v>
      </c>
      <c r="E193" s="95">
        <v>-683</v>
      </c>
      <c r="F193" s="95">
        <v>-764</v>
      </c>
      <c r="G193" s="95">
        <v>-1843</v>
      </c>
      <c r="H193" s="95"/>
      <c r="I193" s="95"/>
      <c r="J193" s="95"/>
      <c r="K193" s="95"/>
      <c r="L193" s="95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</row>
    <row r="194" spans="1:43" ht="15.75" outlineLevel="2">
      <c r="A194" s="83"/>
      <c r="B194" s="106" t="s">
        <v>392</v>
      </c>
      <c r="C194" s="95">
        <v>-4437</v>
      </c>
      <c r="D194" s="95">
        <v>-4798</v>
      </c>
      <c r="E194" s="95">
        <v>-16945</v>
      </c>
      <c r="F194" s="95">
        <v>-14567</v>
      </c>
      <c r="G194" s="95">
        <v>-17089</v>
      </c>
      <c r="H194" s="95"/>
      <c r="I194" s="95"/>
      <c r="J194" s="95"/>
      <c r="K194" s="95"/>
      <c r="L194" s="95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</row>
    <row r="195" spans="1:43" ht="15.75" outlineLevel="2">
      <c r="A195" s="83"/>
      <c r="B195" s="106" t="s">
        <v>440</v>
      </c>
      <c r="C195" s="95">
        <v>-3702</v>
      </c>
      <c r="D195" s="95"/>
      <c r="E195" s="95"/>
      <c r="F195" s="95"/>
      <c r="G195" s="95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ht="15.75" outlineLevel="2">
      <c r="A196" s="83"/>
      <c r="B196" s="106" t="s">
        <v>393</v>
      </c>
      <c r="C196" s="95"/>
      <c r="D196" s="95">
        <v>-3670</v>
      </c>
      <c r="E196" s="95"/>
      <c r="F196" s="95">
        <v>-359</v>
      </c>
      <c r="G196" s="95"/>
      <c r="H196" s="95"/>
      <c r="I196" s="95"/>
      <c r="J196" s="95"/>
      <c r="K196" s="95"/>
      <c r="L196" s="95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</row>
    <row r="197" spans="1:43" ht="15.75" outlineLevel="2">
      <c r="A197" s="83"/>
      <c r="B197" s="106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</row>
    <row r="198" spans="1:43" s="92" customFormat="1" ht="12.75" outlineLevel="1">
      <c r="A198" s="90"/>
      <c r="B198" s="105" t="s">
        <v>19</v>
      </c>
      <c r="C198" s="91">
        <f>SUM(C199:C216)</f>
        <v>-19777</v>
      </c>
      <c r="D198" s="91">
        <f>SUM(D199:D216)</f>
        <v>-16815</v>
      </c>
      <c r="E198" s="91">
        <f>SUM(E199:E216)</f>
        <v>-27569</v>
      </c>
      <c r="F198" s="91">
        <f>SUM(F199:F216)</f>
        <v>-47541</v>
      </c>
      <c r="G198" s="91">
        <f>SUM(G199:G216)</f>
        <v>-48934</v>
      </c>
      <c r="H198" s="91"/>
      <c r="I198" s="91"/>
      <c r="J198" s="91"/>
      <c r="K198" s="91"/>
      <c r="L198" s="91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</row>
    <row r="199" spans="1:43" ht="15.75" outlineLevel="2">
      <c r="A199" s="83"/>
      <c r="B199" s="106" t="s">
        <v>396</v>
      </c>
      <c r="C199" s="95">
        <v>-6600</v>
      </c>
      <c r="D199" s="95">
        <v>-7150</v>
      </c>
      <c r="E199" s="95">
        <v>-8819</v>
      </c>
      <c r="F199" s="95">
        <v>-11420</v>
      </c>
      <c r="G199" s="95">
        <v>-14328</v>
      </c>
      <c r="H199" s="95"/>
      <c r="I199" s="95"/>
      <c r="J199" s="95"/>
      <c r="K199" s="95"/>
      <c r="L199" s="95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</row>
    <row r="200" spans="1:43" ht="15.75" outlineLevel="2">
      <c r="A200" s="83"/>
      <c r="B200" s="106" t="s">
        <v>397</v>
      </c>
      <c r="C200" s="95">
        <v>-7419</v>
      </c>
      <c r="D200" s="95">
        <v>-5538</v>
      </c>
      <c r="E200" s="95">
        <v>-6403</v>
      </c>
      <c r="F200" s="95">
        <v>-5798</v>
      </c>
      <c r="G200" s="95">
        <v>-6168</v>
      </c>
      <c r="H200" s="95"/>
      <c r="I200" s="95"/>
      <c r="J200" s="95"/>
      <c r="K200" s="95"/>
      <c r="L200" s="95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ht="15.75" outlineLevel="2">
      <c r="A201" s="83"/>
      <c r="B201" s="106" t="s">
        <v>398</v>
      </c>
      <c r="C201" s="95"/>
      <c r="E201" s="95"/>
      <c r="F201" s="95">
        <v>-12043</v>
      </c>
      <c r="G201" s="95">
        <v>-15132</v>
      </c>
      <c r="H201" s="95"/>
      <c r="I201" s="95"/>
      <c r="J201" s="95"/>
      <c r="K201" s="95"/>
      <c r="L201" s="95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</row>
    <row r="202" spans="1:43" ht="15.75" outlineLevel="2">
      <c r="A202" s="83"/>
      <c r="B202" s="106" t="s">
        <v>399</v>
      </c>
      <c r="C202" s="95">
        <v>-362</v>
      </c>
      <c r="D202" s="95">
        <v>-265</v>
      </c>
      <c r="E202" s="95">
        <v>-372</v>
      </c>
      <c r="F202" s="95">
        <v>-484</v>
      </c>
      <c r="G202" s="95">
        <v>-620</v>
      </c>
      <c r="H202" s="95"/>
      <c r="I202" s="95"/>
      <c r="J202" s="95"/>
      <c r="K202" s="95"/>
      <c r="L202" s="95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</row>
    <row r="203" spans="1:43" ht="15.75" outlineLevel="2">
      <c r="A203" s="83"/>
      <c r="B203" s="106" t="s">
        <v>400</v>
      </c>
      <c r="C203" s="95">
        <v>-228</v>
      </c>
      <c r="D203" s="95">
        <v>-205</v>
      </c>
      <c r="E203" s="95">
        <v>-259</v>
      </c>
      <c r="F203" s="95">
        <v>-252</v>
      </c>
      <c r="G203" s="95">
        <v>-252</v>
      </c>
      <c r="H203" s="95"/>
      <c r="I203" s="95"/>
      <c r="J203" s="95"/>
      <c r="K203" s="95"/>
      <c r="L203" s="95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</row>
    <row r="204" spans="1:43" ht="15.75" outlineLevel="2">
      <c r="A204" s="83"/>
      <c r="B204" s="243" t="s">
        <v>401</v>
      </c>
      <c r="C204" s="95"/>
      <c r="D204" s="95"/>
      <c r="E204" s="95"/>
      <c r="F204" s="95">
        <v>-1024</v>
      </c>
      <c r="G204" s="95">
        <v>-1250</v>
      </c>
      <c r="H204" s="95"/>
      <c r="I204" s="95"/>
      <c r="J204" s="95"/>
      <c r="K204" s="95"/>
      <c r="L204" s="95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</row>
    <row r="205" spans="1:43" ht="15.75" outlineLevel="2">
      <c r="A205" s="83"/>
      <c r="B205" s="106" t="s">
        <v>666</v>
      </c>
      <c r="C205" s="95"/>
      <c r="D205" s="95"/>
      <c r="E205" s="95"/>
      <c r="F205" s="95">
        <v>-426</v>
      </c>
      <c r="G205" s="95">
        <v>-901</v>
      </c>
      <c r="H205" s="95"/>
      <c r="I205" s="95"/>
      <c r="J205" s="95"/>
      <c r="K205" s="95"/>
      <c r="L205" s="95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</row>
    <row r="206" spans="1:43" ht="15.75" outlineLevel="2">
      <c r="A206" s="83"/>
      <c r="B206" s="106" t="s">
        <v>402</v>
      </c>
      <c r="C206" s="95"/>
      <c r="D206" s="95"/>
      <c r="E206" s="95"/>
      <c r="F206" s="95">
        <v>-393</v>
      </c>
      <c r="G206" s="95">
        <v>-432</v>
      </c>
      <c r="H206" s="95"/>
      <c r="I206" s="95"/>
      <c r="J206" s="95"/>
      <c r="K206" s="95"/>
      <c r="L206" s="95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</row>
    <row r="207" spans="1:43" ht="15.75" outlineLevel="2">
      <c r="A207" s="83"/>
      <c r="B207" s="243" t="s">
        <v>403</v>
      </c>
      <c r="C207" s="95"/>
      <c r="D207" s="95"/>
      <c r="E207" s="95"/>
      <c r="F207" s="95">
        <v>-160</v>
      </c>
      <c r="G207" s="95">
        <v>-395</v>
      </c>
      <c r="H207" s="95"/>
      <c r="I207" s="95"/>
      <c r="J207" s="95"/>
      <c r="K207" s="95"/>
      <c r="L207" s="95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</row>
    <row r="208" spans="1:43" ht="15.75" outlineLevel="2">
      <c r="A208" s="83"/>
      <c r="B208" s="106" t="s">
        <v>404</v>
      </c>
      <c r="C208" s="95">
        <v>-1397</v>
      </c>
      <c r="D208" s="95">
        <v>-1398</v>
      </c>
      <c r="E208" s="95">
        <v>-1997</v>
      </c>
      <c r="F208" s="95">
        <v>-2533</v>
      </c>
      <c r="G208" s="95">
        <v>-2832</v>
      </c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ht="15.75" outlineLevel="2">
      <c r="A209" s="83"/>
      <c r="B209" s="106" t="s">
        <v>846</v>
      </c>
      <c r="C209" s="95">
        <v>-1686</v>
      </c>
      <c r="D209" s="95">
        <v>-1271</v>
      </c>
      <c r="E209" s="95">
        <v>-1450</v>
      </c>
      <c r="F209" s="95">
        <v>-1325</v>
      </c>
      <c r="G209" s="95">
        <v>-1400</v>
      </c>
      <c r="H209" s="95"/>
      <c r="I209" s="95"/>
      <c r="J209" s="95"/>
      <c r="K209" s="95"/>
      <c r="L209" s="95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</row>
    <row r="210" spans="1:43" ht="15.75" outlineLevel="2">
      <c r="A210" s="83"/>
      <c r="B210" s="106" t="s">
        <v>847</v>
      </c>
      <c r="C210" s="95">
        <v>-691</v>
      </c>
      <c r="D210" s="95">
        <v>-464</v>
      </c>
      <c r="E210" s="95">
        <v>-362</v>
      </c>
      <c r="F210" s="95">
        <v>-3707</v>
      </c>
      <c r="G210" s="95">
        <v>-3994</v>
      </c>
      <c r="H210" s="95"/>
      <c r="I210" s="95"/>
      <c r="J210" s="95"/>
      <c r="K210" s="95"/>
      <c r="L210" s="95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</row>
    <row r="211" spans="1:43" ht="15.75" outlineLevel="2">
      <c r="A211" s="83"/>
      <c r="B211" s="106" t="s">
        <v>402</v>
      </c>
      <c r="C211" s="95">
        <v>-259</v>
      </c>
      <c r="D211" s="95">
        <v>-291</v>
      </c>
      <c r="E211" s="95">
        <v>-362</v>
      </c>
      <c r="F211" s="95"/>
      <c r="G211" s="95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ht="15.75" outlineLevel="2">
      <c r="A212" s="83"/>
      <c r="B212" s="106" t="s">
        <v>405</v>
      </c>
      <c r="C212" s="95">
        <v>-162</v>
      </c>
      <c r="D212" s="95">
        <v>-71</v>
      </c>
      <c r="E212" s="95">
        <v>-207</v>
      </c>
      <c r="F212" s="95">
        <v>-128</v>
      </c>
      <c r="G212" s="95">
        <v>-635</v>
      </c>
      <c r="H212" s="95"/>
      <c r="I212" s="95"/>
      <c r="J212" s="95"/>
      <c r="K212" s="95"/>
      <c r="L212" s="95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</row>
    <row r="213" spans="1:43" ht="15.75" outlineLevel="2">
      <c r="A213" s="83"/>
      <c r="B213" s="106" t="s">
        <v>406</v>
      </c>
      <c r="C213" s="95">
        <v>-742</v>
      </c>
      <c r="D213" s="95"/>
      <c r="E213" s="95">
        <v>-400</v>
      </c>
      <c r="F213" s="95">
        <v>-200</v>
      </c>
      <c r="G213" s="95">
        <v>-200</v>
      </c>
      <c r="H213" s="95"/>
      <c r="I213" s="95"/>
      <c r="J213" s="95"/>
      <c r="K213" s="95"/>
      <c r="L213" s="95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</row>
    <row r="214" spans="1:43" ht="15.75" outlineLevel="2">
      <c r="A214" s="83"/>
      <c r="B214" s="106" t="s">
        <v>407</v>
      </c>
      <c r="C214" s="95"/>
      <c r="D214" s="95"/>
      <c r="E214" s="95">
        <v>-6700</v>
      </c>
      <c r="F214" s="95">
        <v>-7239</v>
      </c>
      <c r="G214" s="95"/>
      <c r="H214" s="95"/>
      <c r="I214" s="95"/>
      <c r="J214" s="95"/>
      <c r="K214" s="95"/>
      <c r="L214" s="95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</row>
    <row r="215" spans="1:43" ht="15.75" outlineLevel="2">
      <c r="A215" s="83"/>
      <c r="B215" s="106" t="s">
        <v>408</v>
      </c>
      <c r="C215" s="95">
        <v>-231</v>
      </c>
      <c r="D215" s="95">
        <v>-162</v>
      </c>
      <c r="E215" s="95">
        <v>-238</v>
      </c>
      <c r="F215" s="95">
        <v>-409</v>
      </c>
      <c r="G215" s="95">
        <v>-395</v>
      </c>
      <c r="H215" s="95"/>
      <c r="I215" s="95"/>
      <c r="J215" s="95"/>
      <c r="K215" s="95"/>
      <c r="L215" s="95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</row>
    <row r="216" spans="1:43" ht="15.75" outlineLevel="1">
      <c r="A216" s="83"/>
      <c r="B216" s="106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</row>
    <row r="217" spans="1:43" ht="15.75">
      <c r="A217" s="83"/>
      <c r="B217" s="97" t="s">
        <v>20</v>
      </c>
      <c r="C217" s="89">
        <v>0</v>
      </c>
      <c r="D217" s="89">
        <v>0</v>
      </c>
      <c r="E217" s="89">
        <v>0</v>
      </c>
      <c r="F217" s="89">
        <v>0</v>
      </c>
      <c r="G217" s="89">
        <v>0</v>
      </c>
      <c r="H217" s="89"/>
      <c r="I217" s="89">
        <v>0</v>
      </c>
      <c r="J217" s="89">
        <v>0</v>
      </c>
      <c r="K217" s="89">
        <v>0</v>
      </c>
      <c r="L217" s="89">
        <v>0</v>
      </c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</row>
    <row r="218" spans="1:43" ht="15.75">
      <c r="A218" s="83"/>
      <c r="B218" s="100" t="s">
        <v>24</v>
      </c>
      <c r="C218" s="110">
        <f>C169+C171+C174+C182+C217</f>
        <v>42599</v>
      </c>
      <c r="D218" s="110">
        <f>D169+D171+D174+D182+D217</f>
        <v>43182</v>
      </c>
      <c r="E218" s="110">
        <f>E169+E171+E174+E182+E217</f>
        <v>152496</v>
      </c>
      <c r="F218" s="110">
        <f>F169+F171+F174+F182+F217</f>
        <v>131098</v>
      </c>
      <c r="G218" s="110">
        <f>G169+G171+G174+G182+G217</f>
        <v>153798</v>
      </c>
      <c r="H218" s="277"/>
      <c r="I218" s="110">
        <f>I169+I171+I174+I182+I217</f>
        <v>200764</v>
      </c>
      <c r="J218" s="110">
        <f>J169+J171+J174+J182+J217</f>
        <v>220218</v>
      </c>
      <c r="K218" s="110">
        <f>K169+K171+K174+K182+K217</f>
        <v>229965</v>
      </c>
      <c r="L218" s="110">
        <f>L169+L171+L174+L182+L217</f>
        <v>250543</v>
      </c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</row>
    <row r="219" spans="1:43" ht="16.5" thickBot="1">
      <c r="A219" s="83"/>
      <c r="B219" s="101" t="s">
        <v>106</v>
      </c>
      <c r="C219" s="102">
        <f>C218/C36</f>
        <v>1.6089878813173614E-2</v>
      </c>
      <c r="D219" s="102">
        <f>D218/D36</f>
        <v>1.6357933495465601E-2</v>
      </c>
      <c r="E219" s="102">
        <f>E218/E36</f>
        <v>4.5122459649846444E-2</v>
      </c>
      <c r="F219" s="102">
        <f>F218/F36</f>
        <v>2.6849527504596335E-2</v>
      </c>
      <c r="G219" s="102">
        <f>G218/G36</f>
        <v>4.2701739188378759E-2</v>
      </c>
      <c r="H219" s="276"/>
      <c r="I219" s="102">
        <f>I218/I36</f>
        <v>5.4103712886295806E-2</v>
      </c>
      <c r="J219" s="102">
        <f>J218/J36</f>
        <v>5.6520340911453311E-2</v>
      </c>
      <c r="K219" s="102">
        <f>K218/K36</f>
        <v>5.6211400722646424E-2</v>
      </c>
      <c r="L219" s="102">
        <f>L218/L36</f>
        <v>5.832511567575218E-2</v>
      </c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</row>
    <row r="220" spans="1:43" ht="15.75">
      <c r="A220" s="83"/>
      <c r="B220" s="97" t="s">
        <v>183</v>
      </c>
      <c r="C220" s="89">
        <f>SUM(C221:C225)</f>
        <v>36672</v>
      </c>
      <c r="D220" s="89">
        <f t="shared" ref="D220:F220" si="28">SUM(D221:D225)</f>
        <v>3478</v>
      </c>
      <c r="E220" s="89">
        <f t="shared" si="28"/>
        <v>5160</v>
      </c>
      <c r="F220" s="89">
        <f t="shared" si="28"/>
        <v>8159</v>
      </c>
      <c r="G220" s="89">
        <f t="shared" ref="G220" si="29">SUM(G221:G225)</f>
        <v>5095</v>
      </c>
      <c r="H220" s="89"/>
      <c r="I220" s="89">
        <f>SUM(I225:I225)</f>
        <v>0</v>
      </c>
      <c r="J220" s="89">
        <f>SUM(J225:J225)</f>
        <v>0</v>
      </c>
      <c r="K220" s="89">
        <f>SUM(K225:K225)</f>
        <v>0</v>
      </c>
      <c r="L220" s="89">
        <f>SUM(L225:L225)</f>
        <v>0</v>
      </c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</row>
    <row r="221" spans="1:43" ht="15.75" outlineLevel="1">
      <c r="A221" s="83"/>
      <c r="B221" s="106" t="s">
        <v>439</v>
      </c>
      <c r="C221" s="95">
        <v>28842</v>
      </c>
      <c r="D221" s="95"/>
      <c r="E221" s="95"/>
      <c r="F221" s="95"/>
      <c r="G221" s="95"/>
      <c r="H221" s="95"/>
      <c r="I221" s="95"/>
      <c r="J221" s="95"/>
      <c r="K221" s="95"/>
      <c r="L221" s="95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</row>
    <row r="222" spans="1:43" ht="15.75" outlineLevel="1">
      <c r="A222" s="83"/>
      <c r="B222" s="106" t="s">
        <v>298</v>
      </c>
      <c r="C222" s="95">
        <v>3418</v>
      </c>
      <c r="D222" s="95">
        <v>863</v>
      </c>
      <c r="E222" s="95">
        <v>1210</v>
      </c>
      <c r="F222" s="95">
        <v>1477</v>
      </c>
      <c r="G222" s="95">
        <v>4384</v>
      </c>
      <c r="H222" s="95"/>
      <c r="I222" s="95"/>
      <c r="J222" s="95"/>
      <c r="K222" s="95"/>
      <c r="L222" s="95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</row>
    <row r="223" spans="1:43" ht="15.75" outlineLevel="1">
      <c r="A223" s="83"/>
      <c r="B223" s="106" t="s">
        <v>299</v>
      </c>
      <c r="C223" s="95">
        <v>711</v>
      </c>
      <c r="D223" s="95">
        <v>2615</v>
      </c>
      <c r="E223" s="95">
        <v>3950</v>
      </c>
      <c r="F223" s="95">
        <v>6682</v>
      </c>
      <c r="G223" s="95">
        <v>711</v>
      </c>
      <c r="H223" s="95"/>
      <c r="I223" s="95"/>
      <c r="J223" s="95"/>
      <c r="K223" s="95"/>
      <c r="L223" s="95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</row>
    <row r="224" spans="1:43" ht="15.75" outlineLevel="1">
      <c r="A224" s="83"/>
      <c r="B224" s="106" t="s">
        <v>440</v>
      </c>
      <c r="C224" s="95">
        <v>3701</v>
      </c>
      <c r="D224" s="95"/>
      <c r="E224" s="95"/>
      <c r="F224" s="95"/>
      <c r="G224" s="95"/>
      <c r="H224" s="95"/>
      <c r="I224" s="95"/>
      <c r="J224" s="95"/>
      <c r="K224" s="95"/>
      <c r="L224" s="95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</row>
    <row r="225" spans="1:43" ht="15.75" outlineLevel="1">
      <c r="A225" s="83"/>
      <c r="B225" s="106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</row>
    <row r="226" spans="1:43" ht="15.75">
      <c r="A226" s="83"/>
      <c r="B226" s="97" t="s">
        <v>12</v>
      </c>
      <c r="C226" s="89">
        <f t="shared" ref="C226:L226" si="30">C227</f>
        <v>14</v>
      </c>
      <c r="D226" s="89">
        <f t="shared" si="30"/>
        <v>10</v>
      </c>
      <c r="E226" s="89">
        <f t="shared" si="30"/>
        <v>35</v>
      </c>
      <c r="F226" s="89">
        <f t="shared" si="30"/>
        <v>2453</v>
      </c>
      <c r="G226" s="89">
        <f t="shared" si="30"/>
        <v>785</v>
      </c>
      <c r="H226" s="89"/>
      <c r="I226" s="89">
        <f t="shared" si="30"/>
        <v>0</v>
      </c>
      <c r="J226" s="89">
        <f t="shared" si="30"/>
        <v>0</v>
      </c>
      <c r="K226" s="89">
        <f t="shared" si="30"/>
        <v>0</v>
      </c>
      <c r="L226" s="89">
        <f t="shared" si="30"/>
        <v>0</v>
      </c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</row>
    <row r="227" spans="1:43" ht="15.75" outlineLevel="1">
      <c r="A227" s="83"/>
      <c r="B227" s="106" t="s">
        <v>300</v>
      </c>
      <c r="C227" s="95">
        <v>14</v>
      </c>
      <c r="D227" s="95">
        <v>10</v>
      </c>
      <c r="E227" s="95">
        <v>35</v>
      </c>
      <c r="F227" s="95">
        <v>2453</v>
      </c>
      <c r="G227" s="95">
        <v>785</v>
      </c>
      <c r="H227" s="95"/>
      <c r="I227" s="95"/>
      <c r="J227" s="95"/>
      <c r="K227" s="95"/>
      <c r="L227" s="95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</row>
    <row r="228" spans="1:43" ht="15.75" outlineLevel="1">
      <c r="A228" s="83"/>
      <c r="B228" s="106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</row>
    <row r="229" spans="1:43" ht="15.75">
      <c r="A229" s="83"/>
      <c r="B229" s="97" t="s">
        <v>184</v>
      </c>
      <c r="C229" s="89">
        <f>SUM(C230:C232)</f>
        <v>-13573</v>
      </c>
      <c r="D229" s="89">
        <f>SUM(D230:D232)</f>
        <v>-12884</v>
      </c>
      <c r="E229" s="89">
        <f>SUM(E230:E232)</f>
        <v>-10781</v>
      </c>
      <c r="F229" s="89">
        <f>SUM(F230:F232)</f>
        <v>-16255</v>
      </c>
      <c r="G229" s="89">
        <f>SUM(G230:G232)</f>
        <v>-18487</v>
      </c>
      <c r="H229" s="89"/>
      <c r="I229" s="89">
        <v>-17267</v>
      </c>
      <c r="J229" s="89">
        <v>-15182</v>
      </c>
      <c r="K229" s="89">
        <v>-13740</v>
      </c>
      <c r="L229" s="89">
        <v>-5935</v>
      </c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</row>
    <row r="230" spans="1:43" ht="15.75" outlineLevel="1">
      <c r="A230" s="83"/>
      <c r="B230" s="106" t="s">
        <v>409</v>
      </c>
      <c r="C230" s="95">
        <v>-297</v>
      </c>
      <c r="D230" s="95">
        <v>-297</v>
      </c>
      <c r="E230" s="95">
        <v>-180</v>
      </c>
      <c r="F230" s="95">
        <v>-1209</v>
      </c>
      <c r="G230" s="95">
        <v>-2134</v>
      </c>
      <c r="H230" s="95"/>
      <c r="I230" s="95"/>
      <c r="J230" s="95"/>
      <c r="K230" s="95"/>
      <c r="L230" s="95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</row>
    <row r="231" spans="1:43" ht="15.75" outlineLevel="1">
      <c r="A231" s="83"/>
      <c r="B231" s="106" t="s">
        <v>410</v>
      </c>
      <c r="C231" s="95">
        <v>-13276</v>
      </c>
      <c r="D231" s="95">
        <v>-12587</v>
      </c>
      <c r="E231" s="95">
        <v>-10601</v>
      </c>
      <c r="F231" s="95">
        <v>-15046</v>
      </c>
      <c r="G231" s="95">
        <v>-16353</v>
      </c>
      <c r="H231" s="95"/>
      <c r="I231" s="95"/>
      <c r="J231" s="95"/>
      <c r="K231" s="95"/>
      <c r="L231" s="95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</row>
    <row r="232" spans="1:43" ht="15.75" outlineLevel="1">
      <c r="A232" s="83"/>
      <c r="B232" s="106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</row>
    <row r="233" spans="1:43" ht="15.75">
      <c r="A233" s="83"/>
      <c r="B233" s="97" t="s">
        <v>23</v>
      </c>
      <c r="C233" s="89">
        <f>SUM(C234:C236)</f>
        <v>-28850</v>
      </c>
      <c r="D233" s="89">
        <f>SUM(D234:D236)</f>
        <v>-7</v>
      </c>
      <c r="E233" s="89">
        <f>SUM(E234:E236)</f>
        <v>-22</v>
      </c>
      <c r="F233" s="89">
        <f>SUM(F234:F236)</f>
        <v>-9</v>
      </c>
      <c r="G233" s="89">
        <f>SUM(G234:G236)</f>
        <v>-641</v>
      </c>
      <c r="H233" s="89"/>
      <c r="I233" s="89">
        <f>SUM(I236:I236)</f>
        <v>0</v>
      </c>
      <c r="J233" s="89">
        <f>SUM(J236:J236)</f>
        <v>0</v>
      </c>
      <c r="K233" s="89">
        <f>SUM(K236:K236)</f>
        <v>0</v>
      </c>
      <c r="L233" s="89">
        <f>SUM(L236:L236)</f>
        <v>0</v>
      </c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</row>
    <row r="234" spans="1:43" ht="15.75" outlineLevel="1">
      <c r="A234" s="83"/>
      <c r="B234" s="106" t="s">
        <v>443</v>
      </c>
      <c r="C234" s="95">
        <v>-28842</v>
      </c>
      <c r="D234" s="95"/>
      <c r="E234" s="95"/>
      <c r="F234" s="95"/>
      <c r="G234" s="95"/>
      <c r="H234" s="95"/>
      <c r="I234" s="95"/>
      <c r="J234" s="95"/>
      <c r="K234" s="95"/>
      <c r="L234" s="95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</row>
    <row r="235" spans="1:43" ht="15.75" outlineLevel="1">
      <c r="A235" s="83"/>
      <c r="B235" s="106" t="s">
        <v>411</v>
      </c>
      <c r="C235" s="95">
        <v>-8</v>
      </c>
      <c r="D235" s="95">
        <v>-7</v>
      </c>
      <c r="E235" s="95">
        <v>-22</v>
      </c>
      <c r="F235" s="95">
        <v>-9</v>
      </c>
      <c r="G235" s="95">
        <v>-641</v>
      </c>
      <c r="H235" s="95"/>
      <c r="I235" s="95"/>
      <c r="J235" s="95"/>
      <c r="K235" s="95"/>
      <c r="L235" s="95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</row>
    <row r="236" spans="1:43" ht="15.75" outlineLevel="1">
      <c r="A236" s="83"/>
      <c r="B236" s="106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</row>
    <row r="237" spans="1:43" ht="15.75">
      <c r="A237" s="83"/>
      <c r="B237" s="100" t="s">
        <v>26</v>
      </c>
      <c r="C237" s="110">
        <f t="shared" ref="C237:L237" si="31">C218+C220+C226+C233+C229</f>
        <v>36862</v>
      </c>
      <c r="D237" s="110">
        <f t="shared" si="31"/>
        <v>33779</v>
      </c>
      <c r="E237" s="110">
        <f t="shared" si="31"/>
        <v>146888</v>
      </c>
      <c r="F237" s="110">
        <f t="shared" si="31"/>
        <v>125446</v>
      </c>
      <c r="G237" s="110">
        <f t="shared" ref="G237" si="32">G218+G220+G226+G233+G229</f>
        <v>140550</v>
      </c>
      <c r="H237" s="277"/>
      <c r="I237" s="110">
        <f t="shared" si="31"/>
        <v>183497</v>
      </c>
      <c r="J237" s="110">
        <f t="shared" si="31"/>
        <v>205036</v>
      </c>
      <c r="K237" s="110">
        <f t="shared" si="31"/>
        <v>216225</v>
      </c>
      <c r="L237" s="110">
        <f t="shared" si="31"/>
        <v>244608</v>
      </c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</row>
    <row r="238" spans="1:43" ht="16.5" thickBot="1">
      <c r="A238" s="83"/>
      <c r="B238" s="101" t="s">
        <v>106</v>
      </c>
      <c r="C238" s="102">
        <f>C237/C36</f>
        <v>1.3922982060874804E-2</v>
      </c>
      <c r="D238" s="102">
        <f>D237/D36</f>
        <v>1.279594820858998E-2</v>
      </c>
      <c r="E238" s="102">
        <f>E237/E36</f>
        <v>4.3463093150290136E-2</v>
      </c>
      <c r="F238" s="102">
        <f>F237/F36</f>
        <v>2.5691969574986592E-2</v>
      </c>
      <c r="G238" s="102">
        <f>G237/G36</f>
        <v>3.9023455720663687E-2</v>
      </c>
      <c r="H238" s="276"/>
      <c r="I238" s="102">
        <f>I237/I36</f>
        <v>4.9450444320180018E-2</v>
      </c>
      <c r="J238" s="102">
        <f>J237/J36</f>
        <v>5.2623784700254937E-2</v>
      </c>
      <c r="K238" s="102">
        <f>K237/K36</f>
        <v>5.2852869442107375E-2</v>
      </c>
      <c r="L238" s="102">
        <f>L237/L36</f>
        <v>5.6943478345890287E-2</v>
      </c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</row>
    <row r="239" spans="1:43" s="111" customFormat="1" ht="15.75">
      <c r="A239" s="83"/>
      <c r="B239" s="97" t="s">
        <v>29</v>
      </c>
      <c r="C239" s="89">
        <f>C240+C245</f>
        <v>-469</v>
      </c>
      <c r="D239" s="89">
        <f t="shared" ref="D239:F239" si="33">D240+D245</f>
        <v>1480</v>
      </c>
      <c r="E239" s="89">
        <f t="shared" si="33"/>
        <v>2533</v>
      </c>
      <c r="F239" s="89">
        <f t="shared" si="33"/>
        <v>18655</v>
      </c>
      <c r="G239" s="89">
        <f t="shared" ref="G239" si="34">G240+G245</f>
        <v>25878</v>
      </c>
      <c r="H239" s="89"/>
      <c r="I239" s="89">
        <f>I240+I245</f>
        <v>12653</v>
      </c>
      <c r="J239" s="89">
        <f>J240+J245</f>
        <v>13899</v>
      </c>
      <c r="K239" s="89">
        <f>K240+K245</f>
        <v>14845</v>
      </c>
      <c r="L239" s="89">
        <f>L240+L245</f>
        <v>15685</v>
      </c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</row>
    <row r="240" spans="1:43" ht="15.75" outlineLevel="1">
      <c r="A240" s="83"/>
      <c r="B240" s="105" t="s">
        <v>27</v>
      </c>
      <c r="C240" s="91">
        <f>SUM(C241:C244)</f>
        <v>28</v>
      </c>
      <c r="D240" s="91">
        <f>SUM(D241:D244)</f>
        <v>2246</v>
      </c>
      <c r="E240" s="91">
        <f>SUM(E241:E244)</f>
        <v>8640</v>
      </c>
      <c r="F240" s="91">
        <f>SUM(F241:F244)</f>
        <v>25108</v>
      </c>
      <c r="G240" s="91">
        <f>SUM(G241:G244)</f>
        <v>30425</v>
      </c>
      <c r="H240" s="91"/>
      <c r="I240" s="95">
        <v>16000</v>
      </c>
      <c r="J240" s="95">
        <v>16000</v>
      </c>
      <c r="K240" s="95">
        <v>16000</v>
      </c>
      <c r="L240" s="95">
        <v>16000</v>
      </c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</row>
    <row r="241" spans="1:43" ht="15.75" outlineLevel="2">
      <c r="A241" s="83"/>
      <c r="B241" s="106" t="s">
        <v>412</v>
      </c>
      <c r="C241" s="95"/>
      <c r="D241" s="95">
        <v>2231</v>
      </c>
      <c r="E241" s="95">
        <v>8522</v>
      </c>
      <c r="F241" s="95">
        <v>24977</v>
      </c>
      <c r="G241" s="95">
        <v>30325</v>
      </c>
      <c r="H241" s="95"/>
      <c r="I241" s="95"/>
      <c r="J241" s="95"/>
      <c r="K241" s="95"/>
      <c r="L241" s="95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</row>
    <row r="242" spans="1:43" ht="15.75" outlineLevel="2">
      <c r="A242" s="83"/>
      <c r="B242" s="106" t="s">
        <v>413</v>
      </c>
      <c r="C242" s="95">
        <v>18</v>
      </c>
      <c r="D242" s="95">
        <v>14</v>
      </c>
      <c r="E242" s="95">
        <v>117</v>
      </c>
      <c r="F242" s="95">
        <v>106</v>
      </c>
      <c r="G242" s="95">
        <v>52</v>
      </c>
      <c r="H242" s="95"/>
      <c r="I242" s="95"/>
      <c r="J242" s="95"/>
      <c r="K242" s="95"/>
      <c r="L242" s="95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</row>
    <row r="243" spans="1:43" ht="15.75" outlineLevel="2">
      <c r="A243" s="83"/>
      <c r="B243" s="106" t="s">
        <v>414</v>
      </c>
      <c r="C243" s="95">
        <v>10</v>
      </c>
      <c r="D243" s="95">
        <v>1</v>
      </c>
      <c r="E243" s="95">
        <v>1</v>
      </c>
      <c r="F243" s="95">
        <v>25</v>
      </c>
      <c r="G243" s="95">
        <v>48</v>
      </c>
      <c r="H243" s="95"/>
      <c r="I243" s="95"/>
      <c r="J243" s="95"/>
      <c r="K243" s="95"/>
      <c r="L243" s="95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</row>
    <row r="244" spans="1:43" ht="15.75" outlineLevel="2">
      <c r="A244" s="83"/>
      <c r="B244" s="106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</row>
    <row r="245" spans="1:43" ht="15.75" outlineLevel="1">
      <c r="A245" s="83"/>
      <c r="B245" s="105" t="s">
        <v>185</v>
      </c>
      <c r="C245" s="91">
        <f>SUM(C246:C252)</f>
        <v>-497</v>
      </c>
      <c r="D245" s="91">
        <f t="shared" ref="D245:G245" si="35">SUM(D246:D252)</f>
        <v>-766</v>
      </c>
      <c r="E245" s="91">
        <f t="shared" si="35"/>
        <v>-6107</v>
      </c>
      <c r="F245" s="91">
        <f t="shared" si="35"/>
        <v>-6453</v>
      </c>
      <c r="G245" s="91">
        <f t="shared" si="35"/>
        <v>-4547</v>
      </c>
      <c r="H245" s="91"/>
      <c r="I245" s="95">
        <v>-3347</v>
      </c>
      <c r="J245" s="95">
        <v>-2101</v>
      </c>
      <c r="K245" s="95">
        <v>-1155</v>
      </c>
      <c r="L245" s="95">
        <v>-315</v>
      </c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</row>
    <row r="246" spans="1:43" ht="15.75" outlineLevel="2">
      <c r="A246" s="83"/>
      <c r="B246" s="106" t="s">
        <v>436</v>
      </c>
      <c r="C246" s="95">
        <v>-3</v>
      </c>
      <c r="D246" s="95">
        <v>-50</v>
      </c>
      <c r="E246" s="95"/>
      <c r="F246" s="95"/>
      <c r="G246" s="95"/>
      <c r="H246" s="95"/>
      <c r="I246" s="95"/>
      <c r="J246" s="95"/>
      <c r="K246" s="95"/>
      <c r="L246" s="95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</row>
    <row r="247" spans="1:43" ht="15.75" outlineLevel="2">
      <c r="A247" s="83"/>
      <c r="B247" s="106" t="s">
        <v>415</v>
      </c>
      <c r="C247" s="95"/>
      <c r="D247" s="95">
        <v>-565</v>
      </c>
      <c r="E247" s="95">
        <v>-1774</v>
      </c>
      <c r="F247" s="95">
        <v>-1320</v>
      </c>
      <c r="G247" s="95">
        <v>-902</v>
      </c>
      <c r="H247" s="95"/>
      <c r="I247" s="95"/>
      <c r="J247" s="95"/>
      <c r="K247" s="95"/>
      <c r="L247" s="95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</row>
    <row r="248" spans="1:43" ht="15.75" outlineLevel="2">
      <c r="A248" s="83"/>
      <c r="B248" s="106" t="s">
        <v>416</v>
      </c>
      <c r="C248" s="95"/>
      <c r="D248" s="95"/>
      <c r="E248" s="95">
        <v>-4333</v>
      </c>
      <c r="F248" s="95">
        <v>-4364</v>
      </c>
      <c r="G248" s="95">
        <v>-3602</v>
      </c>
      <c r="H248" s="95"/>
      <c r="I248" s="95"/>
      <c r="J248" s="95"/>
      <c r="K248" s="95"/>
      <c r="L248" s="95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</row>
    <row r="249" spans="1:43" ht="15.75" outlineLevel="2">
      <c r="A249" s="83"/>
      <c r="B249" s="106" t="s">
        <v>437</v>
      </c>
      <c r="C249" s="95">
        <v>-430</v>
      </c>
      <c r="D249" s="95">
        <v>-139</v>
      </c>
      <c r="E249" s="95"/>
      <c r="F249" s="95"/>
      <c r="G249" s="95"/>
      <c r="H249" s="95"/>
      <c r="I249" s="95"/>
      <c r="J249" s="95"/>
      <c r="K249" s="95"/>
      <c r="L249" s="95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</row>
    <row r="250" spans="1:43" ht="15.75" outlineLevel="2">
      <c r="A250" s="83"/>
      <c r="B250" s="106" t="s">
        <v>417</v>
      </c>
      <c r="C250" s="95"/>
      <c r="D250" s="95"/>
      <c r="E250" s="95"/>
      <c r="F250" s="95">
        <v>-753</v>
      </c>
      <c r="G250" s="95"/>
      <c r="H250" s="95"/>
      <c r="I250" s="95"/>
      <c r="J250" s="95"/>
      <c r="K250" s="95"/>
      <c r="L250" s="95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</row>
    <row r="251" spans="1:43" ht="15.75" outlineLevel="2">
      <c r="A251" s="83"/>
      <c r="B251" s="106" t="s">
        <v>418</v>
      </c>
      <c r="C251" s="95">
        <v>-64</v>
      </c>
      <c r="D251" s="95">
        <v>-12</v>
      </c>
      <c r="E251" s="95"/>
      <c r="F251" s="95">
        <v>-16</v>
      </c>
      <c r="G251" s="95">
        <v>-43</v>
      </c>
      <c r="H251" s="95"/>
      <c r="I251" s="95"/>
      <c r="J251" s="95"/>
      <c r="K251" s="95"/>
      <c r="L251" s="95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</row>
    <row r="252" spans="1:43" ht="15.75" outlineLevel="1">
      <c r="A252" s="83"/>
      <c r="B252" s="106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</row>
    <row r="253" spans="1:43" s="96" customFormat="1" ht="15.75">
      <c r="A253" s="93"/>
      <c r="B253" s="100" t="s">
        <v>264</v>
      </c>
      <c r="C253" s="110">
        <f t="shared" ref="C253:L253" si="36">+C237+C239</f>
        <v>36393</v>
      </c>
      <c r="D253" s="110">
        <f t="shared" si="36"/>
        <v>35259</v>
      </c>
      <c r="E253" s="110">
        <f t="shared" si="36"/>
        <v>149421</v>
      </c>
      <c r="F253" s="110">
        <f t="shared" si="36"/>
        <v>144101</v>
      </c>
      <c r="G253" s="110">
        <f t="shared" ref="G253" si="37">+G237+G239</f>
        <v>166428</v>
      </c>
      <c r="H253" s="277"/>
      <c r="I253" s="110">
        <f t="shared" si="36"/>
        <v>196150</v>
      </c>
      <c r="J253" s="110">
        <f t="shared" si="36"/>
        <v>218935</v>
      </c>
      <c r="K253" s="110">
        <f t="shared" si="36"/>
        <v>231070</v>
      </c>
      <c r="L253" s="110">
        <f t="shared" si="36"/>
        <v>260293</v>
      </c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</row>
    <row r="254" spans="1:43" s="96" customFormat="1" ht="16.5" thickBot="1">
      <c r="A254" s="93"/>
      <c r="B254" s="101" t="s">
        <v>106</v>
      </c>
      <c r="C254" s="102">
        <f>+C253/C36</f>
        <v>1.3745838156947987E-2</v>
      </c>
      <c r="D254" s="102">
        <f>+D253/D36</f>
        <v>1.3356592494942837E-2</v>
      </c>
      <c r="E254" s="102">
        <f>+E253/E36</f>
        <v>4.4212589466869331E-2</v>
      </c>
      <c r="F254" s="102">
        <f>+F253/F36</f>
        <v>2.9512607079740627E-2</v>
      </c>
      <c r="G254" s="102">
        <f>+G253/G36</f>
        <v>4.6208436063170523E-2</v>
      </c>
      <c r="H254" s="276"/>
      <c r="I254" s="102">
        <f>+I253/I36</f>
        <v>5.2860290105033382E-2</v>
      </c>
      <c r="J254" s="102">
        <f>+J253/J36</f>
        <v>5.6191050856192644E-2</v>
      </c>
      <c r="K254" s="102">
        <f>+K253/K36</f>
        <v>5.6481500945717432E-2</v>
      </c>
      <c r="L254" s="102">
        <f>+L253/L36</f>
        <v>6.0594865290942324E-2</v>
      </c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</row>
    <row r="255" spans="1:43" ht="15.75">
      <c r="A255" s="83"/>
      <c r="B255" s="97" t="s">
        <v>30</v>
      </c>
      <c r="C255" s="89">
        <f t="shared" ref="C255:L255" si="38">C256+C260</f>
        <v>0</v>
      </c>
      <c r="D255" s="89">
        <f t="shared" si="38"/>
        <v>0</v>
      </c>
      <c r="E255" s="89">
        <f t="shared" si="38"/>
        <v>-1229</v>
      </c>
      <c r="F255" s="89">
        <f t="shared" si="38"/>
        <v>25469</v>
      </c>
      <c r="G255" s="89">
        <f t="shared" ref="G255" si="39">G256+G260</f>
        <v>10750</v>
      </c>
      <c r="H255" s="89"/>
      <c r="I255" s="89">
        <f t="shared" si="38"/>
        <v>0</v>
      </c>
      <c r="J255" s="89">
        <f t="shared" si="38"/>
        <v>0</v>
      </c>
      <c r="K255" s="89">
        <f t="shared" si="38"/>
        <v>0</v>
      </c>
      <c r="L255" s="89">
        <f t="shared" si="38"/>
        <v>0</v>
      </c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</row>
    <row r="256" spans="1:43" ht="15.75" outlineLevel="1">
      <c r="A256" s="83"/>
      <c r="B256" s="105" t="s">
        <v>186</v>
      </c>
      <c r="C256" s="91">
        <f>SUM(C257:C259)</f>
        <v>0</v>
      </c>
      <c r="D256" s="91">
        <f t="shared" ref="D256:L256" si="40">SUM(D257:D259)</f>
        <v>0</v>
      </c>
      <c r="E256" s="91">
        <f t="shared" si="40"/>
        <v>1316</v>
      </c>
      <c r="F256" s="91">
        <f t="shared" si="40"/>
        <v>25834</v>
      </c>
      <c r="G256" s="91">
        <f t="shared" ref="G256" si="41">SUM(G257:G259)</f>
        <v>10750</v>
      </c>
      <c r="H256" s="91"/>
      <c r="I256" s="91">
        <f t="shared" si="40"/>
        <v>0</v>
      </c>
      <c r="J256" s="91">
        <f t="shared" si="40"/>
        <v>0</v>
      </c>
      <c r="K256" s="91">
        <f t="shared" si="40"/>
        <v>0</v>
      </c>
      <c r="L256" s="91">
        <f t="shared" si="40"/>
        <v>0</v>
      </c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</row>
    <row r="257" spans="1:43" ht="15.75" outlineLevel="2">
      <c r="A257" s="83"/>
      <c r="B257" s="106" t="s">
        <v>419</v>
      </c>
      <c r="C257" s="95"/>
      <c r="D257" s="95"/>
      <c r="E257" s="95">
        <v>1316</v>
      </c>
      <c r="F257" s="95"/>
      <c r="G257" s="95"/>
      <c r="H257" s="95"/>
      <c r="I257" s="95"/>
      <c r="J257" s="95"/>
      <c r="K257" s="95"/>
      <c r="L257" s="95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</row>
    <row r="258" spans="1:43" ht="15.75" outlineLevel="2">
      <c r="A258" s="83"/>
      <c r="B258" s="106" t="s">
        <v>420</v>
      </c>
      <c r="C258" s="95"/>
      <c r="D258" s="95"/>
      <c r="E258" s="95"/>
      <c r="F258" s="95">
        <v>25834</v>
      </c>
      <c r="G258" s="95">
        <v>10750</v>
      </c>
      <c r="H258" s="95"/>
      <c r="I258" s="95"/>
      <c r="J258" s="95"/>
      <c r="K258" s="95"/>
      <c r="L258" s="95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</row>
    <row r="259" spans="1:43" ht="15.75" outlineLevel="2">
      <c r="A259" s="83"/>
      <c r="B259" s="106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</row>
    <row r="260" spans="1:43" s="92" customFormat="1" ht="12.75" outlineLevel="1">
      <c r="A260" s="90"/>
      <c r="B260" s="105" t="s">
        <v>187</v>
      </c>
      <c r="C260" s="91">
        <f>SUM(C261:C264)</f>
        <v>0</v>
      </c>
      <c r="D260" s="91">
        <f>SUM(D261:D264)</f>
        <v>0</v>
      </c>
      <c r="E260" s="91">
        <f>SUM(E261:E264)</f>
        <v>-2545</v>
      </c>
      <c r="F260" s="91">
        <f>SUM(F261:F264)</f>
        <v>-365</v>
      </c>
      <c r="G260" s="91">
        <f>SUM(G261:G264)</f>
        <v>0</v>
      </c>
      <c r="H260" s="91"/>
      <c r="I260" s="91">
        <f>SUM(I261:I261)</f>
        <v>0</v>
      </c>
      <c r="J260" s="91">
        <f>SUM(J261:J261)</f>
        <v>0</v>
      </c>
      <c r="K260" s="91">
        <f>SUM(K261:K261)</f>
        <v>0</v>
      </c>
      <c r="L260" s="91">
        <f>SUM(L261:L261)</f>
        <v>0</v>
      </c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</row>
    <row r="261" spans="1:43" ht="15.75" outlineLevel="2">
      <c r="A261" s="83"/>
      <c r="B261" s="106" t="s">
        <v>424</v>
      </c>
      <c r="C261" s="95"/>
      <c r="D261" s="95"/>
      <c r="E261" s="95">
        <v>-45</v>
      </c>
      <c r="F261" s="95">
        <v>-59</v>
      </c>
      <c r="G261" s="95"/>
      <c r="H261" s="95"/>
      <c r="I261" s="95"/>
      <c r="J261" s="95"/>
      <c r="K261" s="95"/>
      <c r="L261" s="95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</row>
    <row r="262" spans="1:43" ht="15.75" outlineLevel="2">
      <c r="A262" s="83"/>
      <c r="B262" s="106" t="s">
        <v>421</v>
      </c>
      <c r="C262" s="95"/>
      <c r="D262" s="95"/>
      <c r="E262" s="95">
        <v>-2500</v>
      </c>
      <c r="F262" s="95"/>
      <c r="G262" s="95"/>
      <c r="H262" s="95"/>
      <c r="I262" s="95"/>
      <c r="J262" s="95"/>
      <c r="K262" s="95"/>
      <c r="L262" s="95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</row>
    <row r="263" spans="1:43" ht="15.75" outlineLevel="2">
      <c r="A263" s="83"/>
      <c r="B263" s="106" t="s">
        <v>422</v>
      </c>
      <c r="C263" s="95"/>
      <c r="D263" s="95"/>
      <c r="E263" s="95"/>
      <c r="F263" s="95">
        <v>-306</v>
      </c>
      <c r="G263" s="95"/>
      <c r="H263" s="95"/>
      <c r="I263" s="95"/>
      <c r="J263" s="95"/>
      <c r="K263" s="95"/>
      <c r="L263" s="95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</row>
    <row r="264" spans="1:43" ht="15.75" outlineLevel="1">
      <c r="A264" s="83"/>
      <c r="B264" s="106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</row>
    <row r="265" spans="1:43" ht="15.75">
      <c r="A265" s="83"/>
      <c r="B265" s="83" t="s">
        <v>259</v>
      </c>
      <c r="C265" s="89">
        <f>SUM(C266:C268)</f>
        <v>-11599</v>
      </c>
      <c r="D265" s="89">
        <f t="shared" ref="D265:G265" si="42">SUM(D266:D268)</f>
        <v>-9151</v>
      </c>
      <c r="E265" s="89">
        <f t="shared" si="42"/>
        <v>-38086</v>
      </c>
      <c r="F265" s="89">
        <f t="shared" si="42"/>
        <v>-40979</v>
      </c>
      <c r="G265" s="89">
        <f t="shared" si="42"/>
        <v>-40815</v>
      </c>
      <c r="H265" s="89"/>
      <c r="I265" s="89">
        <f t="shared" ref="I265:L265" si="43">+I266</f>
        <v>-44787</v>
      </c>
      <c r="J265" s="89">
        <f t="shared" si="43"/>
        <v>-50484</v>
      </c>
      <c r="K265" s="89">
        <f t="shared" si="43"/>
        <v>-53517</v>
      </c>
      <c r="L265" s="89">
        <f t="shared" si="43"/>
        <v>-60823</v>
      </c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</row>
    <row r="266" spans="1:43" ht="15.75" outlineLevel="1">
      <c r="A266" s="83"/>
      <c r="B266" s="183" t="s">
        <v>258</v>
      </c>
      <c r="C266" s="95">
        <v>-11599</v>
      </c>
      <c r="D266" s="95">
        <v>-9151</v>
      </c>
      <c r="E266" s="95">
        <v>-38086</v>
      </c>
      <c r="F266" s="95">
        <v>-41879</v>
      </c>
      <c r="G266" s="95">
        <v>-40815</v>
      </c>
      <c r="H266" s="95"/>
      <c r="I266" s="95">
        <v>-44787</v>
      </c>
      <c r="J266" s="95">
        <v>-50484</v>
      </c>
      <c r="K266" s="95">
        <v>-53517</v>
      </c>
      <c r="L266" s="95">
        <v>-60823</v>
      </c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</row>
    <row r="267" spans="1:43" ht="15.75" outlineLevel="1">
      <c r="A267" s="83"/>
      <c r="B267" s="183" t="s">
        <v>423</v>
      </c>
      <c r="C267" s="95"/>
      <c r="D267" s="95"/>
      <c r="E267" s="95"/>
      <c r="F267" s="95">
        <v>900</v>
      </c>
      <c r="G267" s="95"/>
      <c r="H267" s="95"/>
      <c r="I267" s="95"/>
      <c r="J267" s="95"/>
      <c r="K267" s="95"/>
      <c r="L267" s="95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</row>
    <row r="268" spans="1:43" ht="15.75" outlineLevel="1">
      <c r="A268" s="83"/>
      <c r="B268" s="83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</row>
    <row r="269" spans="1:43" ht="15.75" outlineLevel="1">
      <c r="A269" s="83"/>
      <c r="B269" s="212" t="s">
        <v>265</v>
      </c>
      <c r="C269" s="89">
        <v>1</v>
      </c>
      <c r="D269" s="89">
        <v>3</v>
      </c>
      <c r="E269" s="89">
        <v>6</v>
      </c>
      <c r="F269" s="89">
        <v>2</v>
      </c>
      <c r="G269" s="89">
        <v>7</v>
      </c>
      <c r="H269" s="89"/>
      <c r="I269" s="89"/>
      <c r="J269" s="89"/>
      <c r="K269" s="89"/>
      <c r="L269" s="89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</row>
    <row r="270" spans="1:43" ht="15.75" outlineLevel="1">
      <c r="A270" s="83"/>
      <c r="B270" s="83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</row>
    <row r="271" spans="1:43" ht="15.75">
      <c r="A271" s="83"/>
      <c r="B271" s="100" t="s">
        <v>32</v>
      </c>
      <c r="C271" s="182">
        <f t="shared" ref="C271:L271" si="44">C237+C239+C255+C265+C269</f>
        <v>24795</v>
      </c>
      <c r="D271" s="182">
        <f t="shared" si="44"/>
        <v>26111</v>
      </c>
      <c r="E271" s="182">
        <f t="shared" si="44"/>
        <v>110112</v>
      </c>
      <c r="F271" s="182">
        <f t="shared" si="44"/>
        <v>128593</v>
      </c>
      <c r="G271" s="182">
        <f t="shared" ref="G271" si="45">G237+G239+G255+G265+G269</f>
        <v>136370</v>
      </c>
      <c r="H271" s="277"/>
      <c r="I271" s="182">
        <f t="shared" si="44"/>
        <v>151363</v>
      </c>
      <c r="J271" s="182">
        <f t="shared" si="44"/>
        <v>168451</v>
      </c>
      <c r="K271" s="182">
        <f t="shared" si="44"/>
        <v>177553</v>
      </c>
      <c r="L271" s="182">
        <f t="shared" si="44"/>
        <v>199470</v>
      </c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</row>
    <row r="272" spans="1:43" ht="16.5" thickBot="1">
      <c r="A272" s="83"/>
      <c r="B272" s="101" t="s">
        <v>106</v>
      </c>
      <c r="C272" s="102">
        <f>C271/C36</f>
        <v>9.3652091638921041E-3</v>
      </c>
      <c r="D272" s="102">
        <f>D271/D36</f>
        <v>9.8912047033509858E-3</v>
      </c>
      <c r="E272" s="102">
        <f>E271/E36</f>
        <v>3.2581341654626297E-2</v>
      </c>
      <c r="F272" s="102">
        <f>F271/F36</f>
        <v>2.6336490948744882E-2</v>
      </c>
      <c r="G272" s="102">
        <f>G271/G36</f>
        <v>3.7862886208658179E-2</v>
      </c>
      <c r="H272" s="276"/>
      <c r="I272" s="102">
        <f>I271/I36</f>
        <v>4.0790681066368434E-2</v>
      </c>
      <c r="J272" s="102">
        <f>J271/J36</f>
        <v>4.3234013327135938E-2</v>
      </c>
      <c r="K272" s="102">
        <f>K271/K36</f>
        <v>4.3400094938395153E-2</v>
      </c>
      <c r="L272" s="102">
        <f>L271/L36</f>
        <v>4.64355852043054E-2</v>
      </c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</row>
    <row r="273" spans="1:43" ht="15.75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</row>
    <row r="274" spans="1:43" ht="15.75">
      <c r="A274" s="83"/>
      <c r="B274" s="112" t="s">
        <v>189</v>
      </c>
      <c r="C274" s="113"/>
      <c r="D274" s="113"/>
      <c r="E274" s="113"/>
      <c r="F274" s="113"/>
      <c r="G274" s="113"/>
      <c r="H274" s="278"/>
      <c r="I274" s="113"/>
      <c r="J274" s="113"/>
      <c r="K274" s="113"/>
      <c r="L274" s="11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</row>
    <row r="275" spans="1:43" ht="15.75">
      <c r="A275" s="83"/>
      <c r="B275" s="114" t="s">
        <v>34</v>
      </c>
      <c r="C275" s="115" t="str">
        <f>IFERROR(C33/#REF!-1,"na ")</f>
        <v xml:space="preserve">na </v>
      </c>
      <c r="D275" s="115">
        <f>IFERROR(D33/C33-1,"na ")</f>
        <v>-2.9253295008809799E-3</v>
      </c>
      <c r="E275" s="115">
        <f>IFERROR(E33/D33-1,"na ")</f>
        <v>0.28023994060201085</v>
      </c>
      <c r="F275" s="115">
        <f>IFERROR(F33/E33-1,"na ")</f>
        <v>0.44475342222148573</v>
      </c>
      <c r="G275" s="115">
        <f>IFERROR(G33/F33-1,"na ")</f>
        <v>-0.26235788324189135</v>
      </c>
      <c r="H275" s="279"/>
      <c r="I275" s="115" t="str">
        <f>IFERROR(I33/#REF!-1,"na ")</f>
        <v xml:space="preserve">na </v>
      </c>
      <c r="J275" s="115">
        <f>IFERROR(J33/I33-1,"na ")</f>
        <v>4.9999932627720955E-2</v>
      </c>
      <c r="K275" s="115">
        <f>IFERROR(K33/J33-1,"na ")</f>
        <v>4.9999987167184123E-2</v>
      </c>
      <c r="L275" s="115">
        <f>IFERROR(L33/K33-1,"na ")</f>
        <v>5.000007333037737E-2</v>
      </c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</row>
    <row r="276" spans="1:43" ht="15.75">
      <c r="A276" s="83"/>
      <c r="B276" s="114" t="s">
        <v>16</v>
      </c>
      <c r="C276" s="115">
        <f>C67/C33</f>
        <v>0.13225057741736274</v>
      </c>
      <c r="D276" s="115">
        <f>D67/D33</f>
        <v>0.13413149381397216</v>
      </c>
      <c r="E276" s="115">
        <f>E67/E33</f>
        <v>0.17082509395334303</v>
      </c>
      <c r="F276" s="115">
        <f>F67/F33</f>
        <v>0.12639152205555418</v>
      </c>
      <c r="G276" s="115">
        <f>G67/G33</f>
        <v>0.179492070367162</v>
      </c>
      <c r="H276" s="279"/>
      <c r="I276" s="115">
        <f>I67/I33</f>
        <v>0.19000006737227901</v>
      </c>
      <c r="J276" s="115">
        <f>J67/J33</f>
        <v>0.19000010522909014</v>
      </c>
      <c r="K276" s="115">
        <f>K67/K33</f>
        <v>0.18999998533392454</v>
      </c>
      <c r="L276" s="115">
        <f>L67/L33</f>
        <v>0.18999992550565364</v>
      </c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</row>
    <row r="277" spans="1:43" ht="15.75">
      <c r="A277" s="83"/>
      <c r="B277" s="114" t="s">
        <v>24</v>
      </c>
      <c r="C277" s="115">
        <f>C218/C33</f>
        <v>1.6089878813173614E-2</v>
      </c>
      <c r="D277" s="115">
        <f>D218/D33</f>
        <v>1.6357933495465601E-2</v>
      </c>
      <c r="E277" s="115">
        <f>E218/E33</f>
        <v>4.5122459649846444E-2</v>
      </c>
      <c r="F277" s="115">
        <f>F218/F33</f>
        <v>2.6849527504596335E-2</v>
      </c>
      <c r="G277" s="115">
        <f>G218/G33</f>
        <v>4.2701739188378759E-2</v>
      </c>
      <c r="H277" s="279"/>
      <c r="I277" s="115">
        <f>I218/I33</f>
        <v>5.4103712886295806E-2</v>
      </c>
      <c r="J277" s="115">
        <f>J218/J33</f>
        <v>5.6520340911453311E-2</v>
      </c>
      <c r="K277" s="115">
        <f>K218/K33</f>
        <v>5.6211400722646424E-2</v>
      </c>
      <c r="L277" s="115">
        <f>L218/L33</f>
        <v>5.832511567575218E-2</v>
      </c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</row>
    <row r="278" spans="1:43" ht="15.75">
      <c r="A278" s="83"/>
      <c r="B278" s="114" t="s">
        <v>26</v>
      </c>
      <c r="C278" s="115">
        <f>C237/C33</f>
        <v>1.3922982060874804E-2</v>
      </c>
      <c r="D278" s="115">
        <f>D237/D33</f>
        <v>1.279594820858998E-2</v>
      </c>
      <c r="E278" s="115">
        <f>E237/E33</f>
        <v>4.3463093150290136E-2</v>
      </c>
      <c r="F278" s="115">
        <f>F237/F33</f>
        <v>2.5691969574986592E-2</v>
      </c>
      <c r="G278" s="115">
        <f>G237/G33</f>
        <v>3.9023455720663687E-2</v>
      </c>
      <c r="H278" s="279"/>
      <c r="I278" s="115">
        <f>I237/I33</f>
        <v>4.9450444320180018E-2</v>
      </c>
      <c r="J278" s="115">
        <f>J237/J33</f>
        <v>5.2623784700254937E-2</v>
      </c>
      <c r="K278" s="115">
        <f>K237/K33</f>
        <v>5.2852869442107375E-2</v>
      </c>
      <c r="L278" s="115">
        <f>L237/L33</f>
        <v>5.6943478345890287E-2</v>
      </c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</row>
    <row r="279" spans="1:43" ht="15.75">
      <c r="A279" s="83"/>
      <c r="B279" s="116" t="s">
        <v>35</v>
      </c>
      <c r="C279" s="117">
        <f>C271/C33</f>
        <v>9.3652091638921041E-3</v>
      </c>
      <c r="D279" s="117">
        <f>D271/D33</f>
        <v>9.8912047033509858E-3</v>
      </c>
      <c r="E279" s="117">
        <f>E271/E33</f>
        <v>3.2581341654626297E-2</v>
      </c>
      <c r="F279" s="117">
        <f>F271/F33</f>
        <v>2.6336490948744882E-2</v>
      </c>
      <c r="G279" s="117">
        <f>G271/G33</f>
        <v>3.7862886208658179E-2</v>
      </c>
      <c r="H279" s="279"/>
      <c r="I279" s="117">
        <f>I271/I33</f>
        <v>4.0790681066368434E-2</v>
      </c>
      <c r="J279" s="117">
        <f>J271/J33</f>
        <v>4.3234013327135938E-2</v>
      </c>
      <c r="K279" s="117">
        <f>K271/K33</f>
        <v>4.3400094938395153E-2</v>
      </c>
      <c r="L279" s="117">
        <f>L271/L33</f>
        <v>4.64355852043054E-2</v>
      </c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</row>
    <row r="280" spans="1:43" ht="15.7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</row>
    <row r="281" spans="1:43" ht="15.75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</row>
    <row r="282" spans="1:43" ht="15.75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</row>
    <row r="283" spans="1:43" ht="15.75">
      <c r="A283" s="107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9"/>
      <c r="P283" s="109"/>
      <c r="Q283" s="109"/>
      <c r="R283" s="109"/>
      <c r="S283" s="109"/>
      <c r="T283" s="109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</row>
    <row r="284" spans="1:43" ht="15.75">
      <c r="A284" s="107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9"/>
      <c r="P284" s="109"/>
      <c r="Q284" s="109"/>
      <c r="R284" s="109"/>
      <c r="S284" s="109"/>
      <c r="T284" s="109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</row>
    <row r="285" spans="1:43" ht="15.75">
      <c r="A285" s="107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9"/>
      <c r="P285" s="109"/>
      <c r="Q285" s="109"/>
      <c r="R285" s="109"/>
      <c r="S285" s="109"/>
      <c r="T285" s="109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</row>
    <row r="286" spans="1:43" ht="15.75">
      <c r="A286" s="107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9"/>
      <c r="P286" s="109"/>
      <c r="Q286" s="109"/>
      <c r="R286" s="109"/>
      <c r="S286" s="109"/>
      <c r="T286" s="109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</row>
    <row r="287" spans="1:43" ht="15.75">
      <c r="A287" s="107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9"/>
      <c r="P287" s="109"/>
      <c r="Q287" s="109"/>
      <c r="R287" s="109"/>
      <c r="S287" s="109"/>
      <c r="T287" s="109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</row>
    <row r="288" spans="1:43" ht="15.75">
      <c r="A288" s="107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9"/>
      <c r="P288" s="109"/>
      <c r="Q288" s="109"/>
      <c r="R288" s="109"/>
      <c r="S288" s="109"/>
      <c r="T288" s="109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</row>
    <row r="289" spans="1:43" ht="15.75">
      <c r="A289" s="107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9"/>
      <c r="P289" s="109"/>
      <c r="Q289" s="109"/>
      <c r="R289" s="109"/>
      <c r="S289" s="109"/>
      <c r="T289" s="109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</row>
    <row r="290" spans="1:43" ht="15.75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</row>
    <row r="291" spans="1:43" ht="15.75">
      <c r="A291" s="107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9"/>
      <c r="P291" s="109"/>
      <c r="Q291" s="109"/>
      <c r="R291" s="109"/>
      <c r="S291" s="109"/>
      <c r="T291" s="109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</row>
    <row r="292" spans="1:43" ht="15.75">
      <c r="A292" s="107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9"/>
      <c r="P292" s="109"/>
      <c r="Q292" s="109"/>
      <c r="R292" s="109"/>
      <c r="S292" s="109"/>
      <c r="T292" s="109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</row>
    <row r="293" spans="1:43" ht="15.75">
      <c r="A293" s="107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9"/>
      <c r="P293" s="109"/>
      <c r="Q293" s="109"/>
      <c r="R293" s="109"/>
      <c r="S293" s="109"/>
      <c r="T293" s="109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</row>
    <row r="294" spans="1:43" ht="15.75">
      <c r="A294" s="107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9"/>
      <c r="P294" s="109"/>
      <c r="Q294" s="109"/>
      <c r="R294" s="109"/>
      <c r="S294" s="109"/>
      <c r="T294" s="109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</row>
    <row r="295" spans="1:43" ht="15.75">
      <c r="A295" s="107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9"/>
      <c r="P295" s="109"/>
      <c r="Q295" s="109"/>
      <c r="R295" s="109"/>
      <c r="S295" s="109"/>
      <c r="T295" s="109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</row>
    <row r="296" spans="1:43" ht="15.75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</row>
    <row r="297" spans="1:43" ht="15.75">
      <c r="A297" s="107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9"/>
      <c r="P297" s="109"/>
      <c r="Q297" s="109"/>
      <c r="R297" s="109"/>
      <c r="S297" s="109"/>
      <c r="T297" s="109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</row>
    <row r="298" spans="1:43" ht="15.75">
      <c r="A298" s="107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9"/>
      <c r="P298" s="109"/>
      <c r="Q298" s="109"/>
      <c r="R298" s="109"/>
      <c r="S298" s="109"/>
      <c r="T298" s="109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</row>
    <row r="299" spans="1:43" ht="15.75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</row>
    <row r="300" spans="1:43" ht="15.75">
      <c r="A300" s="107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9"/>
      <c r="P300" s="109"/>
      <c r="Q300" s="109"/>
      <c r="R300" s="109"/>
      <c r="S300" s="109"/>
      <c r="T300" s="109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</row>
    <row r="301" spans="1:43" ht="15.75">
      <c r="A301" s="107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9"/>
      <c r="P301" s="109"/>
      <c r="Q301" s="109"/>
      <c r="R301" s="109"/>
      <c r="S301" s="109"/>
      <c r="T301" s="109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</row>
    <row r="302" spans="1:43" ht="15.75">
      <c r="A302" s="107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9"/>
      <c r="P302" s="109"/>
      <c r="Q302" s="109"/>
      <c r="R302" s="109"/>
      <c r="S302" s="109"/>
      <c r="T302" s="109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</row>
    <row r="303" spans="1:43" ht="15.75">
      <c r="A303" s="107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9"/>
      <c r="P303" s="109"/>
      <c r="Q303" s="109"/>
      <c r="R303" s="109"/>
      <c r="S303" s="109"/>
      <c r="T303" s="109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</row>
    <row r="304" spans="1:43" ht="15.75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</row>
    <row r="305" spans="1:43" ht="15.75">
      <c r="A305" s="107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9"/>
      <c r="P305" s="109"/>
      <c r="Q305" s="109"/>
      <c r="R305" s="109"/>
      <c r="S305" s="109"/>
      <c r="T305" s="109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</row>
    <row r="306" spans="1:43" ht="15.75">
      <c r="A306" s="107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9"/>
      <c r="P306" s="109"/>
      <c r="Q306" s="109"/>
      <c r="R306" s="109"/>
      <c r="S306" s="109"/>
      <c r="T306" s="109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</row>
    <row r="307" spans="1:43" ht="15.75">
      <c r="A307" s="107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9"/>
      <c r="P307" s="109"/>
      <c r="Q307" s="109"/>
      <c r="R307" s="109"/>
      <c r="S307" s="109"/>
      <c r="T307" s="109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</row>
    <row r="308" spans="1:43" ht="15.75">
      <c r="A308" s="107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9"/>
      <c r="P308" s="109"/>
      <c r="Q308" s="109"/>
      <c r="R308" s="109"/>
      <c r="S308" s="109"/>
      <c r="T308" s="109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</row>
    <row r="309" spans="1:43" ht="15.75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</row>
    <row r="310" spans="1:43" ht="15.75">
      <c r="A310" s="107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9"/>
      <c r="P310" s="109"/>
      <c r="Q310" s="109"/>
      <c r="R310" s="109"/>
      <c r="S310" s="109"/>
      <c r="T310" s="109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</row>
    <row r="311" spans="1:43" ht="15.75">
      <c r="A311" s="107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9"/>
      <c r="P311" s="109"/>
      <c r="Q311" s="109"/>
      <c r="R311" s="109"/>
      <c r="S311" s="109"/>
      <c r="T311" s="109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</row>
    <row r="312" spans="1:43" ht="15.75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</row>
    <row r="313" spans="1:43" ht="15.75">
      <c r="A313" s="107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9"/>
      <c r="P313" s="109"/>
      <c r="Q313" s="109"/>
      <c r="R313" s="109"/>
      <c r="S313" s="109"/>
      <c r="T313" s="109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</row>
    <row r="314" spans="1:43" ht="15.75">
      <c r="A314" s="107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9"/>
      <c r="P314" s="109"/>
      <c r="Q314" s="109"/>
      <c r="R314" s="109"/>
      <c r="S314" s="109"/>
      <c r="T314" s="109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</row>
    <row r="315" spans="1:43" ht="15.75">
      <c r="A315" s="107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9"/>
      <c r="P315" s="109"/>
      <c r="Q315" s="109"/>
      <c r="R315" s="109"/>
      <c r="S315" s="109"/>
      <c r="T315" s="109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</row>
    <row r="316" spans="1:43" ht="15.75">
      <c r="A316" s="107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9"/>
      <c r="P316" s="109"/>
      <c r="Q316" s="109"/>
      <c r="R316" s="109"/>
      <c r="S316" s="109"/>
      <c r="T316" s="109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</row>
    <row r="317" spans="1:43" ht="15.75">
      <c r="A317" s="107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9"/>
      <c r="P317" s="109"/>
      <c r="Q317" s="109"/>
      <c r="R317" s="109"/>
      <c r="S317" s="109"/>
      <c r="T317" s="109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</row>
    <row r="318" spans="1:43" ht="15.75">
      <c r="A318" s="107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9"/>
      <c r="P318" s="109"/>
      <c r="Q318" s="109"/>
      <c r="R318" s="109"/>
      <c r="S318" s="109"/>
      <c r="T318" s="109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</row>
    <row r="319" spans="1:43" ht="15.75">
      <c r="A319" s="107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9"/>
      <c r="P319" s="109"/>
      <c r="Q319" s="109"/>
      <c r="R319" s="109"/>
      <c r="S319" s="109"/>
      <c r="T319" s="109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</row>
    <row r="320" spans="1:43" ht="15.75">
      <c r="A320" s="107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9"/>
      <c r="P320" s="109"/>
      <c r="Q320" s="109"/>
      <c r="R320" s="109"/>
      <c r="S320" s="109"/>
      <c r="T320" s="109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</row>
    <row r="321" spans="1:43" ht="15.75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</row>
    <row r="322" spans="1:43" ht="15.75">
      <c r="A322" s="107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9"/>
      <c r="P322" s="109"/>
      <c r="Q322" s="109"/>
      <c r="R322" s="109"/>
      <c r="S322" s="109"/>
      <c r="T322" s="109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</row>
    <row r="323" spans="1:43" ht="15.75">
      <c r="A323" s="107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9"/>
      <c r="P323" s="109"/>
      <c r="Q323" s="109"/>
      <c r="R323" s="109"/>
      <c r="S323" s="109"/>
      <c r="T323" s="109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</row>
    <row r="324" spans="1:43" ht="15.75">
      <c r="A324" s="107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9"/>
      <c r="P324" s="109"/>
      <c r="Q324" s="109"/>
      <c r="R324" s="109"/>
      <c r="S324" s="109"/>
      <c r="T324" s="109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</row>
    <row r="325" spans="1:43" ht="15.75">
      <c r="A325" s="107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9"/>
      <c r="P325" s="109"/>
      <c r="Q325" s="109"/>
      <c r="R325" s="109"/>
      <c r="S325" s="109"/>
      <c r="T325" s="109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</row>
    <row r="326" spans="1:43" ht="15.75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</row>
    <row r="327" spans="1:43" ht="15.75">
      <c r="A327" s="107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9"/>
      <c r="P327" s="109"/>
      <c r="Q327" s="109"/>
      <c r="R327" s="109"/>
      <c r="S327" s="109"/>
      <c r="T327" s="109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</row>
    <row r="328" spans="1:43" ht="15.75">
      <c r="A328" s="107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9"/>
      <c r="P328" s="109"/>
      <c r="Q328" s="109"/>
      <c r="R328" s="109"/>
      <c r="S328" s="109"/>
      <c r="T328" s="109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</row>
    <row r="329" spans="1:43" ht="15.75">
      <c r="A329" s="107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</row>
    <row r="330" spans="1:43" ht="15.75">
      <c r="A330" s="107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</row>
    <row r="331" spans="1:43" ht="15.75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C04B1-6193-204A-8884-244A35589D98}">
  <sheetPr codeName="Feuil5">
    <tabColor rgb="FF006C4C"/>
  </sheetPr>
  <dimension ref="B2:Q80"/>
  <sheetViews>
    <sheetView showGridLines="0" zoomScaleNormal="100" workbookViewId="0">
      <pane xSplit="2" ySplit="5" topLeftCell="C9" activePane="bottomRight" state="frozen"/>
      <selection pane="topRight" activeCell="C1" sqref="C1"/>
      <selection pane="bottomLeft" activeCell="A4" sqref="A4"/>
      <selection pane="bottomRight" activeCell="F13" sqref="F13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/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4">
        <v>45900</v>
      </c>
      <c r="J3" s="244">
        <v>46265</v>
      </c>
      <c r="K3" s="244">
        <v>46630</v>
      </c>
      <c r="L3" s="244">
        <v>46996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124"/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150"/>
      <c r="H7" s="219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>
        <f>'Probois 43 - P&amp;L'!D237</f>
        <v>33779</v>
      </c>
      <c r="E8" s="191">
        <f>'Probois 43 - P&amp;L'!E237</f>
        <v>146888</v>
      </c>
      <c r="F8" s="191">
        <f>'Probois 43 - P&amp;L'!F237</f>
        <v>125446</v>
      </c>
      <c r="G8" s="191">
        <f>'Probois 43 - P&amp;L'!G237</f>
        <v>140550</v>
      </c>
      <c r="H8" s="152"/>
      <c r="I8" s="191">
        <v>183497</v>
      </c>
      <c r="J8" s="191">
        <f>'Probois 43 - P&amp;L'!J237</f>
        <v>205036</v>
      </c>
      <c r="K8" s="191">
        <f>'Probois 43 - P&amp;L'!K237</f>
        <v>216225</v>
      </c>
      <c r="L8" s="191">
        <f>'Probois 43 - P&amp;L'!L237</f>
        <v>244608</v>
      </c>
      <c r="M8" s="191"/>
    </row>
    <row r="9" spans="2:13">
      <c r="B9" s="148" t="s">
        <v>225</v>
      </c>
      <c r="C9" s="191"/>
      <c r="D9" s="191">
        <f>'Probois 43 - P&amp;L'!D260</f>
        <v>0</v>
      </c>
      <c r="E9" s="191">
        <f>'Probois 43 - P&amp;L'!E260</f>
        <v>-2545</v>
      </c>
      <c r="F9" s="191">
        <f>'Probois 43 - P&amp;L'!F260</f>
        <v>-365</v>
      </c>
      <c r="G9" s="191">
        <f>'Probois 43 - P&amp;L'!G260</f>
        <v>0</v>
      </c>
      <c r="H9" s="152"/>
      <c r="I9" s="191">
        <v>0</v>
      </c>
      <c r="J9" s="191">
        <f>'Probois 43 - P&amp;L'!J260</f>
        <v>0</v>
      </c>
      <c r="K9" s="191">
        <f>'Probois 43 - P&amp;L'!K260</f>
        <v>0</v>
      </c>
      <c r="L9" s="191">
        <f>'Probois 43 - P&amp;L'!L260</f>
        <v>0</v>
      </c>
      <c r="M9" s="191"/>
    </row>
    <row r="10" spans="2:13">
      <c r="B10" s="148" t="s">
        <v>226</v>
      </c>
      <c r="C10" s="191"/>
      <c r="D10" s="191">
        <f>'Probois 43 - P&amp;L'!D256</f>
        <v>0</v>
      </c>
      <c r="E10" s="191">
        <f>'Probois 43 - P&amp;L'!E256</f>
        <v>1316</v>
      </c>
      <c r="F10" s="191">
        <f>'Probois 43 - P&amp;L'!F256</f>
        <v>25834</v>
      </c>
      <c r="G10" s="191">
        <f>'Probois 43 - P&amp;L'!G256</f>
        <v>10750</v>
      </c>
      <c r="H10" s="152"/>
      <c r="I10" s="191">
        <v>0</v>
      </c>
      <c r="J10" s="191">
        <f>'Probois 43 - P&amp;L'!J256</f>
        <v>0</v>
      </c>
      <c r="K10" s="191">
        <f>'Probois 43 - P&amp;L'!K256</f>
        <v>0</v>
      </c>
      <c r="L10" s="191">
        <f>'Probois 43 - P&amp;L'!L256</f>
        <v>0</v>
      </c>
      <c r="M10" s="191"/>
    </row>
    <row r="11" spans="2:13">
      <c r="B11" s="148" t="s">
        <v>227</v>
      </c>
      <c r="C11" s="152"/>
      <c r="D11" s="152">
        <f>'Probois 43 - P&amp;L'!D265</f>
        <v>-9151</v>
      </c>
      <c r="E11" s="152">
        <f>'Probois 43 - P&amp;L'!E265</f>
        <v>-38086</v>
      </c>
      <c r="F11" s="152">
        <f>'Probois 43 - P&amp;L'!F265</f>
        <v>-40979</v>
      </c>
      <c r="G11" s="152">
        <f>'Probois 43 - P&amp;L'!G265</f>
        <v>-40815</v>
      </c>
      <c r="H11" s="152"/>
      <c r="I11" s="152">
        <v>-44787</v>
      </c>
      <c r="J11" s="152">
        <f>'Probois 43 - P&amp;L'!J265</f>
        <v>-50484</v>
      </c>
      <c r="K11" s="152">
        <f>'Probois 43 - P&amp;L'!K265</f>
        <v>-53517</v>
      </c>
      <c r="L11" s="152">
        <f>'Probois 43 - P&amp;L'!L265</f>
        <v>-60823</v>
      </c>
      <c r="M11" s="191"/>
    </row>
    <row r="12" spans="2:13">
      <c r="B12" s="153" t="s">
        <v>228</v>
      </c>
      <c r="C12" s="154"/>
      <c r="D12" s="154">
        <f>SUM(D8:D11)</f>
        <v>24628</v>
      </c>
      <c r="E12" s="154">
        <f>SUM(E8:E11)</f>
        <v>107573</v>
      </c>
      <c r="F12" s="154">
        <f>SUM(F8:F11)</f>
        <v>109936</v>
      </c>
      <c r="G12" s="154">
        <f>SUM(G8:G11)</f>
        <v>110485</v>
      </c>
      <c r="H12" s="154"/>
      <c r="I12" s="154">
        <v>138710</v>
      </c>
      <c r="J12" s="154">
        <f>SUM(J8:J11)</f>
        <v>154552</v>
      </c>
      <c r="K12" s="154">
        <f>SUM(K8:K11)</f>
        <v>162708</v>
      </c>
      <c r="L12" s="154">
        <f>SUM(L8:L11)</f>
        <v>183785</v>
      </c>
      <c r="M12" s="199"/>
    </row>
    <row r="13" spans="2:13">
      <c r="B13" s="148" t="s">
        <v>229</v>
      </c>
      <c r="C13" s="191"/>
      <c r="D13" s="191">
        <f>-'Probois 43 - P&amp;L'!D229</f>
        <v>12884</v>
      </c>
      <c r="E13" s="191">
        <f>-'Probois 43 - P&amp;L'!E229</f>
        <v>10781</v>
      </c>
      <c r="F13" s="191">
        <f>-'Probois 43 - P&amp;L'!F229</f>
        <v>16255</v>
      </c>
      <c r="G13" s="191">
        <f>-'Probois 43 - P&amp;L'!G229</f>
        <v>18487</v>
      </c>
      <c r="H13" s="152"/>
      <c r="I13" s="191">
        <v>17267</v>
      </c>
      <c r="J13" s="191">
        <f>-'Probois 43 - P&amp;L'!J229</f>
        <v>15182</v>
      </c>
      <c r="K13" s="191">
        <f>-'Probois 43 - P&amp;L'!K229</f>
        <v>13740</v>
      </c>
      <c r="L13" s="191">
        <f>-'Probois 43 - P&amp;L'!L229</f>
        <v>5935</v>
      </c>
      <c r="M13" s="191"/>
    </row>
    <row r="14" spans="2:13">
      <c r="B14" s="148" t="s">
        <v>230</v>
      </c>
      <c r="C14" s="191"/>
      <c r="D14" s="191"/>
      <c r="E14" s="191"/>
      <c r="F14" s="191"/>
      <c r="G14" s="191"/>
      <c r="H14" s="152"/>
      <c r="I14" s="191"/>
      <c r="J14" s="191"/>
      <c r="K14" s="191"/>
      <c r="L14" s="191"/>
      <c r="M14" s="191"/>
    </row>
    <row r="15" spans="2:13">
      <c r="B15" s="153" t="s">
        <v>231</v>
      </c>
      <c r="C15" s="154"/>
      <c r="D15" s="154">
        <f>SUM(D16:D27)</f>
        <v>-244215</v>
      </c>
      <c r="E15" s="154">
        <f>SUM(E16:E27)</f>
        <v>-218792</v>
      </c>
      <c r="F15" s="154">
        <f>SUM(F16:F27)</f>
        <v>307717</v>
      </c>
      <c r="G15" s="154">
        <f>SUM(G16:G27)</f>
        <v>-158240</v>
      </c>
      <c r="H15" s="154"/>
      <c r="I15" s="154">
        <v>57722</v>
      </c>
      <c r="J15" s="154">
        <f>SUM(J16:J27)</f>
        <v>21541</v>
      </c>
      <c r="K15" s="154">
        <f>SUM(K16:K27)</f>
        <v>-2114</v>
      </c>
      <c r="L15" s="154">
        <f>SUM(L16:L27)</f>
        <v>4163</v>
      </c>
      <c r="M15" s="199"/>
    </row>
    <row r="16" spans="2:13" s="145" customFormat="1" ht="15" outlineLevel="1">
      <c r="B16" s="155" t="s">
        <v>232</v>
      </c>
      <c r="C16" s="156"/>
      <c r="D16" s="156">
        <f>-('Probois 43 - Bilan'!D14-'Probois 43 - Bilan'!C14)</f>
        <v>-54057</v>
      </c>
      <c r="E16" s="156">
        <f>-('Probois 43 - Bilan'!E14-'Probois 43 - Bilan'!D14)</f>
        <v>-53913</v>
      </c>
      <c r="F16" s="156">
        <f>-('Probois 43 - Bilan'!F14-'Probois 43 - Bilan'!E14)</f>
        <v>141272</v>
      </c>
      <c r="G16" s="156">
        <f>-('Probois 43 - Bilan'!G14-'Probois 43 - Bilan'!F14)</f>
        <v>-92791</v>
      </c>
      <c r="H16" s="156"/>
      <c r="I16" s="156">
        <v>59637</v>
      </c>
      <c r="J16" s="156">
        <f>-('Probois 43 - Bilan'!J14-'Probois 43 - Bilan'!I14)</f>
        <v>-12524</v>
      </c>
      <c r="K16" s="156">
        <f>-('Probois 43 - Bilan'!K14-'Probois 43 - Bilan'!J14)</f>
        <v>-13150</v>
      </c>
      <c r="L16" s="156">
        <f>-('Probois 43 - Bilan'!L14-'Probois 43 - Bilan'!K14)</f>
        <v>-13807</v>
      </c>
      <c r="M16" s="200"/>
    </row>
    <row r="17" spans="2:13" s="145" customFormat="1" ht="15" outlineLevel="1">
      <c r="B17" s="155" t="s">
        <v>233</v>
      </c>
      <c r="C17" s="156"/>
      <c r="D17" s="156">
        <f>-('Probois 43 - Bilan'!D15-'Probois 43 - Bilan'!C15)</f>
        <v>0</v>
      </c>
      <c r="E17" s="156">
        <f>-('Probois 43 - Bilan'!E15-'Probois 43 - Bilan'!D15)</f>
        <v>0</v>
      </c>
      <c r="F17" s="156">
        <f>-('Probois 43 - Bilan'!F15-'Probois 43 - Bilan'!E15)</f>
        <v>0</v>
      </c>
      <c r="G17" s="156">
        <f>-('Probois 43 - Bilan'!G15-'Probois 43 - Bilan'!F15)</f>
        <v>0</v>
      </c>
      <c r="H17" s="156"/>
      <c r="I17" s="156">
        <v>0</v>
      </c>
      <c r="J17" s="156">
        <f>-('Probois 43 - Bilan'!J15-'Probois 43 - Bilan'!I15)</f>
        <v>0</v>
      </c>
      <c r="K17" s="156">
        <f>-('Probois 43 - Bilan'!K15-'Probois 43 - Bilan'!J15)</f>
        <v>0</v>
      </c>
      <c r="L17" s="156">
        <f>-('Probois 43 - Bilan'!L15-'Probois 43 - Bilan'!K15)</f>
        <v>0</v>
      </c>
      <c r="M17" s="200"/>
    </row>
    <row r="18" spans="2:13" s="145" customFormat="1" ht="15" outlineLevel="1">
      <c r="B18" s="155" t="s">
        <v>234</v>
      </c>
      <c r="C18" s="156"/>
      <c r="D18" s="156">
        <f>-('Probois 43 - Bilan'!D16-'Probois 43 - Bilan'!C16)</f>
        <v>230861</v>
      </c>
      <c r="E18" s="156">
        <f>-('Probois 43 - Bilan'!E16-'Probois 43 - Bilan'!D16)</f>
        <v>-106005</v>
      </c>
      <c r="F18" s="156">
        <f>-('Probois 43 - Bilan'!F16-'Probois 43 - Bilan'!E16)</f>
        <v>-236421</v>
      </c>
      <c r="G18" s="156">
        <f>-('Probois 43 - Bilan'!G16-'Probois 43 - Bilan'!F16)</f>
        <v>22580</v>
      </c>
      <c r="H18" s="156"/>
      <c r="I18" s="156">
        <v>-14764</v>
      </c>
      <c r="J18" s="156">
        <f>-('Probois 43 - Bilan'!J16-'Probois 43 - Bilan'!I16)</f>
        <v>-24742</v>
      </c>
      <c r="K18" s="156">
        <f>-('Probois 43 - Bilan'!K16-'Probois 43 - Bilan'!J16)</f>
        <v>-25968</v>
      </c>
      <c r="L18" s="156">
        <f>-('Probois 43 - Bilan'!L16-'Probois 43 - Bilan'!K16)</f>
        <v>-27277</v>
      </c>
      <c r="M18" s="200"/>
    </row>
    <row r="19" spans="2:13" s="145" customFormat="1" ht="15" outlineLevel="1">
      <c r="B19" s="155" t="s">
        <v>235</v>
      </c>
      <c r="C19" s="156"/>
      <c r="D19" s="156">
        <f>-('Probois 43 - Bilan'!D17-'Probois 43 - Bilan'!C17)</f>
        <v>-511419</v>
      </c>
      <c r="E19" s="156">
        <f>-('Probois 43 - Bilan'!E17-'Probois 43 - Bilan'!D17)</f>
        <v>-338234</v>
      </c>
      <c r="F19" s="156">
        <f>-('Probois 43 - Bilan'!F17-'Probois 43 - Bilan'!E17)</f>
        <v>390554</v>
      </c>
      <c r="G19" s="156">
        <f>-('Probois 43 - Bilan'!G17-'Probois 43 - Bilan'!F17)</f>
        <v>102511</v>
      </c>
      <c r="H19" s="156"/>
      <c r="I19" s="156">
        <v>-645</v>
      </c>
      <c r="J19" s="156">
        <f>-('Probois 43 - Bilan'!J17-'Probois 43 - Bilan'!I17)</f>
        <v>645</v>
      </c>
      <c r="K19" s="156">
        <f>-('Probois 43 - Bilan'!K17-'Probois 43 - Bilan'!J17)</f>
        <v>0</v>
      </c>
      <c r="L19" s="156">
        <f>-('Probois 43 - Bilan'!L17-'Probois 43 - Bilan'!K17)</f>
        <v>0</v>
      </c>
      <c r="M19" s="200"/>
    </row>
    <row r="20" spans="2:13" s="145" customFormat="1" ht="15" outlineLevel="1">
      <c r="B20" s="155" t="s">
        <v>236</v>
      </c>
      <c r="C20" s="156"/>
      <c r="D20" s="156">
        <f>-('Probois 43 - Bilan'!D19-'Probois 43 - Bilan'!C19)</f>
        <v>3953</v>
      </c>
      <c r="E20" s="156">
        <f>-('Probois 43 - Bilan'!E19-'Probois 43 - Bilan'!D19)</f>
        <v>-520</v>
      </c>
      <c r="F20" s="156">
        <f>-('Probois 43 - Bilan'!F19-'Probois 43 - Bilan'!E19)</f>
        <v>-4638</v>
      </c>
      <c r="G20" s="156">
        <f>-('Probois 43 - Bilan'!G19-'Probois 43 - Bilan'!F19)</f>
        <v>3255</v>
      </c>
      <c r="H20" s="156"/>
      <c r="I20" s="156">
        <v>0</v>
      </c>
      <c r="J20" s="156">
        <f>-('Probois 43 - Bilan'!J19-'Probois 43 - Bilan'!I19)</f>
        <v>0</v>
      </c>
      <c r="K20" s="156">
        <f>-('Probois 43 - Bilan'!K19-'Probois 43 - Bilan'!J19)</f>
        <v>0</v>
      </c>
      <c r="L20" s="156">
        <f>-('Probois 43 - Bilan'!L19-'Probois 43 - Bilan'!K19)</f>
        <v>0</v>
      </c>
      <c r="M20" s="200"/>
    </row>
    <row r="21" spans="2:13" s="145" customFormat="1" ht="15" outlineLevel="1">
      <c r="B21" s="155" t="s">
        <v>237</v>
      </c>
      <c r="C21" s="156"/>
      <c r="D21" s="156">
        <f>'Probois 43 - Bilan'!D48-'Probois 43 - Bilan'!C48</f>
        <v>0</v>
      </c>
      <c r="E21" s="156">
        <f>'Probois 43 - Bilan'!E48-'Probois 43 - Bilan'!D48</f>
        <v>0</v>
      </c>
      <c r="F21" s="156">
        <f>'Probois 43 - Bilan'!F48-'Probois 43 - Bilan'!E48</f>
        <v>0</v>
      </c>
      <c r="G21" s="156">
        <f>'Probois 43 - Bilan'!G48-'Probois 43 - Bilan'!F48</f>
        <v>0</v>
      </c>
      <c r="H21" s="156"/>
      <c r="I21" s="156">
        <v>0</v>
      </c>
      <c r="J21" s="156">
        <f>'Probois 43 - Bilan'!J48-'Probois 43 - Bilan'!I48</f>
        <v>0</v>
      </c>
      <c r="K21" s="156">
        <f>'Probois 43 - Bilan'!K48-'Probois 43 - Bilan'!J48</f>
        <v>0</v>
      </c>
      <c r="L21" s="156">
        <f>'Probois 43 - Bilan'!L48-'Probois 43 - Bilan'!K48</f>
        <v>0</v>
      </c>
      <c r="M21" s="200"/>
    </row>
    <row r="22" spans="2:13" s="145" customFormat="1" ht="15" outlineLevel="1">
      <c r="B22" s="155" t="s">
        <v>238</v>
      </c>
      <c r="C22" s="156"/>
      <c r="D22" s="156">
        <f>'Probois 43 - Bilan'!D49-'Probois 43 - Bilan'!C49</f>
        <v>47128</v>
      </c>
      <c r="E22" s="156">
        <f>'Probois 43 - Bilan'!E49-'Probois 43 - Bilan'!D49</f>
        <v>257942</v>
      </c>
      <c r="F22" s="156">
        <f>'Probois 43 - Bilan'!F49-'Probois 43 - Bilan'!E49</f>
        <v>53327</v>
      </c>
      <c r="G22" s="156">
        <f>'Probois 43 - Bilan'!G49-'Probois 43 - Bilan'!F49</f>
        <v>-214127</v>
      </c>
      <c r="H22" s="156"/>
      <c r="I22" s="156">
        <v>14742</v>
      </c>
      <c r="J22" s="156">
        <f>'Probois 43 - Bilan'!J49-'Probois 43 - Bilan'!I49</f>
        <v>53303</v>
      </c>
      <c r="K22" s="156">
        <f>'Probois 43 - Bilan'!K49-'Probois 43 - Bilan'!J49</f>
        <v>38421</v>
      </c>
      <c r="L22" s="156">
        <f>'Probois 43 - Bilan'!L49-'Probois 43 - Bilan'!K49</f>
        <v>40356</v>
      </c>
      <c r="M22" s="200"/>
    </row>
    <row r="23" spans="2:13" s="145" customFormat="1" ht="15" outlineLevel="1">
      <c r="B23" s="155" t="s">
        <v>239</v>
      </c>
      <c r="C23" s="156"/>
      <c r="D23" s="156">
        <f>'Probois 43 - Bilan'!D50-'Probois 43 - Bilan'!C50</f>
        <v>26281</v>
      </c>
      <c r="E23" s="156">
        <f>'Probois 43 - Bilan'!E50-'Probois 43 - Bilan'!D50</f>
        <v>28422</v>
      </c>
      <c r="F23" s="156">
        <f>'Probois 43 - Bilan'!F50-'Probois 43 - Bilan'!E50</f>
        <v>-33905</v>
      </c>
      <c r="G23" s="156">
        <f>'Probois 43 - Bilan'!G50-'Probois 43 - Bilan'!F50</f>
        <v>20339</v>
      </c>
      <c r="H23" s="156"/>
      <c r="I23" s="156">
        <v>-1248</v>
      </c>
      <c r="J23" s="156">
        <f>'Probois 43 - Bilan'!J50-'Probois 43 - Bilan'!I50</f>
        <v>4859</v>
      </c>
      <c r="K23" s="156">
        <f>'Probois 43 - Bilan'!K50-'Probois 43 - Bilan'!J50</f>
        <v>-1417</v>
      </c>
      <c r="L23" s="156">
        <f>'Probois 43 - Bilan'!L50-'Probois 43 - Bilan'!K50</f>
        <v>4891</v>
      </c>
      <c r="M23" s="200"/>
    </row>
    <row r="24" spans="2:13" s="145" customFormat="1" ht="15" outlineLevel="1">
      <c r="B24" s="155" t="s">
        <v>251</v>
      </c>
      <c r="C24" s="156"/>
      <c r="D24" s="156">
        <f>'Probois 43 - Bilan'!D51-'Probois 43 - Bilan'!C51</f>
        <v>0</v>
      </c>
      <c r="E24" s="156">
        <f>'Probois 43 - Bilan'!E51-'Probois 43 - Bilan'!D51</f>
        <v>0</v>
      </c>
      <c r="F24" s="156">
        <f>'Probois 43 - Bilan'!F51-'Probois 43 - Bilan'!E51</f>
        <v>0</v>
      </c>
      <c r="G24" s="156">
        <f>'Probois 43 - Bilan'!G51-'Probois 43 - Bilan'!F51</f>
        <v>0</v>
      </c>
      <c r="H24" s="156"/>
      <c r="I24" s="156">
        <v>0</v>
      </c>
      <c r="J24" s="156">
        <f>'Probois 43 - Bilan'!J51-'Probois 43 - Bilan'!I51</f>
        <v>0</v>
      </c>
      <c r="K24" s="156">
        <f>'Probois 43 - Bilan'!K51-'Probois 43 - Bilan'!J51</f>
        <v>0</v>
      </c>
      <c r="L24" s="156">
        <f>'Probois 43 - Bilan'!L51-'Probois 43 - Bilan'!K51</f>
        <v>0</v>
      </c>
      <c r="M24" s="200"/>
    </row>
    <row r="25" spans="2:13" s="145" customFormat="1" ht="15" outlineLevel="1">
      <c r="B25" s="155" t="s">
        <v>240</v>
      </c>
      <c r="C25" s="200"/>
      <c r="D25" s="156">
        <f>'Probois 43 - Bilan'!D52-'Probois 43 - Bilan'!C52</f>
        <v>13038</v>
      </c>
      <c r="E25" s="156">
        <f>'Probois 43 - Bilan'!E52-'Probois 43 - Bilan'!D52</f>
        <v>-6484</v>
      </c>
      <c r="F25" s="156">
        <f>'Probois 43 - Bilan'!F52-'Probois 43 - Bilan'!E52</f>
        <v>-2472</v>
      </c>
      <c r="G25" s="156">
        <f>'Probois 43 - Bilan'!G52-'Probois 43 - Bilan'!F52</f>
        <v>-7</v>
      </c>
      <c r="H25" s="156"/>
      <c r="I25" s="156">
        <v>0</v>
      </c>
      <c r="J25" s="156">
        <f>'Probois 43 - Bilan'!J52-'Probois 43 - Bilan'!I52</f>
        <v>0</v>
      </c>
      <c r="K25" s="156">
        <f>'Probois 43 - Bilan'!K52-'Probois 43 - Bilan'!J52</f>
        <v>0</v>
      </c>
      <c r="L25" s="156">
        <f>'Probois 43 - Bilan'!L52-'Probois 43 - Bilan'!K52</f>
        <v>0</v>
      </c>
      <c r="M25" s="200"/>
    </row>
    <row r="26" spans="2:13" s="145" customFormat="1" ht="15" outlineLevel="1">
      <c r="B26" s="157" t="s">
        <v>241</v>
      </c>
      <c r="C26" s="156"/>
      <c r="D26" s="156">
        <f>'Probois 43 - Bilan'!D53-'Probois 43 - Bilan'!C53</f>
        <v>0</v>
      </c>
      <c r="E26" s="156">
        <f>'Probois 43 - Bilan'!E53-'Probois 43 - Bilan'!D53</f>
        <v>0</v>
      </c>
      <c r="F26" s="156">
        <f>'Probois 43 - Bilan'!F53-'Probois 43 - Bilan'!E53</f>
        <v>0</v>
      </c>
      <c r="G26" s="156">
        <f>'Probois 43 - Bilan'!G53-'Probois 43 - Bilan'!F53</f>
        <v>0</v>
      </c>
      <c r="H26" s="156"/>
      <c r="I26" s="156">
        <v>0</v>
      </c>
      <c r="J26" s="156">
        <f>'Probois 43 - Bilan'!J53-'Probois 43 - Bilan'!I53</f>
        <v>0</v>
      </c>
      <c r="K26" s="156">
        <f>'Probois 43 - Bilan'!K53-'Probois 43 - Bilan'!J53</f>
        <v>0</v>
      </c>
      <c r="L26" s="156">
        <f>'Probois 43 - Bilan'!L53-'Probois 43 - Bilan'!K53</f>
        <v>0</v>
      </c>
      <c r="M26" s="200"/>
    </row>
    <row r="27" spans="2:13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F28" si="0">SUM(D12:D15)</f>
        <v>-206703</v>
      </c>
      <c r="E28" s="160">
        <f t="shared" si="0"/>
        <v>-100438</v>
      </c>
      <c r="F28" s="160">
        <f t="shared" si="0"/>
        <v>433908</v>
      </c>
      <c r="G28" s="160">
        <f t="shared" ref="G28" si="1">SUM(G12:G15)</f>
        <v>-29268</v>
      </c>
      <c r="H28" s="160"/>
      <c r="I28" s="160">
        <v>213699</v>
      </c>
      <c r="J28" s="160">
        <f t="shared" ref="J28" si="2">SUM(J12:J15)</f>
        <v>191275</v>
      </c>
      <c r="K28" s="160">
        <f t="shared" ref="K28:L28" si="3">SUM(K12:K15)</f>
        <v>174334</v>
      </c>
      <c r="L28" s="160">
        <f t="shared" si="3"/>
        <v>193883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150"/>
      <c r="H30" s="219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>
        <f>-('Probois 43 - Bilan'!D9-'Probois 43 - Bilan'!C9-'Probois 43 - P&amp;L'!D230)</f>
        <v>0</v>
      </c>
      <c r="E31" s="158">
        <f>-('Probois 43 - Bilan'!E9-'Probois 43 - Bilan'!D9-'Probois 43 - P&amp;L'!E230)</f>
        <v>-491</v>
      </c>
      <c r="F31" s="158">
        <f>-('Probois 43 - Bilan'!F9-'Probois 43 - Bilan'!E9-'Probois 43 - P&amp;L'!F230)</f>
        <v>-5911</v>
      </c>
      <c r="G31" s="158">
        <f>-('Probois 43 - Bilan'!G9-'Probois 43 - Bilan'!F9-'Probois 43 - P&amp;L'!G230)</f>
        <v>0</v>
      </c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>
        <f>-('Probois 43 - Bilan'!D10-'Probois 43 - Bilan'!C10-'Probois 43 - P&amp;L'!D231)</f>
        <v>-1604</v>
      </c>
      <c r="E32" s="158">
        <f>-('Probois 43 - Bilan'!E10-'Probois 43 - Bilan'!D10-'Probois 43 - P&amp;L'!E231)</f>
        <v>-3689</v>
      </c>
      <c r="F32" s="158">
        <f>-('Probois 43 - Bilan'!F10-'Probois 43 - Bilan'!E10-'Probois 43 - P&amp;L'!F231)</f>
        <v>-62027</v>
      </c>
      <c r="G32" s="158">
        <f>-('Probois 43 - Bilan'!G10-'Probois 43 - Bilan'!F10-'Probois 43 - P&amp;L'!G231)</f>
        <v>-933</v>
      </c>
      <c r="H32" s="158"/>
      <c r="I32" s="158"/>
      <c r="J32" s="158"/>
      <c r="K32" s="158"/>
      <c r="L32" s="158"/>
      <c r="M32" s="201"/>
    </row>
    <row r="33" spans="2:17">
      <c r="B33" s="151" t="s">
        <v>197</v>
      </c>
      <c r="C33" s="158"/>
      <c r="D33" s="158">
        <f>-('Probois 43 - Bilan'!D11-'Probois 43 - Bilan'!C11)</f>
        <v>-10000</v>
      </c>
      <c r="E33" s="158">
        <f>-('Probois 43 - Bilan'!E11-'Probois 43 - Bilan'!D11)</f>
        <v>-153</v>
      </c>
      <c r="F33" s="158">
        <f>-('Probois 43 - Bilan'!F11-'Probois 43 - Bilan'!E11)</f>
        <v>0</v>
      </c>
      <c r="G33" s="158">
        <f>-('Probois 43 - Bilan'!G11-'Probois 43 - Bilan'!F11)</f>
        <v>0</v>
      </c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-11604</v>
      </c>
      <c r="E35" s="160">
        <f>SUM(E31:E34)</f>
        <v>-4333</v>
      </c>
      <c r="F35" s="160">
        <f>SUM(F31:F34)</f>
        <v>-67938</v>
      </c>
      <c r="G35" s="160">
        <f>SUM(G31:G34)</f>
        <v>-933</v>
      </c>
      <c r="H35" s="160"/>
      <c r="I35" s="160">
        <v>0</v>
      </c>
      <c r="J35" s="160">
        <f t="shared" ref="J35:L35" si="4">SUM(J31:J33)</f>
        <v>0</v>
      </c>
      <c r="K35" s="160">
        <f t="shared" si="4"/>
        <v>0</v>
      </c>
      <c r="L35" s="160">
        <f t="shared" si="4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149"/>
      <c r="H37" s="220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SUM(D39:D42)</f>
        <v>2246</v>
      </c>
      <c r="E38" s="205">
        <f>SUM(E39:E42)</f>
        <v>8640</v>
      </c>
      <c r="F38" s="205">
        <f>SUM(F39:F42)</f>
        <v>25108</v>
      </c>
      <c r="G38" s="205">
        <f>SUM(G39:G42)</f>
        <v>30425</v>
      </c>
      <c r="H38" s="134"/>
      <c r="I38" s="205">
        <v>16000</v>
      </c>
      <c r="J38" s="205">
        <f>'Probois 43 - P&amp;L'!J240</f>
        <v>16000</v>
      </c>
      <c r="K38" s="205">
        <f>'Probois 43 - P&amp;L'!K240</f>
        <v>16000</v>
      </c>
      <c r="L38" s="205">
        <f>'Probois 43 - P&amp;L'!L240</f>
        <v>16000</v>
      </c>
      <c r="M38" s="205"/>
      <c r="N38" s="134"/>
      <c r="O38" s="134"/>
      <c r="P38" s="134"/>
      <c r="Q38" s="134"/>
    </row>
    <row r="39" spans="2:17" s="137" customFormat="1" ht="12.75" outlineLevel="1">
      <c r="B39" s="164" t="str">
        <f>'Probois 43 - P&amp;L'!B241</f>
        <v>Intérêts de C/C sc des sucs</v>
      </c>
      <c r="C39" s="206"/>
      <c r="D39" s="206">
        <f>'Probois 43 - P&amp;L'!D241</f>
        <v>2231</v>
      </c>
      <c r="E39" s="206">
        <f>'Probois 43 - P&amp;L'!E241</f>
        <v>8522</v>
      </c>
      <c r="F39" s="206">
        <f>'Probois 43 - P&amp;L'!F241</f>
        <v>24977</v>
      </c>
      <c r="G39" s="206">
        <f>'Probois 43 - P&amp;L'!G241</f>
        <v>30325</v>
      </c>
      <c r="H39" s="133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s="137" customFormat="1" ht="12.75" outlineLevel="1">
      <c r="B40" s="164" t="str">
        <f>'Probois 43 - P&amp;L'!B242</f>
        <v>Gain de change</v>
      </c>
      <c r="C40" s="206"/>
      <c r="D40" s="206">
        <f>'Probois 43 - P&amp;L'!D242</f>
        <v>14</v>
      </c>
      <c r="E40" s="206">
        <f>'Probois 43 - P&amp;L'!E242</f>
        <v>117</v>
      </c>
      <c r="F40" s="206">
        <f>'Probois 43 - P&amp;L'!F242</f>
        <v>106</v>
      </c>
      <c r="G40" s="206">
        <f>'Probois 43 - P&amp;L'!G242</f>
        <v>52</v>
      </c>
      <c r="H40" s="133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outlineLevel="1">
      <c r="B41" s="164" t="str">
        <f>'Probois 43 - P&amp;L'!B243</f>
        <v>Produit net cession VMP</v>
      </c>
      <c r="C41" s="206"/>
      <c r="D41" s="206">
        <f>'Probois 43 - P&amp;L'!D243</f>
        <v>1</v>
      </c>
      <c r="E41" s="206">
        <f>'Probois 43 - P&amp;L'!E243</f>
        <v>1</v>
      </c>
      <c r="F41" s="206">
        <f>'Probois 43 - P&amp;L'!F243</f>
        <v>25</v>
      </c>
      <c r="G41" s="206">
        <f>'Probois 43 - P&amp;L'!G243</f>
        <v>48</v>
      </c>
      <c r="H41" s="133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outlineLevel="1">
      <c r="B42" s="164"/>
      <c r="C42" s="206"/>
      <c r="D42" s="206"/>
      <c r="E42" s="206"/>
      <c r="F42" s="206"/>
      <c r="G42" s="206"/>
      <c r="H42" s="133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>
      <c r="B43" s="161" t="s">
        <v>28</v>
      </c>
      <c r="C43" s="205"/>
      <c r="D43" s="205">
        <f>SUM(D44:D50)</f>
        <v>-766</v>
      </c>
      <c r="E43" s="205">
        <f>SUM(E44:E50)</f>
        <v>-6107</v>
      </c>
      <c r="F43" s="205">
        <f>SUM(F44:F50)</f>
        <v>-6453</v>
      </c>
      <c r="G43" s="205">
        <f>SUM(G44:G50)</f>
        <v>-4547</v>
      </c>
      <c r="H43" s="134"/>
      <c r="I43" s="205">
        <v>-3347</v>
      </c>
      <c r="J43" s="205">
        <f>'Probois 43 - P&amp;L'!J245</f>
        <v>-2101</v>
      </c>
      <c r="K43" s="205">
        <f>'Probois 43 - P&amp;L'!K245</f>
        <v>-1155</v>
      </c>
      <c r="L43" s="205">
        <f>'Probois 43 - P&amp;L'!L245</f>
        <v>-315</v>
      </c>
      <c r="M43" s="205"/>
      <c r="N43" s="134"/>
      <c r="O43" s="134"/>
      <c r="P43" s="134"/>
      <c r="Q43" s="134"/>
    </row>
    <row r="44" spans="2:17" s="137" customFormat="1" ht="12.75" outlineLevel="1">
      <c r="B44" s="164" t="str">
        <f>'Probois 43 - P&amp;L'!B246</f>
        <v>Intérêts des emprunts BPI</v>
      </c>
      <c r="C44" s="206"/>
      <c r="D44" s="206">
        <f>'Probois 43 - P&amp;L'!D246</f>
        <v>-50</v>
      </c>
      <c r="E44" s="206">
        <f>'Probois 43 - P&amp;L'!E246</f>
        <v>0</v>
      </c>
      <c r="F44" s="206">
        <f>'Probois 43 - P&amp;L'!F246</f>
        <v>0</v>
      </c>
      <c r="G44" s="206">
        <f>'Probois 43 - P&amp;L'!G246</f>
        <v>0</v>
      </c>
      <c r="H44" s="133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outlineLevel="1">
      <c r="B45" s="164" t="str">
        <f>'Probois 43 - P&amp;L'!B247</f>
        <v>Intérêt d'emprunt PGE</v>
      </c>
      <c r="C45" s="206"/>
      <c r="D45" s="206">
        <f>'Probois 43 - P&amp;L'!D247</f>
        <v>-565</v>
      </c>
      <c r="E45" s="206">
        <f>'Probois 43 - P&amp;L'!E247</f>
        <v>-1774</v>
      </c>
      <c r="F45" s="206">
        <f>'Probois 43 - P&amp;L'!F247</f>
        <v>-1320</v>
      </c>
      <c r="G45" s="206">
        <f>'Probois 43 - P&amp;L'!G247</f>
        <v>-902</v>
      </c>
      <c r="H45" s="133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s="137" customFormat="1" ht="12.75" outlineLevel="1">
      <c r="B46" s="164" t="str">
        <f>'Probois 43 - P&amp;L'!B248</f>
        <v>Intérêt prêt BPI France</v>
      </c>
      <c r="C46" s="206"/>
      <c r="D46" s="206">
        <f>'Probois 43 - P&amp;L'!D248</f>
        <v>0</v>
      </c>
      <c r="E46" s="206">
        <f>'Probois 43 - P&amp;L'!E248</f>
        <v>-4333</v>
      </c>
      <c r="F46" s="206">
        <f>'Probois 43 - P&amp;L'!F248</f>
        <v>-4364</v>
      </c>
      <c r="G46" s="206">
        <f>'Probois 43 - P&amp;L'!G248</f>
        <v>-3602</v>
      </c>
      <c r="H46" s="133"/>
      <c r="I46" s="206"/>
      <c r="J46" s="206"/>
      <c r="K46" s="206"/>
      <c r="L46" s="206"/>
      <c r="M46" s="206"/>
      <c r="N46" s="138"/>
      <c r="O46" s="138"/>
      <c r="P46" s="138"/>
      <c r="Q46" s="138"/>
    </row>
    <row r="47" spans="2:17" s="137" customFormat="1" ht="12.75" outlineLevel="1">
      <c r="B47" s="164" t="str">
        <f>'Probois 43 - P&amp;L'!B249</f>
        <v>Intérêts sc des sucs</v>
      </c>
      <c r="C47" s="206"/>
      <c r="D47" s="206">
        <f>'Probois 43 - P&amp;L'!D249</f>
        <v>-139</v>
      </c>
      <c r="E47" s="206">
        <f>'Probois 43 - P&amp;L'!E249</f>
        <v>0</v>
      </c>
      <c r="F47" s="206">
        <f>'Probois 43 - P&amp;L'!F249</f>
        <v>0</v>
      </c>
      <c r="G47" s="206">
        <f>'Probois 43 - P&amp;L'!G249</f>
        <v>0</v>
      </c>
      <c r="H47" s="133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outlineLevel="1">
      <c r="B48" s="164" t="str">
        <f>'Probois 43 - P&amp;L'!B250</f>
        <v>Escompte accordé</v>
      </c>
      <c r="C48" s="206"/>
      <c r="D48" s="206">
        <f>'Probois 43 - P&amp;L'!D250</f>
        <v>0</v>
      </c>
      <c r="E48" s="206">
        <f>'Probois 43 - P&amp;L'!E250</f>
        <v>0</v>
      </c>
      <c r="F48" s="206">
        <f>'Probois 43 - P&amp;L'!F250</f>
        <v>-753</v>
      </c>
      <c r="G48" s="206">
        <f>'Probois 43 - P&amp;L'!G250</f>
        <v>0</v>
      </c>
      <c r="H48" s="133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outlineLevel="1">
      <c r="B49" s="164" t="str">
        <f>'Probois 43 - P&amp;L'!B251</f>
        <v>Perte de change</v>
      </c>
      <c r="C49" s="206"/>
      <c r="D49" s="206">
        <f>'Probois 43 - P&amp;L'!D251</f>
        <v>-12</v>
      </c>
      <c r="E49" s="206">
        <f>'Probois 43 - P&amp;L'!E251</f>
        <v>0</v>
      </c>
      <c r="F49" s="206">
        <f>'Probois 43 - P&amp;L'!F251</f>
        <v>-16</v>
      </c>
      <c r="G49" s="206">
        <f>'Probois 43 - P&amp;L'!G251</f>
        <v>-43</v>
      </c>
      <c r="H49" s="133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outlineLevel="1">
      <c r="B50" s="164"/>
      <c r="C50" s="206"/>
      <c r="D50" s="206"/>
      <c r="E50" s="206"/>
      <c r="F50" s="206"/>
      <c r="G50" s="206"/>
      <c r="H50" s="133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>
      <c r="B51" s="161" t="s">
        <v>213</v>
      </c>
      <c r="C51" s="152"/>
      <c r="D51" s="152">
        <f>SUM(D52:D55)</f>
        <v>199847</v>
      </c>
      <c r="E51" s="152">
        <f>SUM(E52:E55)</f>
        <v>-19500</v>
      </c>
      <c r="F51" s="152">
        <f>SUM(F52:F55)</f>
        <v>-69378</v>
      </c>
      <c r="G51" s="152">
        <f>SUM(G52:G55)</f>
        <v>-100033</v>
      </c>
      <c r="H51" s="152"/>
      <c r="I51" s="152">
        <v>-100349</v>
      </c>
      <c r="J51" s="152">
        <f>'Probois 43 - Bilan'!J38-'Probois 43 - Bilan'!I38</f>
        <v>-80468</v>
      </c>
      <c r="K51" s="152">
        <f>'Probois 43 - Bilan'!K38-'Probois 43 - Bilan'!J38</f>
        <v>-40000</v>
      </c>
      <c r="L51" s="152">
        <f>'Probois 43 - Bilan'!L38-'Probois 43 - Bilan'!K38</f>
        <v>-30000</v>
      </c>
      <c r="M51" s="205"/>
      <c r="N51" s="134"/>
      <c r="O51" s="134"/>
      <c r="P51" s="134"/>
      <c r="Q51" s="134"/>
    </row>
    <row r="52" spans="2:17" s="137" customFormat="1" ht="12.75" outlineLevel="1">
      <c r="B52" s="164" t="str">
        <f>'Probois 43 - Bilan'!B39</f>
        <v>Emprunt CIC PGE n°43106</v>
      </c>
      <c r="C52" s="206"/>
      <c r="D52" s="206">
        <f>'Probois 43 - Bilan'!D39-'Probois 43 - Bilan'!C39</f>
        <v>0</v>
      </c>
      <c r="E52" s="206">
        <f>'Probois 43 - Bilan'!E39-'Probois 43 - Bilan'!D39</f>
        <v>-19744</v>
      </c>
      <c r="F52" s="206">
        <f>'Probois 43 - Bilan'!F39-'Probois 43 - Bilan'!E39</f>
        <v>-59511</v>
      </c>
      <c r="G52" s="206">
        <f>'Probois 43 - Bilan'!G39-'Probois 43 - Bilan'!F39</f>
        <v>-59928</v>
      </c>
      <c r="H52" s="133"/>
      <c r="I52" s="206"/>
      <c r="J52" s="206"/>
      <c r="K52" s="206"/>
      <c r="L52" s="206"/>
      <c r="M52" s="206"/>
      <c r="N52" s="138"/>
      <c r="O52" s="138"/>
      <c r="P52" s="138"/>
      <c r="Q52" s="138"/>
    </row>
    <row r="53" spans="2:17" s="137" customFormat="1" ht="12.75" outlineLevel="1">
      <c r="B53" s="164" t="str">
        <f>'Probois 43 - Bilan'!B40</f>
        <v>Emprunt BPI n°286</v>
      </c>
      <c r="C53" s="206"/>
      <c r="D53" s="206">
        <f>'Probois 43 - Bilan'!D40-'Probois 43 - Bilan'!C40</f>
        <v>200000</v>
      </c>
      <c r="E53" s="206">
        <f>'Probois 43 - Bilan'!E40-'Probois 43 - Bilan'!D40</f>
        <v>0</v>
      </c>
      <c r="F53" s="206">
        <f>'Probois 43 - Bilan'!F40-'Probois 43 - Bilan'!E40</f>
        <v>-10000</v>
      </c>
      <c r="G53" s="206">
        <f>'Probois 43 - Bilan'!G40-'Probois 43 - Bilan'!F40</f>
        <v>-40000</v>
      </c>
      <c r="H53" s="133"/>
      <c r="I53" s="206"/>
      <c r="J53" s="206"/>
      <c r="K53" s="206"/>
      <c r="L53" s="206"/>
      <c r="M53" s="206"/>
      <c r="N53" s="138"/>
      <c r="O53" s="138"/>
      <c r="P53" s="138"/>
      <c r="Q53" s="138"/>
    </row>
    <row r="54" spans="2:17" s="137" customFormat="1" ht="12.75" outlineLevel="1">
      <c r="B54" s="164" t="str">
        <f>'Probois 43 - Bilan'!B41</f>
        <v>Intérêt couru / emprunt</v>
      </c>
      <c r="C54" s="206"/>
      <c r="D54" s="206">
        <f>'Probois 43 - Bilan'!D41-'Probois 43 - Bilan'!C41</f>
        <v>-153</v>
      </c>
      <c r="E54" s="206">
        <f>'Probois 43 - Bilan'!E41-'Probois 43 - Bilan'!D41</f>
        <v>244</v>
      </c>
      <c r="F54" s="206">
        <f>'Probois 43 - Bilan'!F41-'Probois 43 - Bilan'!E41</f>
        <v>133</v>
      </c>
      <c r="G54" s="206">
        <f>'Probois 43 - Bilan'!G41-'Probois 43 - Bilan'!F41</f>
        <v>-105</v>
      </c>
      <c r="H54" s="133"/>
      <c r="I54" s="206"/>
      <c r="J54" s="206"/>
      <c r="K54" s="206"/>
      <c r="L54" s="206"/>
      <c r="M54" s="206"/>
      <c r="N54" s="138"/>
      <c r="O54" s="138"/>
      <c r="P54" s="138"/>
      <c r="Q54" s="138"/>
    </row>
    <row r="55" spans="2:17" s="137" customFormat="1" ht="12.75" outlineLevel="1">
      <c r="B55" s="164"/>
      <c r="C55" s="206"/>
      <c r="D55" s="206"/>
      <c r="E55" s="206"/>
      <c r="F55" s="206"/>
      <c r="G55" s="206"/>
      <c r="H55" s="133"/>
      <c r="I55" s="206"/>
      <c r="J55" s="206"/>
      <c r="K55" s="206"/>
      <c r="L55" s="206"/>
      <c r="M55" s="206"/>
      <c r="N55" s="138"/>
      <c r="O55" s="138"/>
      <c r="P55" s="138"/>
      <c r="Q55" s="138"/>
    </row>
    <row r="56" spans="2:17">
      <c r="B56" s="161" t="s">
        <v>214</v>
      </c>
      <c r="C56" s="152"/>
      <c r="D56" s="152">
        <f>SUM(D57:D59)</f>
        <v>-37490</v>
      </c>
      <c r="E56" s="152">
        <f>SUM(E57:E59)</f>
        <v>0</v>
      </c>
      <c r="F56" s="152">
        <f>SUM(F57:F59)</f>
        <v>0</v>
      </c>
      <c r="G56" s="152">
        <f>SUM(G57:G59)</f>
        <v>0</v>
      </c>
      <c r="H56" s="152"/>
      <c r="I56" s="152"/>
      <c r="J56" s="152"/>
      <c r="K56" s="152"/>
      <c r="L56" s="152"/>
      <c r="M56" s="205"/>
      <c r="N56" s="134"/>
      <c r="O56" s="134"/>
      <c r="P56" s="134"/>
      <c r="Q56" s="134"/>
    </row>
    <row r="57" spans="2:17" s="137" customFormat="1" ht="12.75" outlineLevel="1">
      <c r="B57" s="164" t="str">
        <f>'Probois 43 - Bilan'!B44</f>
        <v>C/C sc des sucs</v>
      </c>
      <c r="C57" s="206"/>
      <c r="D57" s="206">
        <f>'Probois 43 - Bilan'!D44-'Probois 43 - Bilan'!C44</f>
        <v>-37189</v>
      </c>
      <c r="E57" s="206">
        <f>'Probois 43 - Bilan'!E44-'Probois 43 - Bilan'!D44</f>
        <v>0</v>
      </c>
      <c r="F57" s="206">
        <f>'Probois 43 - Bilan'!F44-'Probois 43 - Bilan'!E44</f>
        <v>0</v>
      </c>
      <c r="G57" s="206">
        <f>'Probois 43 - Bilan'!G44-'Probois 43 - Bilan'!F44</f>
        <v>0</v>
      </c>
      <c r="H57" s="133"/>
      <c r="I57" s="206"/>
      <c r="J57" s="206"/>
      <c r="K57" s="206"/>
      <c r="L57" s="206"/>
      <c r="M57" s="206"/>
      <c r="N57" s="138"/>
      <c r="O57" s="138"/>
      <c r="P57" s="138"/>
      <c r="Q57" s="138"/>
    </row>
    <row r="58" spans="2:17" s="137" customFormat="1" ht="12.75" outlineLevel="1">
      <c r="B58" s="164" t="str">
        <f>'Probois 43 - Bilan'!B45</f>
        <v>Associé intérêt couru</v>
      </c>
      <c r="C58" s="206"/>
      <c r="D58" s="206">
        <f>'Probois 43 - Bilan'!D45-'Probois 43 - Bilan'!C45</f>
        <v>-301</v>
      </c>
      <c r="E58" s="206">
        <f>'Probois 43 - Bilan'!E45-'Probois 43 - Bilan'!D45</f>
        <v>0</v>
      </c>
      <c r="F58" s="206">
        <f>'Probois 43 - Bilan'!F45-'Probois 43 - Bilan'!E45</f>
        <v>0</v>
      </c>
      <c r="G58" s="206">
        <f>'Probois 43 - Bilan'!G45-'Probois 43 - Bilan'!F45</f>
        <v>0</v>
      </c>
      <c r="H58" s="133"/>
      <c r="I58" s="206"/>
      <c r="J58" s="206"/>
      <c r="K58" s="206"/>
      <c r="L58" s="206"/>
      <c r="M58" s="206"/>
      <c r="N58" s="138"/>
      <c r="O58" s="138"/>
      <c r="P58" s="138"/>
      <c r="Q58" s="138"/>
    </row>
    <row r="59" spans="2:17" s="137" customFormat="1" ht="12.75" outlineLevel="1">
      <c r="B59" s="164"/>
      <c r="C59" s="206"/>
      <c r="D59" s="206"/>
      <c r="E59" s="206"/>
      <c r="F59" s="206"/>
      <c r="G59" s="206"/>
      <c r="H59" s="133"/>
      <c r="I59" s="206"/>
      <c r="J59" s="206"/>
      <c r="K59" s="206"/>
      <c r="L59" s="206"/>
      <c r="M59" s="206"/>
      <c r="N59" s="138"/>
      <c r="O59" s="138"/>
      <c r="P59" s="138"/>
      <c r="Q59" s="138"/>
    </row>
    <row r="60" spans="2:17">
      <c r="B60" s="161" t="s">
        <v>162</v>
      </c>
      <c r="C60" s="134"/>
      <c r="D60" s="134">
        <f>'Probois 43 - Bilan'!C30</f>
        <v>0</v>
      </c>
      <c r="E60" s="134">
        <f>'Probois 43 - Bilan'!D30</f>
        <v>0</v>
      </c>
      <c r="F60" s="134">
        <f>'Probois 43 - Bilan'!E30</f>
        <v>0</v>
      </c>
      <c r="G60" s="134">
        <f>'Probois 43 - Bilan'!F30</f>
        <v>0</v>
      </c>
      <c r="H60" s="134"/>
      <c r="I60" s="134"/>
      <c r="J60" s="134"/>
      <c r="K60" s="134"/>
      <c r="L60" s="134"/>
      <c r="M60" s="205"/>
      <c r="N60" s="134"/>
      <c r="O60" s="134"/>
      <c r="P60" s="134"/>
      <c r="Q60" s="134"/>
    </row>
    <row r="61" spans="2:17" s="137" customFormat="1" ht="12.75" outlineLevel="1">
      <c r="B61" s="162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207"/>
      <c r="N61" s="138"/>
      <c r="O61" s="138"/>
      <c r="P61" s="138"/>
      <c r="Q61" s="138"/>
    </row>
    <row r="62" spans="2:17" s="137" customFormat="1">
      <c r="B62" s="161" t="s">
        <v>263</v>
      </c>
      <c r="C62" s="134"/>
      <c r="D62" s="134">
        <f>-('Probois 43 - Bilan'!C28+'Probois 43 - Bilan'!C29-'Probois 43 - Bilan'!D28)</f>
        <v>0</v>
      </c>
      <c r="E62" s="134">
        <f>-('Probois 43 - Bilan'!D28+'Probois 43 - Bilan'!D29-'Probois 43 - Bilan'!E28)</f>
        <v>-26112</v>
      </c>
      <c r="F62" s="134">
        <f>-('Probois 43 - Bilan'!E28+'Probois 43 - Bilan'!E29-'Probois 43 - Bilan'!F28)</f>
        <v>-110112</v>
      </c>
      <c r="G62" s="134">
        <f>-('Probois 43 - Bilan'!F28+'Probois 43 - Bilan'!F29-'Probois 43 - Bilan'!G28)</f>
        <v>0</v>
      </c>
      <c r="H62" s="134"/>
      <c r="I62" s="134"/>
      <c r="J62" s="134"/>
      <c r="K62" s="134"/>
      <c r="L62" s="134"/>
      <c r="M62" s="207"/>
      <c r="N62" s="138"/>
      <c r="O62" s="138"/>
      <c r="P62" s="138"/>
      <c r="Q62" s="138"/>
    </row>
    <row r="63" spans="2:17" s="137" customFormat="1" ht="12.75" outlineLevel="1">
      <c r="B63" s="162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207"/>
      <c r="N63" s="138"/>
      <c r="O63" s="138"/>
      <c r="P63" s="138"/>
      <c r="Q63" s="138"/>
    </row>
    <row r="64" spans="2:17">
      <c r="B64" s="161" t="s">
        <v>252</v>
      </c>
      <c r="C64" s="205"/>
      <c r="D64" s="205">
        <v>0</v>
      </c>
      <c r="E64" s="205">
        <v>0</v>
      </c>
      <c r="F64" s="205">
        <v>0</v>
      </c>
      <c r="G64" s="205">
        <v>0</v>
      </c>
      <c r="H64" s="134"/>
      <c r="I64" s="134"/>
      <c r="J64" s="134"/>
      <c r="K64" s="134"/>
      <c r="L64" s="134"/>
      <c r="M64" s="205"/>
      <c r="N64" s="134"/>
      <c r="O64" s="134"/>
      <c r="P64" s="134"/>
      <c r="Q64" s="134"/>
    </row>
    <row r="65" spans="2:17" s="137" customFormat="1" ht="12.75" outlineLevel="1">
      <c r="B65" s="166" t="s">
        <v>101</v>
      </c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207"/>
      <c r="N65" s="138"/>
      <c r="O65" s="138"/>
      <c r="P65" s="138"/>
      <c r="Q65" s="138"/>
    </row>
    <row r="66" spans="2:17" s="137" customFormat="1" ht="12.75" outlineLevel="1">
      <c r="B66" s="166" t="s">
        <v>253</v>
      </c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207"/>
      <c r="N66" s="138"/>
      <c r="O66" s="138"/>
      <c r="P66" s="138"/>
      <c r="Q66" s="138"/>
    </row>
    <row r="67" spans="2:17" s="137" customFormat="1" ht="12.75">
      <c r="B67" s="162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207"/>
      <c r="N67" s="138"/>
      <c r="O67" s="138"/>
      <c r="P67" s="138"/>
      <c r="Q67" s="138"/>
    </row>
    <row r="68" spans="2:17">
      <c r="B68" s="159" t="s">
        <v>246</v>
      </c>
      <c r="C68" s="208"/>
      <c r="D68" s="208">
        <f t="shared" ref="D68:L68" si="5">D38+D43+D51+D56+D60+D62+D64</f>
        <v>163837</v>
      </c>
      <c r="E68" s="208">
        <f t="shared" si="5"/>
        <v>-43079</v>
      </c>
      <c r="F68" s="208">
        <f t="shared" si="5"/>
        <v>-160835</v>
      </c>
      <c r="G68" s="208">
        <f t="shared" ref="G68" si="6">G38+G43+G51+G56+G60+G62+G64</f>
        <v>-74155</v>
      </c>
      <c r="H68" s="221"/>
      <c r="I68" s="208">
        <v>-87696</v>
      </c>
      <c r="J68" s="208">
        <f t="shared" si="5"/>
        <v>-66569</v>
      </c>
      <c r="K68" s="208">
        <f t="shared" si="5"/>
        <v>-25155</v>
      </c>
      <c r="L68" s="208">
        <f t="shared" si="5"/>
        <v>-14315</v>
      </c>
      <c r="M68" s="208"/>
    </row>
    <row r="69" spans="2:17">
      <c r="B69" s="163"/>
      <c r="C69" s="163"/>
      <c r="D69" s="163"/>
      <c r="E69" s="163"/>
      <c r="F69" s="163"/>
      <c r="G69" s="163"/>
      <c r="H69" s="151"/>
      <c r="I69" s="163"/>
      <c r="J69" s="163"/>
      <c r="K69" s="163"/>
      <c r="L69" s="163"/>
      <c r="M69" s="203"/>
    </row>
    <row r="70" spans="2:17">
      <c r="B70" s="162" t="s">
        <v>247</v>
      </c>
      <c r="C70" s="138"/>
      <c r="D70" s="138">
        <v>3</v>
      </c>
      <c r="E70" s="138">
        <v>7</v>
      </c>
      <c r="F70" s="138">
        <v>2</v>
      </c>
      <c r="G70" s="138">
        <v>8</v>
      </c>
      <c r="H70" s="138"/>
      <c r="I70" s="138"/>
      <c r="J70" s="138"/>
      <c r="K70" s="138"/>
      <c r="L70" s="138"/>
      <c r="M70" s="207"/>
    </row>
    <row r="71" spans="2:17">
      <c r="B71" s="159" t="s">
        <v>248</v>
      </c>
      <c r="C71" s="160"/>
      <c r="D71" s="160">
        <f t="shared" ref="D71:L71" si="7">D68+D70+D35+D28</f>
        <v>-54467</v>
      </c>
      <c r="E71" s="160">
        <f t="shared" si="7"/>
        <v>-147843</v>
      </c>
      <c r="F71" s="160">
        <f t="shared" si="7"/>
        <v>205137</v>
      </c>
      <c r="G71" s="160">
        <f t="shared" ref="G71" si="8">G68+G70+G35+G28</f>
        <v>-104348</v>
      </c>
      <c r="H71" s="160"/>
      <c r="I71" s="160">
        <v>126003</v>
      </c>
      <c r="J71" s="160">
        <f t="shared" si="7"/>
        <v>124706</v>
      </c>
      <c r="K71" s="160">
        <f t="shared" si="7"/>
        <v>149179</v>
      </c>
      <c r="L71" s="160">
        <f t="shared" si="7"/>
        <v>179568</v>
      </c>
      <c r="M71" s="202"/>
    </row>
    <row r="72" spans="2:17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203"/>
    </row>
    <row r="73" spans="2:17">
      <c r="B73" s="151" t="s">
        <v>249</v>
      </c>
      <c r="C73" s="152"/>
      <c r="D73" s="152">
        <f>'Probois 43 - Bilan'!C18</f>
        <v>323732</v>
      </c>
      <c r="E73" s="152">
        <f>'Probois 43 - Bilan'!D18</f>
        <v>269265</v>
      </c>
      <c r="F73" s="152">
        <f>'Probois 43 - Bilan'!E18</f>
        <v>121422</v>
      </c>
      <c r="G73" s="152">
        <f>'Probois 43 - Bilan'!F18</f>
        <v>326559</v>
      </c>
      <c r="H73" s="152"/>
      <c r="I73" s="152">
        <v>226896</v>
      </c>
      <c r="J73" s="152">
        <f t="shared" ref="J73" si="9">I74</f>
        <v>352899</v>
      </c>
      <c r="K73" s="152">
        <f t="shared" ref="K73" si="10">J74</f>
        <v>477605</v>
      </c>
      <c r="L73" s="152">
        <f t="shared" ref="L73" si="11">K74</f>
        <v>626784</v>
      </c>
      <c r="M73" s="191"/>
    </row>
    <row r="74" spans="2:17">
      <c r="B74" s="159" t="s">
        <v>250</v>
      </c>
      <c r="C74" s="160">
        <f>'Probois 43 - Bilan'!C18</f>
        <v>323732</v>
      </c>
      <c r="D74" s="160">
        <f t="shared" ref="D74:F74" si="12">D71+D73</f>
        <v>269265</v>
      </c>
      <c r="E74" s="160">
        <f>E71+E73</f>
        <v>121422</v>
      </c>
      <c r="F74" s="160">
        <f t="shared" si="12"/>
        <v>326559</v>
      </c>
      <c r="G74" s="160">
        <f t="shared" ref="G74" si="13">G71+G73</f>
        <v>222211</v>
      </c>
      <c r="H74" s="160"/>
      <c r="I74" s="160">
        <v>352899</v>
      </c>
      <c r="J74" s="160">
        <f t="shared" ref="J74" si="14">J71+J73</f>
        <v>477605</v>
      </c>
      <c r="K74" s="160">
        <f t="shared" ref="K74:L74" si="15">K71+K73</f>
        <v>626784</v>
      </c>
      <c r="L74" s="160">
        <f t="shared" si="15"/>
        <v>806352</v>
      </c>
      <c r="M74" s="202"/>
    </row>
    <row r="75" spans="2:17">
      <c r="B75" s="159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205"/>
    </row>
    <row r="76" spans="2:17">
      <c r="B76" s="168" t="s">
        <v>221</v>
      </c>
      <c r="C76" s="167"/>
      <c r="D76" s="167" t="str">
        <f>IF(ABS(D74-'Probois 43 - Bilan'!D18)&lt;0.1,"Validé","Erreur")</f>
        <v>Validé</v>
      </c>
      <c r="E76" s="167" t="str">
        <f>IF(ABS(E74-'Probois 43 - Bilan'!E18)&lt;0.1,"Validé","Erreur")</f>
        <v>Validé</v>
      </c>
      <c r="F76" s="167" t="str">
        <f>IF(ABS(F74-'Probois 43 - Bilan'!F18)&lt;0.1,"Validé","Erreur")</f>
        <v>Validé</v>
      </c>
      <c r="G76" s="167" t="str">
        <f>IF(ABS(G74-'Probois 43 - Bilan'!G18)&lt;0.1,"Validé","Erreur")</f>
        <v>Validé</v>
      </c>
      <c r="H76" s="167"/>
      <c r="I76" s="167" t="s">
        <v>874</v>
      </c>
      <c r="J76" s="167" t="str">
        <f>IF(ABS(J74-'Probois 43 - Bilan'!J18)&lt;0.1,"Validé","Erreur")</f>
        <v>Validé</v>
      </c>
      <c r="K76" s="167" t="str">
        <f>IF(ABS(K74-'Probois 43 - Bilan'!K18)&lt;0.1,"Validé","Erreur")</f>
        <v>Validé</v>
      </c>
      <c r="L76" s="167" t="str">
        <f>IF(ABS(L74-'Probois 43 - Bilan'!L18)&lt;0.1,"Validé","Erreur")</f>
        <v>Validé</v>
      </c>
      <c r="M76" s="209"/>
    </row>
    <row r="77" spans="2:17">
      <c r="C77" s="151"/>
      <c r="D77" s="151"/>
      <c r="E77" s="151"/>
      <c r="F77" s="151"/>
      <c r="G77" s="151"/>
      <c r="H77" s="151"/>
    </row>
    <row r="78" spans="2:17">
      <c r="C78" s="134"/>
      <c r="D78" s="134"/>
      <c r="E78" s="134"/>
      <c r="F78" s="134"/>
      <c r="G78" s="134"/>
      <c r="H78" s="134"/>
      <c r="I78" s="134"/>
      <c r="J78" s="134"/>
      <c r="K78" s="134"/>
      <c r="L78" s="134"/>
    </row>
    <row r="79" spans="2:17">
      <c r="C79" s="136"/>
      <c r="D79" s="136"/>
      <c r="E79" s="136"/>
      <c r="F79" s="136"/>
      <c r="G79" s="136"/>
      <c r="H79" s="136"/>
    </row>
    <row r="80" spans="2:17">
      <c r="C80" s="134"/>
      <c r="D80" s="134"/>
      <c r="E80" s="134"/>
      <c r="F80" s="134"/>
      <c r="G80" s="134"/>
      <c r="H80" s="134"/>
      <c r="I80" s="134"/>
      <c r="J80" s="134"/>
      <c r="K80" s="134"/>
      <c r="L80" s="134"/>
    </row>
  </sheetData>
  <mergeCells count="1">
    <mergeCell ref="B2:B4"/>
  </mergeCells>
  <conditionalFormatting sqref="C76:L76">
    <cfRule type="containsText" dxfId="163" priority="8" operator="containsText" text="Validé">
      <formula>NOT(ISERROR(SEARCH("Validé",C76)))</formula>
    </cfRule>
    <cfRule type="containsText" dxfId="162" priority="9" operator="containsText" text="Erreur">
      <formula>NOT(ISERROR(SEARCH("Erreur",C76)))</formula>
    </cfRule>
  </conditionalFormatting>
  <conditionalFormatting sqref="C73:M73">
    <cfRule type="containsText" dxfId="161" priority="80" operator="containsText" text="Equilibré">
      <formula>NOT(ISERROR(SEARCH("Equilibré",C73)))</formula>
    </cfRule>
    <cfRule type="containsText" dxfId="160" priority="81" operator="containsText" text="Erreur">
      <formula>NOT(ISERROR(SEARCH("Erreur",C73)))</formula>
    </cfRule>
    <cfRule type="containsText" dxfId="159" priority="82" operator="containsText" text="Validé">
      <formula>NOT(ISERROR(SEARCH("Validé",C73)))</formula>
    </cfRule>
    <cfRule type="containsText" dxfId="158" priority="83" operator="containsText" text="Erreur">
      <formula>NOT(ISERROR(SEARCH("Erreur",C73)))</formula>
    </cfRule>
    <cfRule type="colorScale" priority="84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359FB-7F52-1E46-AD64-A6428303CEF1}">
  <sheetPr codeName="Feuil6">
    <tabColor rgb="FF006C4C"/>
  </sheetPr>
  <dimension ref="A2:AP73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M36" sqref="M36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 t="s">
        <v>261</v>
      </c>
      <c r="H2" s="193"/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4">
        <v>45900</v>
      </c>
      <c r="J3" s="244">
        <v>46265</v>
      </c>
      <c r="K3" s="244">
        <v>46630</v>
      </c>
      <c r="L3" s="244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124"/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82005</v>
      </c>
      <c r="D8" s="128">
        <f t="shared" si="0"/>
        <v>80725</v>
      </c>
      <c r="E8" s="128">
        <f t="shared" si="0"/>
        <v>74277</v>
      </c>
      <c r="F8" s="128">
        <f>SUM(F9:F11)</f>
        <v>125960</v>
      </c>
      <c r="G8" s="128">
        <f>SUM(G9:G11)</f>
        <v>108406</v>
      </c>
      <c r="H8" s="128"/>
      <c r="I8" s="128">
        <v>90330</v>
      </c>
      <c r="J8" s="128">
        <v>75148</v>
      </c>
      <c r="K8" s="128">
        <v>61408</v>
      </c>
      <c r="L8" s="128">
        <v>55473</v>
      </c>
    </row>
    <row r="9" spans="2:15">
      <c r="B9" s="131" t="s">
        <v>195</v>
      </c>
      <c r="C9" s="132">
        <f>363+45000</f>
        <v>45363</v>
      </c>
      <c r="D9" s="132">
        <f>66+45000</f>
        <v>45066</v>
      </c>
      <c r="E9" s="132">
        <f>377+45000</f>
        <v>45377</v>
      </c>
      <c r="F9" s="132">
        <f>5079+45000</f>
        <v>50079</v>
      </c>
      <c r="G9" s="132">
        <f>45000+2945</f>
        <v>47945</v>
      </c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>
        <v>36642</v>
      </c>
      <c r="D10" s="132">
        <v>25659</v>
      </c>
      <c r="E10" s="132">
        <v>18747</v>
      </c>
      <c r="F10" s="132">
        <f>1140+64588</f>
        <v>65728</v>
      </c>
      <c r="G10" s="132">
        <f>633+49675</f>
        <v>50308</v>
      </c>
      <c r="H10" s="132"/>
      <c r="I10" s="132"/>
      <c r="J10" s="132"/>
      <c r="K10" s="132"/>
      <c r="L10" s="132"/>
      <c r="M10" s="188"/>
      <c r="N10" s="188"/>
      <c r="O10" s="188"/>
    </row>
    <row r="11" spans="2:15">
      <c r="B11" s="131" t="s">
        <v>197</v>
      </c>
      <c r="C11" s="132"/>
      <c r="D11" s="132">
        <v>10000</v>
      </c>
      <c r="E11" s="132">
        <f>153+10000</f>
        <v>10153</v>
      </c>
      <c r="F11" s="132">
        <f>153+10000</f>
        <v>10153</v>
      </c>
      <c r="G11" s="132">
        <f>10153</f>
        <v>10153</v>
      </c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1">SUM(C14:C16,C17:C19)</f>
        <v>1003366</v>
      </c>
      <c r="D13" s="128">
        <f t="shared" si="1"/>
        <v>1279561</v>
      </c>
      <c r="E13" s="128">
        <f t="shared" si="1"/>
        <v>1630390</v>
      </c>
      <c r="F13" s="128">
        <f>SUM(F14:F16,F17:F19)</f>
        <v>1544760</v>
      </c>
      <c r="G13" s="128">
        <f>SUM(G14:G16,G17:G19)</f>
        <v>1404857</v>
      </c>
      <c r="H13" s="128"/>
      <c r="I13" s="128">
        <v>1574028</v>
      </c>
      <c r="J13" s="128">
        <f>SUM(J14:J20)</f>
        <v>1735355</v>
      </c>
      <c r="K13" s="128">
        <f>SUM(K14:K20)</f>
        <v>1923652</v>
      </c>
      <c r="L13" s="128">
        <f>SUM(L14:L20)</f>
        <v>2144304</v>
      </c>
      <c r="M13" s="186"/>
      <c r="N13" s="186"/>
      <c r="O13" s="186"/>
    </row>
    <row r="14" spans="2:15">
      <c r="B14" s="131" t="s">
        <v>199</v>
      </c>
      <c r="C14" s="132">
        <f>800+257981</f>
        <v>258781</v>
      </c>
      <c r="D14" s="132">
        <v>312838</v>
      </c>
      <c r="E14" s="132">
        <v>366751</v>
      </c>
      <c r="F14" s="132">
        <v>225479</v>
      </c>
      <c r="G14" s="132">
        <v>318270</v>
      </c>
      <c r="H14" s="132"/>
      <c r="I14" s="132">
        <v>250474</v>
      </c>
      <c r="J14" s="132">
        <v>262998</v>
      </c>
      <c r="K14" s="132">
        <v>276148</v>
      </c>
      <c r="L14" s="132">
        <v>289955</v>
      </c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>
        <f>405453</f>
        <v>405453</v>
      </c>
      <c r="D16" s="132">
        <f>168112+6480</f>
        <v>174592</v>
      </c>
      <c r="E16" s="132">
        <v>280597</v>
      </c>
      <c r="F16" s="132">
        <v>517018</v>
      </c>
      <c r="G16" s="132">
        <v>494438</v>
      </c>
      <c r="H16" s="132"/>
      <c r="I16" s="132">
        <v>494764</v>
      </c>
      <c r="J16" s="132">
        <v>519506</v>
      </c>
      <c r="K16" s="132">
        <v>545474</v>
      </c>
      <c r="L16" s="132">
        <v>572751</v>
      </c>
      <c r="M16" s="136"/>
      <c r="N16" s="136"/>
      <c r="O16" s="136"/>
    </row>
    <row r="17" spans="2:15">
      <c r="B17" s="131" t="s">
        <v>202</v>
      </c>
      <c r="C17" s="132">
        <f>2643+1574+181</f>
        <v>4398</v>
      </c>
      <c r="D17" s="132">
        <f>1711+1856+512250</f>
        <v>515817</v>
      </c>
      <c r="E17" s="132">
        <f>17285+2105+834661</f>
        <v>854051</v>
      </c>
      <c r="F17" s="132">
        <f>1623+2156+459718</f>
        <v>463497</v>
      </c>
      <c r="G17" s="132">
        <f>1881+435+358670</f>
        <v>360986</v>
      </c>
      <c r="H17" s="132"/>
      <c r="I17" s="132">
        <v>463684</v>
      </c>
      <c r="J17" s="132">
        <v>463039</v>
      </c>
      <c r="K17" s="132">
        <v>463039</v>
      </c>
      <c r="L17" s="132">
        <v>463039</v>
      </c>
      <c r="M17" s="136"/>
      <c r="N17" s="136"/>
      <c r="O17" s="136"/>
    </row>
    <row r="18" spans="2:15">
      <c r="B18" s="131" t="s">
        <v>203</v>
      </c>
      <c r="C18" s="132">
        <v>323732</v>
      </c>
      <c r="D18" s="132">
        <v>269265</v>
      </c>
      <c r="E18" s="132">
        <v>121422</v>
      </c>
      <c r="F18" s="132">
        <v>326559</v>
      </c>
      <c r="G18" s="132">
        <v>222211</v>
      </c>
      <c r="H18" s="132"/>
      <c r="I18" s="132">
        <v>352899</v>
      </c>
      <c r="J18" s="132">
        <v>477605</v>
      </c>
      <c r="K18" s="132">
        <v>626784</v>
      </c>
      <c r="L18" s="132">
        <v>806352</v>
      </c>
      <c r="M18" s="136"/>
      <c r="N18" s="136"/>
      <c r="O18" s="136"/>
    </row>
    <row r="19" spans="2:15">
      <c r="B19" s="131" t="s">
        <v>204</v>
      </c>
      <c r="C19" s="132">
        <v>11002</v>
      </c>
      <c r="D19" s="132">
        <v>7049</v>
      </c>
      <c r="E19" s="132">
        <v>7569</v>
      </c>
      <c r="F19" s="132">
        <v>12207</v>
      </c>
      <c r="G19" s="132">
        <v>8952</v>
      </c>
      <c r="H19" s="132"/>
      <c r="I19" s="132">
        <v>12207</v>
      </c>
      <c r="J19" s="132">
        <f>I19</f>
        <v>12207</v>
      </c>
      <c r="K19" s="132">
        <f>J19</f>
        <v>12207</v>
      </c>
      <c r="L19" s="132">
        <f>K19</f>
        <v>12207</v>
      </c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>
        <v>-1</v>
      </c>
      <c r="D21" s="132"/>
      <c r="E21" s="132"/>
      <c r="F21" s="132">
        <v>1</v>
      </c>
      <c r="G21" s="132">
        <v>-1</v>
      </c>
      <c r="H21" s="132"/>
      <c r="I21" s="132"/>
      <c r="J21" s="132"/>
      <c r="K21" s="132"/>
      <c r="L21" s="132"/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1085370</v>
      </c>
      <c r="D23" s="140">
        <f t="shared" ref="D23:F23" si="2">+D6+D8+D13+D21</f>
        <v>1360286</v>
      </c>
      <c r="E23" s="140">
        <f t="shared" si="2"/>
        <v>1704667</v>
      </c>
      <c r="F23" s="140">
        <f t="shared" si="2"/>
        <v>1670721</v>
      </c>
      <c r="G23" s="140">
        <f t="shared" ref="G23" si="3">+G6+G8+G13+G21</f>
        <v>1513262</v>
      </c>
      <c r="H23" s="271"/>
      <c r="I23" s="140">
        <v>1664358</v>
      </c>
      <c r="J23" s="140">
        <f t="shared" ref="J23:L23" si="4">+J6+J8+J13+J21</f>
        <v>1810503</v>
      </c>
      <c r="K23" s="140">
        <f t="shared" si="4"/>
        <v>1985060</v>
      </c>
      <c r="L23" s="140">
        <f t="shared" si="4"/>
        <v>2199777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5">SUM(C26:C31)</f>
        <v>337013</v>
      </c>
      <c r="D25" s="128">
        <f t="shared" si="5"/>
        <v>363124</v>
      </c>
      <c r="E25" s="128">
        <f t="shared" si="5"/>
        <v>447124</v>
      </c>
      <c r="F25" s="128">
        <f t="shared" ref="F25:L25" si="6">SUM(F26:F31)</f>
        <v>465605</v>
      </c>
      <c r="G25" s="128">
        <f t="shared" ref="G25" si="7">SUM(G26:G31)</f>
        <v>601975</v>
      </c>
      <c r="H25" s="128"/>
      <c r="I25" s="128">
        <v>770259</v>
      </c>
      <c r="J25" s="128">
        <f t="shared" si="6"/>
        <v>938710</v>
      </c>
      <c r="K25" s="128">
        <f t="shared" si="6"/>
        <v>1116263</v>
      </c>
      <c r="L25" s="128">
        <f t="shared" si="6"/>
        <v>1315733</v>
      </c>
    </row>
    <row r="26" spans="2:15">
      <c r="B26" s="131" t="s">
        <v>206</v>
      </c>
      <c r="C26" s="132">
        <v>10000</v>
      </c>
      <c r="D26" s="132">
        <f>C26</f>
        <v>10000</v>
      </c>
      <c r="E26" s="132">
        <f>D26</f>
        <v>10000</v>
      </c>
      <c r="F26" s="132">
        <f>E26</f>
        <v>10000</v>
      </c>
      <c r="G26" s="132">
        <f>F26</f>
        <v>10000</v>
      </c>
      <c r="H26" s="132"/>
      <c r="I26" s="132">
        <v>10000</v>
      </c>
      <c r="J26" s="132">
        <f t="shared" ref="J26:J27" si="8">I26</f>
        <v>10000</v>
      </c>
      <c r="K26" s="132">
        <f t="shared" ref="K26:K27" si="9">J26</f>
        <v>10000</v>
      </c>
      <c r="L26" s="132">
        <f t="shared" ref="L26:L27" si="10">K26</f>
        <v>10000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>
        <v>0</v>
      </c>
      <c r="J27" s="132">
        <f t="shared" si="8"/>
        <v>0</v>
      </c>
      <c r="K27" s="132">
        <f t="shared" si="9"/>
        <v>0</v>
      </c>
      <c r="L27" s="132">
        <f t="shared" si="10"/>
        <v>0</v>
      </c>
    </row>
    <row r="28" spans="2:15">
      <c r="B28" s="131" t="s">
        <v>65</v>
      </c>
      <c r="C28" s="132">
        <f>1000+301218</f>
        <v>302218</v>
      </c>
      <c r="D28" s="132">
        <f>C28+C29</f>
        <v>327013</v>
      </c>
      <c r="E28" s="132">
        <f>1000+326012</f>
        <v>327012</v>
      </c>
      <c r="F28" s="132">
        <f>1000+326012</f>
        <v>327012</v>
      </c>
      <c r="G28" s="132">
        <f>F28+F29</f>
        <v>455605</v>
      </c>
      <c r="H28" s="132"/>
      <c r="I28" s="132">
        <v>608896</v>
      </c>
      <c r="J28" s="132">
        <f>I28+I29</f>
        <v>760259</v>
      </c>
      <c r="K28" s="132">
        <f t="shared" ref="K28:L28" si="11">J28+J29</f>
        <v>928710</v>
      </c>
      <c r="L28" s="132">
        <f t="shared" si="11"/>
        <v>1106263</v>
      </c>
      <c r="N28" s="134"/>
      <c r="O28" s="134"/>
    </row>
    <row r="29" spans="2:15">
      <c r="B29" s="131" t="s">
        <v>32</v>
      </c>
      <c r="C29" s="132">
        <f>'Probois 43 - P&amp;L'!C271</f>
        <v>24795</v>
      </c>
      <c r="D29" s="132">
        <f>'Probois 43 - P&amp;L'!D271</f>
        <v>26111</v>
      </c>
      <c r="E29" s="132">
        <f>'Probois 43 - P&amp;L'!E271</f>
        <v>110112</v>
      </c>
      <c r="F29" s="132">
        <f>'Probois 43 - P&amp;L'!F271</f>
        <v>128593</v>
      </c>
      <c r="G29" s="132">
        <f>'Probois 43 - P&amp;L'!G271</f>
        <v>136370</v>
      </c>
      <c r="H29" s="132"/>
      <c r="I29" s="132">
        <v>151363</v>
      </c>
      <c r="J29" s="132">
        <f>'Probois 43 - P&amp;L'!J271</f>
        <v>168451</v>
      </c>
      <c r="K29" s="132">
        <f>'Probois 43 - P&amp;L'!K271</f>
        <v>177553</v>
      </c>
      <c r="L29" s="132">
        <f>'Probois 43 - P&amp;L'!L271</f>
        <v>199470</v>
      </c>
      <c r="N29" s="134"/>
    </row>
    <row r="30" spans="2:15">
      <c r="B30" s="131" t="s">
        <v>208</v>
      </c>
      <c r="C30" s="132"/>
      <c r="D30" s="132"/>
      <c r="E30" s="132"/>
      <c r="F30" s="132"/>
      <c r="G30" s="132"/>
      <c r="H30" s="132"/>
      <c r="I30" s="132">
        <v>0</v>
      </c>
      <c r="J30" s="132">
        <v>0</v>
      </c>
      <c r="K30" s="132">
        <v>0</v>
      </c>
      <c r="L30" s="132">
        <v>0</v>
      </c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E33" si="12">SUM(C34:C36)</f>
        <v>0</v>
      </c>
      <c r="D33" s="128">
        <f t="shared" si="12"/>
        <v>0</v>
      </c>
      <c r="E33" s="128">
        <f t="shared" si="12"/>
        <v>0</v>
      </c>
      <c r="F33" s="128">
        <f t="shared" ref="F33:L33" si="13">SUM(F34:F36)</f>
        <v>0</v>
      </c>
      <c r="G33" s="128">
        <f t="shared" ref="G33" si="14">SUM(G34:G36)</f>
        <v>0</v>
      </c>
      <c r="H33" s="128"/>
      <c r="I33" s="128">
        <v>0</v>
      </c>
      <c r="J33" s="128">
        <f t="shared" si="13"/>
        <v>0</v>
      </c>
      <c r="K33" s="128">
        <f t="shared" si="13"/>
        <v>0</v>
      </c>
      <c r="L33" s="128">
        <f t="shared" si="13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E37" si="15">+C38+C43</f>
        <v>277698</v>
      </c>
      <c r="D37" s="185">
        <f t="shared" si="15"/>
        <v>440055</v>
      </c>
      <c r="E37" s="185">
        <f t="shared" si="15"/>
        <v>420555</v>
      </c>
      <c r="F37" s="185">
        <f t="shared" ref="F37:L37" si="16">+F38+F43</f>
        <v>351177</v>
      </c>
      <c r="G37" s="185">
        <f t="shared" ref="G37" si="17">+G38+G43</f>
        <v>251144</v>
      </c>
      <c r="H37" s="185"/>
      <c r="I37" s="185">
        <v>150900</v>
      </c>
      <c r="J37" s="185">
        <f t="shared" si="16"/>
        <v>70432</v>
      </c>
      <c r="K37" s="185">
        <f t="shared" si="16"/>
        <v>30432</v>
      </c>
      <c r="L37" s="185">
        <f t="shared" si="16"/>
        <v>432</v>
      </c>
      <c r="M37" s="190"/>
      <c r="N37" s="190"/>
      <c r="O37" s="190"/>
    </row>
    <row r="38" spans="2:17">
      <c r="B38" s="131" t="s">
        <v>213</v>
      </c>
      <c r="C38" s="132">
        <f>SUM(C39:C42)</f>
        <v>240208</v>
      </c>
      <c r="D38" s="132">
        <f>SUM(D39:D42)</f>
        <v>440055</v>
      </c>
      <c r="E38" s="132">
        <f>SUM(E39:E42)</f>
        <v>420555</v>
      </c>
      <c r="F38" s="132">
        <f>SUM(F39:F42)</f>
        <v>351177</v>
      </c>
      <c r="G38" s="132">
        <f>SUM(G39:G42)</f>
        <v>251144</v>
      </c>
      <c r="H38" s="132"/>
      <c r="I38" s="132">
        <v>150900</v>
      </c>
      <c r="J38" s="132">
        <v>70432</v>
      </c>
      <c r="K38" s="132">
        <v>30432</v>
      </c>
      <c r="L38" s="132">
        <v>432</v>
      </c>
      <c r="M38" s="189"/>
      <c r="N38" s="189"/>
      <c r="O38" s="189"/>
      <c r="Q38" s="134"/>
    </row>
    <row r="39" spans="2:17" s="192" customFormat="1" ht="12.75" hidden="1" outlineLevel="1">
      <c r="B39" s="147" t="s">
        <v>270</v>
      </c>
      <c r="C39" s="133">
        <v>240000</v>
      </c>
      <c r="D39" s="133">
        <v>240000</v>
      </c>
      <c r="E39" s="133">
        <v>220256</v>
      </c>
      <c r="F39" s="133">
        <v>160745</v>
      </c>
      <c r="G39" s="133">
        <v>100817</v>
      </c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525</v>
      </c>
      <c r="C40" s="133"/>
      <c r="D40" s="133">
        <v>200000</v>
      </c>
      <c r="E40" s="133">
        <v>200000</v>
      </c>
      <c r="F40" s="133">
        <v>190000</v>
      </c>
      <c r="G40" s="133">
        <v>150000</v>
      </c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s="192" customFormat="1" ht="12.75" hidden="1" outlineLevel="1">
      <c r="B41" s="147" t="s">
        <v>271</v>
      </c>
      <c r="C41" s="133">
        <v>208</v>
      </c>
      <c r="D41" s="133">
        <v>55</v>
      </c>
      <c r="E41" s="133">
        <v>299</v>
      </c>
      <c r="F41" s="133">
        <v>432</v>
      </c>
      <c r="G41" s="133">
        <v>327</v>
      </c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hidden="1" outlineLevel="1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89"/>
      <c r="N42" s="189"/>
      <c r="O42" s="189"/>
      <c r="Q42" s="134"/>
    </row>
    <row r="43" spans="2:17" collapsed="1">
      <c r="B43" s="131" t="s">
        <v>214</v>
      </c>
      <c r="C43" s="132">
        <f>SUM(C44:C46)</f>
        <v>37490</v>
      </c>
      <c r="D43" s="132">
        <f t="shared" ref="D43:F43" si="18">SUM(D44:D46)</f>
        <v>0</v>
      </c>
      <c r="E43" s="132">
        <f t="shared" si="18"/>
        <v>0</v>
      </c>
      <c r="F43" s="132">
        <f t="shared" si="18"/>
        <v>0</v>
      </c>
      <c r="G43" s="132">
        <f t="shared" ref="G43" si="19">SUM(G44:G46)</f>
        <v>0</v>
      </c>
      <c r="H43" s="132"/>
      <c r="I43" s="132">
        <v>0</v>
      </c>
      <c r="J43" s="132">
        <v>0</v>
      </c>
      <c r="K43" s="132">
        <v>0</v>
      </c>
      <c r="L43" s="132">
        <v>0</v>
      </c>
      <c r="M43" s="189"/>
      <c r="N43" s="189"/>
      <c r="O43" s="189"/>
    </row>
    <row r="44" spans="2:17" s="192" customFormat="1" ht="12.75" hidden="1" outlineLevel="1">
      <c r="B44" s="147" t="s">
        <v>444</v>
      </c>
      <c r="C44" s="133">
        <v>37189</v>
      </c>
      <c r="D44" s="133"/>
      <c r="E44" s="133"/>
      <c r="F44" s="133"/>
      <c r="G44" s="133"/>
      <c r="H44" s="133"/>
      <c r="I44" s="133"/>
      <c r="J44" s="133"/>
      <c r="K44" s="133"/>
      <c r="L44" s="133"/>
      <c r="M44" s="216"/>
      <c r="N44" s="216"/>
      <c r="O44" s="216"/>
      <c r="Q44" s="217"/>
    </row>
    <row r="45" spans="2:17" s="192" customFormat="1" ht="12.75" hidden="1" outlineLevel="1">
      <c r="B45" s="147" t="s">
        <v>445</v>
      </c>
      <c r="C45" s="133">
        <v>301</v>
      </c>
      <c r="D45" s="133"/>
      <c r="E45" s="133"/>
      <c r="F45" s="133"/>
      <c r="G45" s="133"/>
      <c r="H45" s="133"/>
      <c r="I45" s="133"/>
      <c r="J45" s="133"/>
      <c r="K45" s="133"/>
      <c r="L45" s="133"/>
      <c r="M45" s="216"/>
      <c r="N45" s="216"/>
      <c r="O45" s="216"/>
      <c r="Q45" s="217"/>
    </row>
    <row r="46" spans="2:17" collapsed="1">
      <c r="B46" s="147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211"/>
    </row>
    <row r="47" spans="2:17">
      <c r="B47" s="130" t="s">
        <v>215</v>
      </c>
      <c r="C47" s="128">
        <f t="shared" ref="C47:E47" si="20">SUM(C48:C54)</f>
        <v>470661</v>
      </c>
      <c r="D47" s="128">
        <f t="shared" si="20"/>
        <v>557108</v>
      </c>
      <c r="E47" s="128">
        <f t="shared" si="20"/>
        <v>836988</v>
      </c>
      <c r="F47" s="128">
        <f t="shared" ref="F47:L47" si="21">SUM(F48:F54)</f>
        <v>853938</v>
      </c>
      <c r="G47" s="128">
        <f t="shared" ref="G47" si="22">SUM(G48:G54)</f>
        <v>660143</v>
      </c>
      <c r="H47" s="128"/>
      <c r="I47" s="128">
        <v>743199</v>
      </c>
      <c r="J47" s="128">
        <f t="shared" si="21"/>
        <v>801361</v>
      </c>
      <c r="K47" s="128">
        <f t="shared" si="21"/>
        <v>838365</v>
      </c>
      <c r="L47" s="128">
        <f t="shared" si="21"/>
        <v>883612</v>
      </c>
      <c r="M47" s="187"/>
      <c r="N47" s="187"/>
      <c r="O47" s="187"/>
    </row>
    <row r="48" spans="2:17">
      <c r="B48" s="131" t="s">
        <v>216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4"/>
      <c r="N48" s="134"/>
      <c r="O48" s="134"/>
    </row>
    <row r="49" spans="1:42">
      <c r="B49" s="131" t="s">
        <v>44</v>
      </c>
      <c r="C49" s="132">
        <f>415502+20242</f>
        <v>435744</v>
      </c>
      <c r="D49" s="132">
        <f>453262+29610</f>
        <v>482872</v>
      </c>
      <c r="E49" s="132">
        <f>688269+52545</f>
        <v>740814</v>
      </c>
      <c r="F49" s="132">
        <f>758454+35687</f>
        <v>794141</v>
      </c>
      <c r="G49" s="132">
        <f>566543+13471</f>
        <v>580014</v>
      </c>
      <c r="H49" s="132"/>
      <c r="I49" s="132">
        <v>714017</v>
      </c>
      <c r="J49" s="132">
        <v>767320</v>
      </c>
      <c r="K49" s="132">
        <v>805741</v>
      </c>
      <c r="L49" s="132">
        <v>846097</v>
      </c>
      <c r="M49" s="134"/>
      <c r="N49" s="134"/>
      <c r="O49" s="134"/>
    </row>
    <row r="50" spans="1:42">
      <c r="B50" s="131" t="s">
        <v>217</v>
      </c>
      <c r="C50" s="132">
        <v>34915</v>
      </c>
      <c r="D50" s="132">
        <v>61196</v>
      </c>
      <c r="E50" s="132">
        <v>89618</v>
      </c>
      <c r="F50" s="132">
        <f>55713</f>
        <v>55713</v>
      </c>
      <c r="G50" s="132">
        <v>76052</v>
      </c>
      <c r="H50" s="132"/>
      <c r="I50" s="132">
        <v>29182</v>
      </c>
      <c r="J50" s="132">
        <v>34041</v>
      </c>
      <c r="K50" s="132">
        <v>32624</v>
      </c>
      <c r="L50" s="132">
        <v>37515</v>
      </c>
      <c r="M50" s="134"/>
      <c r="N50" s="134"/>
      <c r="O50" s="134"/>
    </row>
    <row r="51" spans="1:42">
      <c r="B51" s="131" t="s">
        <v>222</v>
      </c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4"/>
      <c r="N51" s="134"/>
      <c r="O51" s="134"/>
    </row>
    <row r="52" spans="1:42">
      <c r="B52" s="131" t="s">
        <v>218</v>
      </c>
      <c r="C52" s="132">
        <v>2</v>
      </c>
      <c r="D52" s="132">
        <v>13040</v>
      </c>
      <c r="E52" s="132">
        <v>6556</v>
      </c>
      <c r="F52" s="132">
        <v>4084</v>
      </c>
      <c r="G52" s="132">
        <v>4077</v>
      </c>
      <c r="H52" s="132"/>
      <c r="I52" s="132"/>
      <c r="J52" s="132"/>
      <c r="K52" s="132"/>
      <c r="L52" s="132"/>
      <c r="M52" s="134"/>
      <c r="N52" s="134"/>
      <c r="O52" s="134"/>
    </row>
    <row r="53" spans="1:42">
      <c r="B53" s="131" t="s">
        <v>219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4"/>
      <c r="N53" s="134"/>
      <c r="O53" s="134"/>
    </row>
    <row r="54" spans="1:42">
      <c r="B54" s="131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42">
      <c r="B55" s="130" t="s">
        <v>188</v>
      </c>
      <c r="C55" s="132">
        <v>-2</v>
      </c>
      <c r="D55" s="132">
        <v>-1</v>
      </c>
      <c r="E55" s="132"/>
      <c r="F55" s="132">
        <v>1</v>
      </c>
      <c r="G55" s="132"/>
      <c r="H55" s="132"/>
      <c r="I55" s="132"/>
      <c r="J55" s="132"/>
      <c r="K55" s="132"/>
      <c r="L55" s="132"/>
    </row>
    <row r="56" spans="1:42">
      <c r="B56" s="130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42">
      <c r="B57" s="139" t="s">
        <v>220</v>
      </c>
      <c r="C57" s="140">
        <f t="shared" ref="C57:E57" si="23">+C25+C33+C37+C47+C55</f>
        <v>1085370</v>
      </c>
      <c r="D57" s="140">
        <f t="shared" si="23"/>
        <v>1360286</v>
      </c>
      <c r="E57" s="140">
        <f t="shared" si="23"/>
        <v>1704667</v>
      </c>
      <c r="F57" s="140">
        <f t="shared" ref="F57:L57" si="24">+F25+F33+F37+F47+F55</f>
        <v>1670721</v>
      </c>
      <c r="G57" s="140">
        <f t="shared" ref="G57" si="25">+G25+G33+G37+G47+G55</f>
        <v>1513262</v>
      </c>
      <c r="H57" s="271"/>
      <c r="I57" s="140">
        <v>1664358</v>
      </c>
      <c r="J57" s="140">
        <f t="shared" si="24"/>
        <v>1810503</v>
      </c>
      <c r="K57" s="140">
        <f t="shared" si="24"/>
        <v>1985060</v>
      </c>
      <c r="L57" s="140">
        <f t="shared" si="24"/>
        <v>2199777</v>
      </c>
    </row>
    <row r="58" spans="1:42">
      <c r="B58" s="141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42">
      <c r="B59" s="143" t="s">
        <v>221</v>
      </c>
      <c r="C59" s="144" t="str">
        <f>IF(ABS(C57-C23)&lt;2,"Equilibré","Erreur")</f>
        <v>Equilibré</v>
      </c>
      <c r="D59" s="144" t="str">
        <f>IF(ABS(D57-D23)&lt;2,"Equilibré","Erreur")</f>
        <v>Equilibré</v>
      </c>
      <c r="E59" s="144" t="str">
        <f>IF(ABS(E57-E23)&lt;2,"Equilibré","Erreur")</f>
        <v>Equilibré</v>
      </c>
      <c r="F59" s="144" t="str">
        <f>IF(ABS(F57-F23)&lt;2,"Equilibré","Erreur")</f>
        <v>Equilibré</v>
      </c>
      <c r="G59" s="144" t="str">
        <f>IF(ABS(G57-G23)&lt;2,"Equilibré","Erreur")</f>
        <v>Equilibré</v>
      </c>
      <c r="H59" s="252"/>
      <c r="I59" s="144" t="s">
        <v>873</v>
      </c>
      <c r="J59" s="144" t="str">
        <f t="shared" ref="J59:L59" si="26">IF(ABS(J57-J23)&lt;2,"Equilibré","Erreur")</f>
        <v>Equilibré</v>
      </c>
      <c r="K59" s="144" t="str">
        <f t="shared" si="26"/>
        <v>Equilibré</v>
      </c>
      <c r="L59" s="144" t="str">
        <f t="shared" si="26"/>
        <v>Equilibré</v>
      </c>
    </row>
    <row r="61" spans="1:42" s="32" customFormat="1">
      <c r="A61" s="83"/>
      <c r="B61" s="13" t="s">
        <v>68</v>
      </c>
      <c r="C61" s="14"/>
      <c r="D61" s="14"/>
      <c r="E61" s="14"/>
      <c r="F61" s="14"/>
      <c r="G61" s="14"/>
      <c r="H61" s="52"/>
      <c r="I61" s="14"/>
      <c r="J61" s="14"/>
      <c r="K61" s="14"/>
      <c r="L61" s="14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 s="32" customFormat="1">
      <c r="A62" s="83"/>
      <c r="B62" s="15" t="s">
        <v>42</v>
      </c>
      <c r="C62" s="23">
        <f>C14/('Probois 43 - P&amp;L'!C33/365)</f>
        <v>35.676202472838249</v>
      </c>
      <c r="D62" s="23">
        <f>D14/('Probois 43 - P&amp;L'!D33/365)</f>
        <v>43.255172701169023</v>
      </c>
      <c r="E62" s="23">
        <f>E14/('Probois 43 - P&amp;L'!E33/365)</f>
        <v>39.609420100526606</v>
      </c>
      <c r="F62" s="23">
        <f>F14/('Probois 43 - P&amp;L'!F33/365)</f>
        <v>16.855418720775603</v>
      </c>
      <c r="G62" s="23">
        <f>G14/('Probois 43 - P&amp;L'!G33/365)</f>
        <v>32.253989804757779</v>
      </c>
      <c r="H62" s="272"/>
      <c r="I62" s="23">
        <v>24.637506147720458</v>
      </c>
      <c r="J62" s="23">
        <f>J14/('Probois 43 - P&amp;L'!J33/365)</f>
        <v>24.637535832430114</v>
      </c>
      <c r="K62" s="23">
        <f>K14/('Probois 43 - P&amp;L'!K33/365)</f>
        <v>24.63754505540599</v>
      </c>
      <c r="L62" s="23">
        <f>L14/('Probois 43 - P&amp;L'!L33/365)</f>
        <v>24.637509346712516</v>
      </c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 s="32" customFormat="1">
      <c r="A63" s="83"/>
      <c r="B63" s="15" t="s">
        <v>69</v>
      </c>
      <c r="C63" s="23">
        <f>C16/('Probois 43 - P&amp;L'!C33/365)</f>
        <v>55.896774961143542</v>
      </c>
      <c r="D63" s="23">
        <f>D16/('Probois 43 - P&amp;L'!D33/365)</f>
        <v>24.140312597071013</v>
      </c>
      <c r="E63" s="23">
        <f>E16/('Probois 43 - P&amp;L'!E33/365)</f>
        <v>30.304714784547183</v>
      </c>
      <c r="F63" s="23">
        <f>F16/('Probois 43 - P&amp;L'!F33/365)</f>
        <v>38.649075418012153</v>
      </c>
      <c r="G63" s="23">
        <f>G16/('Probois 43 - P&amp;L'!G33/365)</f>
        <v>50.107136114257791</v>
      </c>
      <c r="H63" s="272"/>
      <c r="I63" s="23">
        <v>48.666732242351564</v>
      </c>
      <c r="J63" s="23">
        <f>J16/('Probois 43 - P&amp;L'!J33/365)</f>
        <v>48.667091347319904</v>
      </c>
      <c r="K63" s="23">
        <f>K16/('Probois 43 - P&amp;L'!K33/365)</f>
        <v>48.666440646148182</v>
      </c>
      <c r="L63" s="23">
        <f>L16/('Probois 43 - P&amp;L'!L33/365)</f>
        <v>48.666717648734945</v>
      </c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</row>
    <row r="64" spans="1:42" s="32" customFormat="1">
      <c r="A64" s="83"/>
      <c r="B64" s="15" t="s">
        <v>70</v>
      </c>
      <c r="C64" s="23">
        <f>C49/('Probois 43 - P&amp;L'!C33/365)</f>
        <v>60.072768751664263</v>
      </c>
      <c r="D64" s="23">
        <f>D49/('Probois 43 - P&amp;L'!D33/365)</f>
        <v>66.765264298323373</v>
      </c>
      <c r="E64" s="23">
        <f>E49/('Probois 43 - P&amp;L'!E33/365)</f>
        <v>80.008542423474012</v>
      </c>
      <c r="F64" s="23">
        <f>F49/('Probois 43 - P&amp;L'!F33/365)</f>
        <v>59.365080909244142</v>
      </c>
      <c r="G64" s="23">
        <f>G49/('Probois 43 - P&amp;L'!G33/365)</f>
        <v>58.779544545878586</v>
      </c>
      <c r="H64" s="272"/>
      <c r="I64" s="23">
        <v>70.233230702894986</v>
      </c>
      <c r="J64" s="23">
        <f>J49/('Probois 43 - P&amp;L'!J33/365)</f>
        <v>71.882196803550883</v>
      </c>
      <c r="K64" s="23">
        <f>K49/('Probois 43 - P&amp;L'!K33/365)</f>
        <v>71.887104706490277</v>
      </c>
      <c r="L64" s="23">
        <f>L49/('Probois 43 - P&amp;L'!L33/365)</f>
        <v>71.892958375352791</v>
      </c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2:12" s="168" customFormat="1">
      <c r="B65" s="24" t="s">
        <v>71</v>
      </c>
      <c r="C65" s="310">
        <f>(C14+C16-C49)/('Probois 43 - P&amp;L'!C33/365)</f>
        <v>31.500208682317524</v>
      </c>
      <c r="D65" s="310">
        <f>(D14+D16-D49)/('Probois 43 - P&amp;L'!D33/365)</f>
        <v>0.63022099991666103</v>
      </c>
      <c r="E65" s="310">
        <f>(E14+E16-E49)/('Probois 43 - P&amp;L'!E33/365)</f>
        <v>-10.094407538400221</v>
      </c>
      <c r="F65" s="310">
        <f>(F14+F16-F49)/('Probois 43 - P&amp;L'!F33/365)</f>
        <v>-3.8605867704563854</v>
      </c>
      <c r="G65" s="310">
        <f>(G14+G16-G49)/('Probois 43 - P&amp;L'!G33/365)</f>
        <v>23.581581373136981</v>
      </c>
      <c r="H65" s="280"/>
      <c r="I65" s="310">
        <v>3.0710076871770342</v>
      </c>
      <c r="J65" s="310">
        <f>(J14+J16-J49)/('Probois 43 - P&amp;L'!J33/365)</f>
        <v>1.4224303761991304</v>
      </c>
      <c r="K65" s="310">
        <f>(K14+K16-K49)/('Probois 43 - P&amp;L'!K33/365)</f>
        <v>1.4168809950638879</v>
      </c>
      <c r="L65" s="310">
        <f>(L14+L16-L49)/('Probois 43 - P&amp;L'!L33/365)</f>
        <v>1.4112686200946636</v>
      </c>
    </row>
    <row r="66" spans="2:12">
      <c r="B66" s="25" t="s">
        <v>50</v>
      </c>
      <c r="C66" s="26">
        <f>(SUM(C14:C17,C19)-SUM(C48:C53))/('Probois 43 - P&amp;L'!C33/365)</f>
        <v>28.809545752417787</v>
      </c>
      <c r="D66" s="26">
        <f>(SUM(D14:D17,D19)-SUM(D48:D53))/('Probois 43 - P&amp;L'!D33/365)</f>
        <v>62.660946579691043</v>
      </c>
      <c r="E66" s="26">
        <f>(SUM(E14:E17,E19)-SUM(E48:E53))/('Probois 43 - P&amp;L'!E33/365)</f>
        <v>72.574411846598551</v>
      </c>
      <c r="F66" s="26">
        <f>(SUM(F14:F17,F19)-SUM(F48:F53))/('Probois 43 - P&amp;L'!F33/365)</f>
        <v>27.230054193454308</v>
      </c>
      <c r="G66" s="26">
        <f>(SUM(G14:G17,G19)-SUM(G48:G53))/('Probois 43 - P&amp;L'!G33/365)</f>
        <v>52.951288010039761</v>
      </c>
      <c r="H66" s="280"/>
      <c r="I66" s="26">
        <v>47.010880623058839</v>
      </c>
      <c r="J66" s="26">
        <f>(SUM(J14:J17,J19)-SUM(J48:J53))/('Probois 43 - P&amp;L'!J33/365)</f>
        <v>42.754318820017446</v>
      </c>
      <c r="K66" s="26">
        <f>(SUM(K14:K17,K19)-SUM(K48:K53))/('Probois 43 - P&amp;L'!K33/365)</f>
        <v>40.907007548629039</v>
      </c>
      <c r="L66" s="26">
        <f>(SUM(L14:L17,L19)-SUM(L48:L53))/('Probois 43 - P&amp;L'!L33/365)</f>
        <v>38.605321503631131</v>
      </c>
    </row>
    <row r="67" spans="2:12">
      <c r="B67" s="25" t="s">
        <v>72</v>
      </c>
      <c r="C67" s="27">
        <f t="shared" ref="C67:F67" si="27">C23</f>
        <v>1085370</v>
      </c>
      <c r="D67" s="27">
        <f t="shared" si="27"/>
        <v>1360286</v>
      </c>
      <c r="E67" s="27">
        <f t="shared" si="27"/>
        <v>1704667</v>
      </c>
      <c r="F67" s="27">
        <f t="shared" si="27"/>
        <v>1670721</v>
      </c>
      <c r="G67" s="27">
        <f t="shared" ref="G67" si="28">G23</f>
        <v>1513262</v>
      </c>
      <c r="H67" s="281"/>
      <c r="I67" s="27">
        <v>1664358</v>
      </c>
      <c r="J67" s="27">
        <f t="shared" ref="J67:L67" si="29">J23</f>
        <v>1810503</v>
      </c>
      <c r="K67" s="27">
        <f t="shared" si="29"/>
        <v>1985060</v>
      </c>
      <c r="L67" s="27">
        <f t="shared" si="29"/>
        <v>2199777</v>
      </c>
    </row>
    <row r="68" spans="2:12">
      <c r="B68" s="28" t="s">
        <v>73</v>
      </c>
      <c r="C68" s="29">
        <f>(C37-C18)/C25</f>
        <v>-0.13659413731814499</v>
      </c>
      <c r="D68" s="29">
        <f>(D37-D18)/D25</f>
        <v>0.47033520230004078</v>
      </c>
      <c r="E68" s="29">
        <f>(E37-E18)/E25</f>
        <v>0.66901575401901936</v>
      </c>
      <c r="F68" s="29">
        <f>(F37-F18)/F25</f>
        <v>5.28731435444207E-2</v>
      </c>
      <c r="G68" s="29">
        <f>(G37-G18)/G25</f>
        <v>4.8063457784791729E-2</v>
      </c>
      <c r="H68" s="282"/>
      <c r="I68" s="29">
        <v>-0.26224815289402653</v>
      </c>
      <c r="J68" s="29">
        <f>(J37-J18)/J25</f>
        <v>-0.43375802963641591</v>
      </c>
      <c r="K68" s="29">
        <f>(K37-K18)/K25</f>
        <v>-0.53423969082554923</v>
      </c>
      <c r="L68" s="29">
        <f>(L37-L18)/L25</f>
        <v>-0.61252548959401343</v>
      </c>
    </row>
    <row r="69" spans="2:12">
      <c r="B69" s="17" t="s">
        <v>74</v>
      </c>
      <c r="C69" s="30">
        <f>(C37-C18)/'Probois 43 - P&amp;L'!C218</f>
        <v>-1.0806356956736074</v>
      </c>
      <c r="D69" s="30">
        <f>(D37-D18)/'Probois 43 - P&amp;L'!D218</f>
        <v>3.9551201889676255</v>
      </c>
      <c r="E69" s="30">
        <f>(E37-E18)/'Probois 43 - P&amp;L'!E218</f>
        <v>1.9615793201133145</v>
      </c>
      <c r="F69" s="30">
        <f>(F37-F18)/'Probois 43 - P&amp;L'!F218</f>
        <v>0.18778318509817082</v>
      </c>
      <c r="G69" s="30">
        <f>(G37-G18)/'Probois 43 - P&amp;L'!G218</f>
        <v>0.18812338261875966</v>
      </c>
      <c r="H69" s="282"/>
      <c r="I69" s="30">
        <v>-1.0061515012651672</v>
      </c>
      <c r="J69" s="30">
        <f>(J37-J18)/'Probois 43 - P&amp;L'!J218</f>
        <v>-1.8489542180929806</v>
      </c>
      <c r="K69" s="30">
        <f>(K37-K18)/'Probois 43 - P&amp;L'!K218</f>
        <v>-2.5932294044745938</v>
      </c>
      <c r="L69" s="30">
        <f>(L37-L18)/'Probois 43 - P&amp;L'!L218</f>
        <v>-3.2166933420610433</v>
      </c>
    </row>
    <row r="71" spans="2:12">
      <c r="I71" s="146"/>
    </row>
    <row r="72" spans="2:12">
      <c r="C72" s="146"/>
      <c r="D72" s="146"/>
      <c r="E72" s="146"/>
      <c r="F72" s="146"/>
      <c r="G72" s="146"/>
      <c r="H72" s="146"/>
      <c r="I72" s="146"/>
    </row>
    <row r="73" spans="2:12">
      <c r="D73" s="146"/>
      <c r="E73" s="146"/>
      <c r="F73" s="146"/>
      <c r="G73" s="146"/>
      <c r="H73" s="146"/>
      <c r="I73" s="146"/>
    </row>
  </sheetData>
  <mergeCells count="1">
    <mergeCell ref="B2:B4"/>
  </mergeCells>
  <conditionalFormatting sqref="C59:L59">
    <cfRule type="containsText" dxfId="157" priority="71" operator="containsText" text="Equilibré">
      <formula>NOT(ISERROR(SEARCH("Equilibré",C59)))</formula>
    </cfRule>
    <cfRule type="containsText" dxfId="156" priority="72" operator="containsText" text="Erreur">
      <formula>NOT(ISERROR(SEARCH("Erreur",C59)))</formula>
    </cfRule>
    <cfRule type="containsText" dxfId="155" priority="73" operator="containsText" text="Validé">
      <formula>NOT(ISERROR(SEARCH("Validé",C59)))</formula>
    </cfRule>
    <cfRule type="containsText" dxfId="154" priority="74" operator="containsText" text="Erreur">
      <formula>NOT(ISERROR(SEARCH("Erreur",C59)))</formula>
    </cfRule>
    <cfRule type="colorScale" priority="7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6905B-937F-4F39-801D-A347B5C02203}">
  <sheetPr codeName="Feuil9">
    <tabColor theme="9" tint="0.79998168889431442"/>
  </sheetPr>
  <dimension ref="A1:AQ280"/>
  <sheetViews>
    <sheetView zoomScale="85" zoomScaleNormal="85" workbookViewId="0">
      <pane xSplit="2" ySplit="5" topLeftCell="G205" activePane="bottomRight" state="frozen"/>
      <selection pane="topRight" activeCell="C1" sqref="C1"/>
      <selection pane="bottomLeft" activeCell="A6" sqref="A6"/>
      <selection pane="bottomRight" activeCell="F221" activeCellId="1" sqref="F171 F221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1" width="15.7109375" style="32" customWidth="1"/>
    <col min="12" max="12" width="10.7109375" style="32"/>
    <col min="13" max="13" width="11.28515625" style="32" bestFit="1" customWidth="1"/>
    <col min="14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247" t="s">
        <v>446</v>
      </c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</row>
    <row r="3" spans="1:43" ht="15.75">
      <c r="A3" s="83"/>
      <c r="B3" s="245"/>
      <c r="C3" s="246" t="s">
        <v>261</v>
      </c>
      <c r="D3" s="246" t="s">
        <v>261</v>
      </c>
      <c r="E3" s="246" t="s">
        <v>261</v>
      </c>
      <c r="F3" s="246" t="s">
        <v>261</v>
      </c>
      <c r="G3" s="246"/>
      <c r="H3" s="246" t="s">
        <v>260</v>
      </c>
      <c r="I3" s="246" t="s">
        <v>260</v>
      </c>
      <c r="J3" s="246" t="s">
        <v>260</v>
      </c>
      <c r="K3" s="246" t="s">
        <v>260</v>
      </c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3" ht="15.75">
      <c r="A4" s="83"/>
      <c r="B4" s="85"/>
      <c r="C4" s="54">
        <v>44286</v>
      </c>
      <c r="D4" s="54">
        <v>44804</v>
      </c>
      <c r="E4" s="54">
        <v>45169</v>
      </c>
      <c r="F4" s="54">
        <v>45535</v>
      </c>
      <c r="G4" s="54"/>
      <c r="H4" s="119" t="s">
        <v>751</v>
      </c>
      <c r="I4" s="270" t="s">
        <v>752</v>
      </c>
      <c r="J4" s="270" t="s">
        <v>753</v>
      </c>
      <c r="K4" s="270" t="s">
        <v>754</v>
      </c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</row>
    <row r="5" spans="1:43" ht="15.75">
      <c r="A5" s="83"/>
      <c r="B5" s="86" t="s">
        <v>114</v>
      </c>
      <c r="C5" s="87" t="s">
        <v>3</v>
      </c>
      <c r="D5" s="87" t="s">
        <v>663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3" ht="15.75">
      <c r="A7" s="83"/>
      <c r="B7" s="83" t="s">
        <v>165</v>
      </c>
      <c r="C7" s="88">
        <f>SUM(C8:C13)</f>
        <v>996898</v>
      </c>
      <c r="D7" s="88">
        <f>SUM(D8:D13)</f>
        <v>1711729</v>
      </c>
      <c r="E7" s="88">
        <f>SUM(E8:E13)</f>
        <v>1322204</v>
      </c>
      <c r="F7" s="88">
        <f>SUM(F8:F13)</f>
        <v>1330518</v>
      </c>
      <c r="G7" s="88"/>
      <c r="H7" s="88">
        <v>1363715</v>
      </c>
      <c r="I7" s="88">
        <v>1390989</v>
      </c>
      <c r="J7" s="88">
        <v>1418809</v>
      </c>
      <c r="K7" s="88">
        <v>1447185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3" ht="15.75" outlineLevel="1">
      <c r="A8" s="83"/>
      <c r="B8" s="106" t="s">
        <v>447</v>
      </c>
      <c r="C8" s="95">
        <v>917513</v>
      </c>
      <c r="D8" s="95">
        <v>1493876</v>
      </c>
      <c r="E8" s="95">
        <v>1251333</v>
      </c>
      <c r="F8" s="95">
        <v>1289253</v>
      </c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448</v>
      </c>
      <c r="C9" s="95"/>
      <c r="D9" s="95"/>
      <c r="E9" s="95">
        <v>120</v>
      </c>
      <c r="F9" s="95"/>
      <c r="G9" s="95"/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449</v>
      </c>
      <c r="C10" s="95">
        <v>75679</v>
      </c>
      <c r="D10" s="95">
        <v>73474</v>
      </c>
      <c r="E10" s="95">
        <v>42759</v>
      </c>
      <c r="F10" s="95">
        <v>34085</v>
      </c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450</v>
      </c>
      <c r="C11" s="95"/>
      <c r="D11" s="95">
        <v>129432</v>
      </c>
      <c r="E11" s="95"/>
      <c r="F11" s="95"/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451</v>
      </c>
      <c r="C12" s="95">
        <v>3706</v>
      </c>
      <c r="D12" s="95">
        <v>14947</v>
      </c>
      <c r="E12" s="95">
        <v>27992</v>
      </c>
      <c r="F12" s="95">
        <v>7180</v>
      </c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>
      <c r="A14" s="83"/>
      <c r="B14" s="83" t="s">
        <v>166</v>
      </c>
      <c r="C14" s="88"/>
      <c r="D14" s="88"/>
      <c r="E14" s="88"/>
      <c r="F14" s="88"/>
      <c r="G14" s="88"/>
      <c r="H14" s="88"/>
      <c r="I14" s="88"/>
      <c r="J14" s="88"/>
      <c r="K14" s="88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</row>
    <row r="15" spans="1:43" ht="15.75">
      <c r="A15" s="83"/>
      <c r="B15" s="98" t="s">
        <v>7</v>
      </c>
      <c r="C15" s="99">
        <f t="shared" ref="C15:K15" si="0">C6+C14+C7</f>
        <v>996898</v>
      </c>
      <c r="D15" s="99">
        <f t="shared" si="0"/>
        <v>1711729</v>
      </c>
      <c r="E15" s="99">
        <f t="shared" si="0"/>
        <v>1322204</v>
      </c>
      <c r="F15" s="99">
        <f t="shared" ref="F15" si="1">F6+F14+F7</f>
        <v>1330518</v>
      </c>
      <c r="G15" s="275"/>
      <c r="H15" s="99">
        <f t="shared" si="0"/>
        <v>1363715</v>
      </c>
      <c r="I15" s="99">
        <f t="shared" si="0"/>
        <v>1390989</v>
      </c>
      <c r="J15" s="99">
        <f t="shared" si="0"/>
        <v>1418809</v>
      </c>
      <c r="K15" s="99">
        <f t="shared" si="0"/>
        <v>1447185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</row>
    <row r="16" spans="1:43" ht="15.75">
      <c r="A16" s="83"/>
      <c r="B16" s="97" t="s">
        <v>8</v>
      </c>
      <c r="C16" s="89">
        <f>C17</f>
        <v>-12652</v>
      </c>
      <c r="D16" s="89">
        <f>D17</f>
        <v>14531</v>
      </c>
      <c r="E16" s="89">
        <f>E17</f>
        <v>-25513</v>
      </c>
      <c r="F16" s="89">
        <f>F17</f>
        <v>33092</v>
      </c>
      <c r="G16" s="89"/>
      <c r="H16" s="89"/>
      <c r="I16" s="89"/>
      <c r="J16" s="89"/>
      <c r="K16" s="8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</row>
    <row r="17" spans="1:42" s="96" customFormat="1" ht="12.75" outlineLevel="1">
      <c r="A17" s="93"/>
      <c r="B17" s="94" t="s">
        <v>452</v>
      </c>
      <c r="C17" s="95">
        <v>-12652</v>
      </c>
      <c r="D17" s="95">
        <v>14531</v>
      </c>
      <c r="E17" s="95">
        <v>-25513</v>
      </c>
      <c r="F17" s="95">
        <v>33092</v>
      </c>
      <c r="G17" s="95"/>
      <c r="H17" s="95"/>
      <c r="I17" s="95"/>
      <c r="J17" s="95"/>
      <c r="K17" s="95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</row>
    <row r="18" spans="1:42" s="96" customFormat="1" ht="12.75" outlineLevel="1">
      <c r="A18" s="93"/>
      <c r="B18" s="94"/>
      <c r="C18" s="95"/>
      <c r="D18" s="95"/>
      <c r="E18" s="95"/>
      <c r="F18" s="95"/>
      <c r="G18" s="95"/>
      <c r="H18" s="95"/>
      <c r="I18" s="95"/>
      <c r="J18" s="95"/>
      <c r="K18" s="95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</row>
    <row r="19" spans="1:42" ht="15.75">
      <c r="A19" s="83"/>
      <c r="B19" s="97" t="s">
        <v>9</v>
      </c>
      <c r="C19" s="169"/>
      <c r="D19" s="169"/>
      <c r="E19" s="169"/>
      <c r="F19" s="169"/>
      <c r="G19" s="169"/>
      <c r="H19" s="169"/>
      <c r="I19" s="169"/>
      <c r="J19" s="169"/>
      <c r="K19" s="16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</row>
    <row r="20" spans="1:42" ht="15.75">
      <c r="A20" s="83"/>
      <c r="B20" s="100" t="s">
        <v>14</v>
      </c>
      <c r="C20" s="99">
        <f>C15+C16+C19</f>
        <v>984246</v>
      </c>
      <c r="D20" s="99">
        <f t="shared" ref="D20:K20" si="2">D15+D16+D19</f>
        <v>1726260</v>
      </c>
      <c r="E20" s="99">
        <f t="shared" si="2"/>
        <v>1296691</v>
      </c>
      <c r="F20" s="99">
        <f t="shared" ref="F20" si="3">F15+F16+F19</f>
        <v>1363610</v>
      </c>
      <c r="G20" s="275"/>
      <c r="H20" s="99">
        <f t="shared" si="2"/>
        <v>1363715</v>
      </c>
      <c r="I20" s="99">
        <f t="shared" si="2"/>
        <v>1390989</v>
      </c>
      <c r="J20" s="99">
        <f t="shared" si="2"/>
        <v>1418809</v>
      </c>
      <c r="K20" s="99">
        <f t="shared" si="2"/>
        <v>1447185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</row>
    <row r="21" spans="1:42" ht="16.5" thickBot="1">
      <c r="A21" s="83"/>
      <c r="B21" s="101" t="s">
        <v>106</v>
      </c>
      <c r="C21" s="102">
        <f>C20/C20</f>
        <v>1</v>
      </c>
      <c r="D21" s="102">
        <f t="shared" ref="D21:K21" si="4">D20/D20</f>
        <v>1</v>
      </c>
      <c r="E21" s="102">
        <f t="shared" si="4"/>
        <v>1</v>
      </c>
      <c r="F21" s="102">
        <f t="shared" ref="F21" si="5">F20/F20</f>
        <v>1</v>
      </c>
      <c r="G21" s="276"/>
      <c r="H21" s="102">
        <f t="shared" si="4"/>
        <v>1</v>
      </c>
      <c r="I21" s="102">
        <f t="shared" si="4"/>
        <v>1</v>
      </c>
      <c r="J21" s="102">
        <f t="shared" si="4"/>
        <v>1</v>
      </c>
      <c r="K21" s="102">
        <f t="shared" si="4"/>
        <v>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</row>
    <row r="22" spans="1:42" ht="15.75" collapsed="1">
      <c r="A22" s="83"/>
      <c r="B22" s="103" t="s">
        <v>167</v>
      </c>
      <c r="C22" s="89"/>
      <c r="D22" s="89"/>
      <c r="E22" s="89"/>
      <c r="F22" s="89"/>
      <c r="G22" s="89"/>
      <c r="H22" s="89"/>
      <c r="I22" s="89"/>
      <c r="J22" s="89"/>
      <c r="K22" s="89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</row>
    <row r="23" spans="1:42" ht="15.75">
      <c r="A23" s="83"/>
      <c r="B23" s="103" t="s">
        <v>168</v>
      </c>
      <c r="C23" s="89"/>
      <c r="D23" s="89"/>
      <c r="E23" s="89"/>
      <c r="F23" s="89"/>
      <c r="G23" s="89"/>
      <c r="H23" s="89"/>
      <c r="I23" s="89"/>
      <c r="J23" s="89"/>
      <c r="K23" s="8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</row>
    <row r="24" spans="1:42" ht="15.75">
      <c r="A24" s="83"/>
      <c r="B24" s="83" t="s">
        <v>190</v>
      </c>
      <c r="C24" s="89">
        <f>SUM(C25:C31)</f>
        <v>-241422</v>
      </c>
      <c r="D24" s="89">
        <f>SUM(D25:D31)</f>
        <v>-539400</v>
      </c>
      <c r="E24" s="89">
        <f>SUM(E25:E31)</f>
        <v>-355172</v>
      </c>
      <c r="F24" s="89">
        <f>SUM(F25:F31)</f>
        <v>-459852</v>
      </c>
      <c r="G24" s="89"/>
      <c r="H24" s="89">
        <v>-409115</v>
      </c>
      <c r="I24" s="89">
        <v>-417297</v>
      </c>
      <c r="J24" s="89">
        <v>-425643</v>
      </c>
      <c r="K24" s="89">
        <v>-434155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</row>
    <row r="25" spans="1:42" s="96" customFormat="1" ht="12.75" outlineLevel="1">
      <c r="A25" s="93"/>
      <c r="B25" s="106" t="s">
        <v>849</v>
      </c>
      <c r="C25" s="95"/>
      <c r="D25" s="95"/>
      <c r="E25" s="95"/>
      <c r="F25" s="95">
        <v>-34525</v>
      </c>
      <c r="G25" s="95"/>
      <c r="H25" s="95"/>
      <c r="I25" s="95"/>
      <c r="J25" s="95"/>
      <c r="K25" s="95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</row>
    <row r="26" spans="1:42" s="96" customFormat="1" ht="12.75" outlineLevel="1">
      <c r="A26" s="93"/>
      <c r="B26" s="106" t="s">
        <v>457</v>
      </c>
      <c r="C26" s="95">
        <v>-125069</v>
      </c>
      <c r="D26" s="95">
        <v>-323962</v>
      </c>
      <c r="E26" s="95">
        <v>-222643</v>
      </c>
      <c r="F26" s="95">
        <v>-226490</v>
      </c>
      <c r="G26" s="95"/>
      <c r="H26" s="95"/>
      <c r="I26" s="95"/>
      <c r="J26" s="95"/>
      <c r="K26" s="95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</row>
    <row r="27" spans="1:42" s="96" customFormat="1" ht="12.75" outlineLevel="1">
      <c r="A27" s="93"/>
      <c r="B27" s="106" t="s">
        <v>539</v>
      </c>
      <c r="C27" s="95">
        <v>-56311</v>
      </c>
      <c r="D27" s="95"/>
      <c r="E27" s="95"/>
      <c r="F27" s="95"/>
      <c r="G27" s="95"/>
      <c r="H27" s="95"/>
      <c r="I27" s="95"/>
      <c r="J27" s="95"/>
      <c r="K27" s="95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</row>
    <row r="28" spans="1:42" s="96" customFormat="1" ht="12.75" outlineLevel="1">
      <c r="A28" s="93"/>
      <c r="B28" s="106" t="s">
        <v>458</v>
      </c>
      <c r="C28" s="95">
        <v>-43360</v>
      </c>
      <c r="D28" s="95">
        <v>-84772</v>
      </c>
      <c r="E28" s="95">
        <v>-67594</v>
      </c>
      <c r="F28" s="95">
        <v>-110287</v>
      </c>
      <c r="G28" s="95"/>
      <c r="H28" s="95"/>
      <c r="I28" s="95"/>
      <c r="J28" s="95"/>
      <c r="K28" s="95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</row>
    <row r="29" spans="1:42" s="96" customFormat="1" ht="12.75" outlineLevel="1">
      <c r="A29" s="93"/>
      <c r="B29" s="106" t="s">
        <v>459</v>
      </c>
      <c r="C29" s="95">
        <v>-16682</v>
      </c>
      <c r="D29" s="95">
        <v>-97583</v>
      </c>
      <c r="E29" s="95">
        <v>-50960</v>
      </c>
      <c r="F29" s="95">
        <v>-66266</v>
      </c>
      <c r="G29" s="95"/>
      <c r="H29" s="95"/>
      <c r="I29" s="95"/>
      <c r="J29" s="95"/>
      <c r="K29" s="95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</row>
    <row r="30" spans="1:42" s="96" customFormat="1" ht="12.75" outlineLevel="1">
      <c r="A30" s="93"/>
      <c r="B30" s="106" t="s">
        <v>460</v>
      </c>
      <c r="C30" s="95"/>
      <c r="D30" s="95">
        <v>-33083</v>
      </c>
      <c r="E30" s="95">
        <v>-13975</v>
      </c>
      <c r="F30" s="95">
        <v>-22284</v>
      </c>
      <c r="G30" s="95"/>
      <c r="H30" s="95"/>
      <c r="I30" s="95"/>
      <c r="J30" s="95"/>
      <c r="K30" s="95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</row>
    <row r="31" spans="1:42" s="96" customFormat="1" ht="12.75" outlineLevel="1">
      <c r="A31" s="93"/>
      <c r="B31" s="106"/>
      <c r="C31" s="95"/>
      <c r="D31" s="95"/>
      <c r="E31" s="95"/>
      <c r="F31" s="95"/>
      <c r="G31" s="95"/>
      <c r="H31" s="95"/>
      <c r="I31" s="95"/>
      <c r="J31" s="95"/>
      <c r="K31" s="95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</row>
    <row r="32" spans="1:42" ht="15.75">
      <c r="A32" s="107"/>
      <c r="B32" s="108" t="s">
        <v>169</v>
      </c>
      <c r="C32" s="104">
        <f>C33</f>
        <v>7817</v>
      </c>
      <c r="D32" s="104">
        <f>D33</f>
        <v>34453</v>
      </c>
      <c r="E32" s="104">
        <f>E33</f>
        <v>-81042</v>
      </c>
      <c r="F32" s="104">
        <f>F33</f>
        <v>37284</v>
      </c>
      <c r="G32" s="104"/>
      <c r="H32" s="104"/>
      <c r="I32" s="104"/>
      <c r="J32" s="104"/>
      <c r="K32" s="104"/>
      <c r="L32" s="108"/>
      <c r="M32" s="108"/>
      <c r="N32" s="109"/>
      <c r="O32" s="109"/>
      <c r="P32" s="109"/>
      <c r="Q32" s="109"/>
      <c r="R32" s="109"/>
      <c r="S32" s="109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</row>
    <row r="33" spans="1:43" s="96" customFormat="1" ht="12.75" outlineLevel="1">
      <c r="A33" s="93"/>
      <c r="B33" s="106" t="s">
        <v>461</v>
      </c>
      <c r="C33" s="95">
        <v>7817</v>
      </c>
      <c r="D33" s="95">
        <v>34453</v>
      </c>
      <c r="E33" s="95">
        <v>-81042</v>
      </c>
      <c r="F33" s="95">
        <v>37284</v>
      </c>
      <c r="G33" s="95"/>
      <c r="H33" s="95"/>
      <c r="I33" s="95"/>
      <c r="J33" s="95"/>
      <c r="K33" s="95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</row>
    <row r="34" spans="1:43" s="96" customFormat="1" ht="12.75" outlineLevel="1">
      <c r="A34" s="93"/>
      <c r="B34" s="106"/>
      <c r="C34" s="95"/>
      <c r="D34" s="95"/>
      <c r="E34" s="95"/>
      <c r="F34" s="95"/>
      <c r="G34" s="95"/>
      <c r="H34" s="95"/>
      <c r="I34" s="95"/>
      <c r="J34" s="95"/>
      <c r="K34" s="95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</row>
    <row r="35" spans="1:43" ht="15.75">
      <c r="A35" s="83"/>
      <c r="B35" s="100" t="s">
        <v>16</v>
      </c>
      <c r="C35" s="99">
        <f t="shared" ref="C35:E35" si="6">C20+C22+C23+C24+C32</f>
        <v>750641</v>
      </c>
      <c r="D35" s="99">
        <f t="shared" si="6"/>
        <v>1221313</v>
      </c>
      <c r="E35" s="99">
        <f t="shared" si="6"/>
        <v>860477</v>
      </c>
      <c r="F35" s="99">
        <f t="shared" ref="F35" si="7">F20+F22+F23+F24+F32</f>
        <v>941042</v>
      </c>
      <c r="G35" s="275"/>
      <c r="H35" s="99">
        <f t="shared" ref="H35:K35" si="8">H20+H22+H23+H24+H32</f>
        <v>954600</v>
      </c>
      <c r="I35" s="99">
        <f t="shared" si="8"/>
        <v>973692</v>
      </c>
      <c r="J35" s="99">
        <f t="shared" si="8"/>
        <v>993166</v>
      </c>
      <c r="K35" s="99">
        <f t="shared" si="8"/>
        <v>1013030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</row>
    <row r="36" spans="1:43" ht="16.5" thickBot="1">
      <c r="A36" s="107"/>
      <c r="B36" s="101" t="s">
        <v>106</v>
      </c>
      <c r="C36" s="102">
        <f>C35/C20</f>
        <v>0.76265588074526081</v>
      </c>
      <c r="D36" s="102">
        <f t="shared" ref="D36:K36" si="9">D35/D20</f>
        <v>0.70749076037213399</v>
      </c>
      <c r="E36" s="102">
        <f t="shared" si="9"/>
        <v>0.66359448781552433</v>
      </c>
      <c r="F36" s="102">
        <f t="shared" ref="F36" si="10">F35/F20</f>
        <v>0.69011080880897036</v>
      </c>
      <c r="G36" s="276"/>
      <c r="H36" s="102">
        <f t="shared" si="9"/>
        <v>0.69999963335447657</v>
      </c>
      <c r="I36" s="102">
        <f t="shared" si="9"/>
        <v>0.6999997843261162</v>
      </c>
      <c r="J36" s="102">
        <f t="shared" si="9"/>
        <v>0.69999978855504863</v>
      </c>
      <c r="K36" s="102">
        <f t="shared" si="9"/>
        <v>0.70000034549832957</v>
      </c>
      <c r="L36" s="108"/>
      <c r="M36" s="108"/>
      <c r="N36" s="109"/>
      <c r="O36" s="109"/>
      <c r="P36" s="109"/>
      <c r="Q36" s="109"/>
      <c r="R36" s="109"/>
      <c r="S36" s="109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</row>
    <row r="37" spans="1:43" ht="15.75">
      <c r="A37" s="107"/>
      <c r="B37" s="108" t="s">
        <v>170</v>
      </c>
      <c r="C37" s="104">
        <f>C39+C49+C54+C58+C67+C76+C86+C100+C105+C109+C119</f>
        <v>-274284</v>
      </c>
      <c r="D37" s="104">
        <f t="shared" ref="D37" si="11">D39+D49+D54+D58+D67+D76+D86+D100+D105+D109+D119</f>
        <v>-515597</v>
      </c>
      <c r="E37" s="104">
        <f>E39+E49+E54+E58+E67+E76+E86+E100+E105+E109+E119</f>
        <v>-274716</v>
      </c>
      <c r="F37" s="104">
        <f>F39+F49+F54+F58+F67+F76+F86+F100+F105+F109+F119</f>
        <v>-417308</v>
      </c>
      <c r="G37" s="104"/>
      <c r="H37" s="104">
        <v>-396280</v>
      </c>
      <c r="I37" s="104">
        <v>-403346</v>
      </c>
      <c r="J37" s="104">
        <v>-410552</v>
      </c>
      <c r="K37" s="104">
        <v>-417903</v>
      </c>
      <c r="L37" s="108"/>
      <c r="M37" s="108"/>
      <c r="N37" s="109"/>
      <c r="O37" s="109"/>
      <c r="P37" s="109"/>
      <c r="Q37" s="109"/>
      <c r="R37" s="109"/>
      <c r="S37" s="109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</row>
    <row r="38" spans="1:43" s="96" customFormat="1" ht="12.75" outlineLevel="1">
      <c r="A38" s="93"/>
      <c r="B38" s="106"/>
      <c r="C38" s="95"/>
      <c r="D38" s="95"/>
      <c r="E38" s="95"/>
      <c r="F38" s="95"/>
      <c r="G38" s="95"/>
      <c r="H38" s="95"/>
      <c r="I38" s="95"/>
      <c r="J38" s="95"/>
      <c r="K38" s="95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</row>
    <row r="39" spans="1:43" s="92" customFormat="1" ht="12.75" outlineLevel="1">
      <c r="A39" s="90"/>
      <c r="B39" s="105" t="s">
        <v>171</v>
      </c>
      <c r="C39" s="91">
        <f>SUM(C40:C48)</f>
        <v>-22103</v>
      </c>
      <c r="D39" s="91">
        <f t="shared" ref="D39" si="12">SUM(D40:D48)</f>
        <v>-38878</v>
      </c>
      <c r="E39" s="91">
        <f>SUM(E40:E48)</f>
        <v>-35157</v>
      </c>
      <c r="F39" s="91">
        <f>SUM(F40:F48)</f>
        <v>-34279</v>
      </c>
      <c r="G39" s="91"/>
      <c r="H39" s="91"/>
      <c r="I39" s="91"/>
      <c r="J39" s="91"/>
      <c r="K39" s="91"/>
      <c r="L39" s="91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s="96" customFormat="1" ht="12.75" outlineLevel="2">
      <c r="A40" s="93"/>
      <c r="B40" s="106" t="s">
        <v>462</v>
      </c>
      <c r="C40" s="95">
        <v>-5959</v>
      </c>
      <c r="D40" s="95">
        <v>-7491</v>
      </c>
      <c r="E40" s="95">
        <v>-13567</v>
      </c>
      <c r="F40" s="95">
        <v>-7111</v>
      </c>
      <c r="G40" s="95"/>
      <c r="H40" s="95"/>
      <c r="I40" s="95"/>
      <c r="J40" s="95"/>
      <c r="K40" s="95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</row>
    <row r="41" spans="1:43" s="96" customFormat="1" ht="12.75" outlineLevel="2">
      <c r="A41" s="93"/>
      <c r="B41" s="106" t="s">
        <v>463</v>
      </c>
      <c r="C41" s="95">
        <v>-259</v>
      </c>
      <c r="D41" s="95">
        <v>-365</v>
      </c>
      <c r="E41" s="95">
        <v>-462</v>
      </c>
      <c r="F41" s="95">
        <v>-354</v>
      </c>
      <c r="G41" s="95"/>
      <c r="H41" s="95"/>
      <c r="I41" s="95"/>
      <c r="J41" s="95"/>
      <c r="K41" s="95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</row>
    <row r="42" spans="1:43" s="96" customFormat="1" ht="12.75" outlineLevel="2">
      <c r="A42" s="93"/>
      <c r="B42" s="106" t="s">
        <v>464</v>
      </c>
      <c r="C42" s="95">
        <v>-2055</v>
      </c>
      <c r="D42" s="95">
        <v>-3845</v>
      </c>
      <c r="E42" s="95">
        <v>-4743</v>
      </c>
      <c r="F42" s="95">
        <v>-3932</v>
      </c>
      <c r="G42" s="95"/>
      <c r="H42" s="95"/>
      <c r="I42" s="95"/>
      <c r="J42" s="95"/>
      <c r="K42" s="95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</row>
    <row r="43" spans="1:43" s="96" customFormat="1" ht="12.75" outlineLevel="2">
      <c r="A43" s="93"/>
      <c r="B43" s="106" t="s">
        <v>142</v>
      </c>
      <c r="C43" s="95">
        <v>-8013</v>
      </c>
      <c r="D43" s="95">
        <v>-14425</v>
      </c>
      <c r="E43" s="95">
        <v>-10458</v>
      </c>
      <c r="F43" s="95">
        <v>-11609</v>
      </c>
      <c r="G43" s="95"/>
      <c r="H43" s="95"/>
      <c r="I43" s="95"/>
      <c r="J43" s="95"/>
      <c r="K43" s="95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</row>
    <row r="44" spans="1:43" s="96" customFormat="1" ht="12.75" outlineLevel="2">
      <c r="A44" s="93"/>
      <c r="B44" s="106" t="s">
        <v>328</v>
      </c>
      <c r="C44" s="95"/>
      <c r="D44" s="95">
        <v>-6379</v>
      </c>
      <c r="E44" s="95">
        <v>-2841</v>
      </c>
      <c r="F44" s="95">
        <v>-1987</v>
      </c>
      <c r="G44" s="95"/>
      <c r="H44" s="95"/>
      <c r="I44" s="95"/>
      <c r="J44" s="95"/>
      <c r="K44" s="95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</row>
    <row r="45" spans="1:43" s="96" customFormat="1" ht="12.75" outlineLevel="2">
      <c r="A45" s="93"/>
      <c r="B45" s="106" t="s">
        <v>465</v>
      </c>
      <c r="C45" s="95">
        <v>-1970</v>
      </c>
      <c r="D45" s="95">
        <v>-4032</v>
      </c>
      <c r="E45" s="95">
        <v>-2306</v>
      </c>
      <c r="F45" s="95">
        <v>-7299</v>
      </c>
      <c r="G45" s="95"/>
      <c r="H45" s="95"/>
      <c r="I45" s="95"/>
      <c r="J45" s="95"/>
      <c r="K45" s="95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</row>
    <row r="46" spans="1:43" s="96" customFormat="1" ht="12.75" outlineLevel="2">
      <c r="A46" s="93"/>
      <c r="B46" s="106" t="s">
        <v>540</v>
      </c>
      <c r="C46" s="95">
        <v>-1988</v>
      </c>
      <c r="D46" s="95"/>
      <c r="E46" s="95"/>
      <c r="F46" s="95"/>
      <c r="G46" s="95"/>
      <c r="H46" s="95"/>
      <c r="I46" s="95"/>
      <c r="J46" s="95"/>
      <c r="K46" s="95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</row>
    <row r="47" spans="1:43" s="96" customFormat="1" ht="12.75" outlineLevel="2">
      <c r="A47" s="93"/>
      <c r="B47" s="106" t="s">
        <v>329</v>
      </c>
      <c r="C47" s="95">
        <v>-1859</v>
      </c>
      <c r="D47" s="95">
        <v>-2341</v>
      </c>
      <c r="E47" s="95">
        <v>-780</v>
      </c>
      <c r="F47" s="95">
        <v>-1987</v>
      </c>
      <c r="G47" s="95"/>
      <c r="H47" s="95"/>
      <c r="I47" s="95"/>
      <c r="J47" s="95"/>
      <c r="K47" s="95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</row>
    <row r="48" spans="1:43" s="96" customFormat="1" ht="12.75" outlineLevel="2">
      <c r="A48" s="9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</row>
    <row r="49" spans="1:43" s="92" customFormat="1" ht="12.75" outlineLevel="1">
      <c r="A49" s="90"/>
      <c r="B49" s="105" t="s">
        <v>172</v>
      </c>
      <c r="C49" s="91">
        <f>SUM(C50:C53)</f>
        <v>-14567</v>
      </c>
      <c r="D49" s="91">
        <f t="shared" ref="D49" si="13">SUM(D50:D53)</f>
        <v>-160057</v>
      </c>
      <c r="E49" s="91">
        <f>SUM(E50:E53)</f>
        <v>-19599</v>
      </c>
      <c r="F49" s="91">
        <f>SUM(F50:F53)</f>
        <v>-2629</v>
      </c>
      <c r="G49" s="91"/>
      <c r="H49" s="91"/>
      <c r="I49" s="91"/>
      <c r="J49" s="91"/>
      <c r="K49" s="91"/>
      <c r="L49" s="91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96" customFormat="1" ht="12.75" outlineLevel="2">
      <c r="A50" s="93"/>
      <c r="B50" s="106" t="s">
        <v>466</v>
      </c>
      <c r="C50" s="95">
        <v>-10988</v>
      </c>
      <c r="D50" s="95">
        <v>-18510</v>
      </c>
      <c r="E50" s="95">
        <v>-2340</v>
      </c>
      <c r="F50" s="95">
        <v>-1559</v>
      </c>
      <c r="G50" s="95"/>
      <c r="H50" s="95"/>
      <c r="I50" s="95"/>
      <c r="J50" s="95"/>
      <c r="K50" s="95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</row>
    <row r="51" spans="1:43" s="96" customFormat="1" ht="12.75" outlineLevel="2">
      <c r="A51" s="93"/>
      <c r="B51" s="106" t="s">
        <v>467</v>
      </c>
      <c r="C51" s="95"/>
      <c r="D51" s="95">
        <v>-138103</v>
      </c>
      <c r="E51" s="95">
        <v>-15895</v>
      </c>
      <c r="F51" s="95">
        <v>-245</v>
      </c>
      <c r="G51" s="95"/>
      <c r="H51" s="95"/>
      <c r="I51" s="95"/>
      <c r="J51" s="95"/>
      <c r="K51" s="95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</row>
    <row r="52" spans="1:43" s="96" customFormat="1" ht="12.75" outlineLevel="2">
      <c r="A52" s="93"/>
      <c r="B52" s="106" t="s">
        <v>511</v>
      </c>
      <c r="C52" s="95">
        <v>-3579</v>
      </c>
      <c r="D52" s="95">
        <v>-3444</v>
      </c>
      <c r="E52" s="95">
        <v>-1364</v>
      </c>
      <c r="F52" s="95">
        <v>-825</v>
      </c>
      <c r="G52" s="95"/>
      <c r="H52" s="95"/>
      <c r="I52" s="95"/>
      <c r="J52" s="95"/>
      <c r="K52" s="95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</row>
    <row r="53" spans="1:43" s="96" customFormat="1" ht="12.75" outlineLevel="2">
      <c r="A53" s="93"/>
      <c r="B53" s="106"/>
      <c r="C53" s="95"/>
      <c r="D53" s="95"/>
      <c r="E53" s="95"/>
      <c r="F53" s="95"/>
      <c r="G53" s="95"/>
      <c r="H53" s="95"/>
      <c r="I53" s="95"/>
      <c r="J53" s="95"/>
      <c r="K53" s="95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</row>
    <row r="54" spans="1:43" s="92" customFormat="1" ht="12.75" outlineLevel="1">
      <c r="A54" s="90"/>
      <c r="B54" s="105" t="s">
        <v>173</v>
      </c>
      <c r="C54" s="91">
        <f>SUM(C55:C57)</f>
        <v>-15096</v>
      </c>
      <c r="D54" s="91">
        <f>SUM(D55:D57)</f>
        <v>-6679</v>
      </c>
      <c r="E54" s="91">
        <f>SUM(E55:E57)</f>
        <v>-4766</v>
      </c>
      <c r="F54" s="91">
        <f>SUM(F55:F57)</f>
        <v>-3535</v>
      </c>
      <c r="G54" s="91"/>
      <c r="H54" s="91"/>
      <c r="I54" s="91"/>
      <c r="J54" s="91"/>
      <c r="K54" s="91"/>
      <c r="L54" s="91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</row>
    <row r="55" spans="1:43" s="96" customFormat="1" ht="12.75" outlineLevel="2">
      <c r="A55" s="93"/>
      <c r="B55" s="106" t="s">
        <v>541</v>
      </c>
      <c r="C55" s="95">
        <v>-10384</v>
      </c>
      <c r="D55" s="95"/>
      <c r="E55" s="95"/>
      <c r="F55" s="95"/>
      <c r="G55" s="95"/>
      <c r="H55" s="95"/>
      <c r="I55" s="95"/>
      <c r="J55" s="95"/>
      <c r="K55" s="95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</row>
    <row r="56" spans="1:43" s="96" customFormat="1" ht="12.75" outlineLevel="2">
      <c r="A56" s="93"/>
      <c r="B56" s="106" t="s">
        <v>468</v>
      </c>
      <c r="C56" s="95">
        <v>-4712</v>
      </c>
      <c r="D56" s="95">
        <v>-6679</v>
      </c>
      <c r="E56" s="95">
        <v>-4766</v>
      </c>
      <c r="F56" s="95">
        <v>-3535</v>
      </c>
      <c r="G56" s="95"/>
      <c r="H56" s="95"/>
      <c r="I56" s="95"/>
      <c r="J56" s="95"/>
      <c r="K56" s="95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</row>
    <row r="57" spans="1:43" s="96" customFormat="1" ht="12.75" outlineLevel="2">
      <c r="A57" s="93"/>
      <c r="B57" s="106"/>
      <c r="C57" s="95"/>
      <c r="D57" s="95"/>
      <c r="E57" s="95"/>
      <c r="F57" s="95"/>
      <c r="G57" s="95"/>
      <c r="H57" s="95"/>
      <c r="I57" s="95"/>
      <c r="J57" s="95"/>
      <c r="K57" s="95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</row>
    <row r="58" spans="1:43" s="92" customFormat="1" ht="12.75" outlineLevel="1">
      <c r="A58" s="90"/>
      <c r="B58" s="105" t="s">
        <v>174</v>
      </c>
      <c r="C58" s="91">
        <f>SUM(C59:C66)</f>
        <v>-62456</v>
      </c>
      <c r="D58" s="91">
        <f t="shared" ref="D58" si="14">SUM(D59:D66)</f>
        <v>-95625</v>
      </c>
      <c r="E58" s="91">
        <f>SUM(E59:E66)</f>
        <v>-66626</v>
      </c>
      <c r="F58" s="91">
        <f>SUM(F59:F66)</f>
        <v>-66647</v>
      </c>
      <c r="G58" s="91"/>
      <c r="H58" s="91"/>
      <c r="I58" s="91"/>
      <c r="J58" s="91"/>
      <c r="K58" s="91"/>
      <c r="L58" s="91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</row>
    <row r="59" spans="1:43" s="96" customFormat="1" ht="12.75" outlineLevel="2">
      <c r="A59" s="93"/>
      <c r="B59" s="106" t="s">
        <v>334</v>
      </c>
      <c r="C59" s="95">
        <v>-49200</v>
      </c>
      <c r="D59" s="95">
        <v>-69700</v>
      </c>
      <c r="E59" s="95">
        <v>-49200</v>
      </c>
      <c r="F59" s="95">
        <v>-49200</v>
      </c>
      <c r="G59" s="95"/>
      <c r="H59" s="95"/>
      <c r="I59" s="95"/>
      <c r="J59" s="95"/>
      <c r="K59" s="95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</row>
    <row r="60" spans="1:43" s="96" customFormat="1" ht="12.75" outlineLevel="2">
      <c r="A60" s="93"/>
      <c r="B60" s="106" t="s">
        <v>469</v>
      </c>
      <c r="C60" s="95"/>
      <c r="D60" s="95">
        <v>-87</v>
      </c>
      <c r="E60" s="95"/>
      <c r="F60" s="95"/>
      <c r="G60" s="95"/>
      <c r="H60" s="95"/>
      <c r="I60" s="95"/>
      <c r="J60" s="95"/>
      <c r="K60" s="95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</row>
    <row r="61" spans="1:43" s="96" customFormat="1" ht="12.75" outlineLevel="2">
      <c r="A61" s="93"/>
      <c r="B61" s="106" t="s">
        <v>470</v>
      </c>
      <c r="C61" s="95"/>
      <c r="D61" s="95">
        <v>-15059</v>
      </c>
      <c r="E61" s="95">
        <v>-12850</v>
      </c>
      <c r="F61" s="95">
        <v>-13361</v>
      </c>
      <c r="G61" s="95"/>
      <c r="H61" s="95"/>
      <c r="I61" s="95"/>
      <c r="J61" s="95"/>
      <c r="K61" s="95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</row>
    <row r="62" spans="1:43" s="96" customFormat="1" ht="12.75" outlineLevel="2">
      <c r="A62" s="93"/>
      <c r="B62" s="106" t="s">
        <v>471</v>
      </c>
      <c r="C62" s="95">
        <v>-2058</v>
      </c>
      <c r="D62" s="95">
        <v>-3409</v>
      </c>
      <c r="E62" s="95">
        <v>-2303</v>
      </c>
      <c r="F62" s="95">
        <v>-2215</v>
      </c>
      <c r="G62" s="95"/>
      <c r="H62" s="95"/>
      <c r="I62" s="95"/>
      <c r="J62" s="95"/>
      <c r="K62" s="95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</row>
    <row r="63" spans="1:43" s="96" customFormat="1" ht="12.75" outlineLevel="2">
      <c r="A63" s="93"/>
      <c r="B63" s="106" t="s">
        <v>472</v>
      </c>
      <c r="C63" s="95"/>
      <c r="D63" s="95">
        <v>-243</v>
      </c>
      <c r="E63" s="95">
        <v>-553</v>
      </c>
      <c r="F63" s="95">
        <v>-19</v>
      </c>
      <c r="G63" s="95"/>
      <c r="H63" s="95"/>
      <c r="I63" s="95"/>
      <c r="J63" s="95"/>
      <c r="K63" s="95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</row>
    <row r="64" spans="1:43" s="96" customFormat="1" ht="12.75" outlineLevel="2">
      <c r="A64" s="93"/>
      <c r="B64" s="106" t="s">
        <v>473</v>
      </c>
      <c r="C64" s="95">
        <v>-1232</v>
      </c>
      <c r="D64" s="95">
        <v>-2050</v>
      </c>
      <c r="E64" s="95">
        <v>-1720</v>
      </c>
      <c r="F64" s="95">
        <v>-1852</v>
      </c>
      <c r="G64" s="95"/>
      <c r="H64" s="95"/>
      <c r="I64" s="95"/>
      <c r="J64" s="95"/>
      <c r="K64" s="95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</row>
    <row r="65" spans="1:43" s="96" customFormat="1" ht="12.75" outlineLevel="2">
      <c r="A65" s="93"/>
      <c r="B65" s="106" t="s">
        <v>474</v>
      </c>
      <c r="C65" s="95">
        <v>-9966</v>
      </c>
      <c r="D65" s="95">
        <v>-5077</v>
      </c>
      <c r="E65" s="95"/>
      <c r="F65" s="95"/>
      <c r="G65" s="95"/>
      <c r="H65" s="95"/>
      <c r="I65" s="95"/>
      <c r="J65" s="95"/>
      <c r="K65" s="95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</row>
    <row r="66" spans="1:43" s="96" customFormat="1" ht="12.75" outlineLevel="2">
      <c r="A66" s="93"/>
      <c r="B66" s="106"/>
      <c r="C66" s="95"/>
      <c r="D66" s="95"/>
      <c r="E66" s="95"/>
      <c r="F66" s="95"/>
      <c r="G66" s="95"/>
      <c r="H66" s="95"/>
      <c r="I66" s="95"/>
      <c r="J66" s="95"/>
      <c r="K66" s="95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</row>
    <row r="67" spans="1:43" s="92" customFormat="1" ht="12.75" outlineLevel="1">
      <c r="A67" s="90"/>
      <c r="B67" s="105" t="s">
        <v>175</v>
      </c>
      <c r="C67" s="91">
        <f>SUM(C68:C75)</f>
        <v>-16573</v>
      </c>
      <c r="D67" s="91">
        <f t="shared" ref="D67" si="15">SUM(D68:D75)</f>
        <v>-34325</v>
      </c>
      <c r="E67" s="91">
        <f>SUM(E68:E75)</f>
        <v>-16844</v>
      </c>
      <c r="F67" s="91">
        <f>SUM(F68:F75)</f>
        <v>-19221</v>
      </c>
      <c r="G67" s="91"/>
      <c r="H67" s="91"/>
      <c r="I67" s="91"/>
      <c r="J67" s="91"/>
      <c r="K67" s="91"/>
      <c r="L67" s="91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</row>
    <row r="68" spans="1:43" s="96" customFormat="1" ht="12.75" outlineLevel="2">
      <c r="A68" s="93"/>
      <c r="B68" s="106" t="s">
        <v>475</v>
      </c>
      <c r="C68" s="95">
        <v>-1740</v>
      </c>
      <c r="D68" s="95">
        <v>-8395</v>
      </c>
      <c r="E68" s="95">
        <v>-2013</v>
      </c>
      <c r="F68" s="95">
        <v>-2849</v>
      </c>
      <c r="G68" s="95"/>
      <c r="H68" s="95"/>
      <c r="I68" s="95"/>
      <c r="J68" s="95"/>
      <c r="K68" s="95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</row>
    <row r="69" spans="1:43" s="96" customFormat="1" ht="12.75" outlineLevel="2">
      <c r="A69" s="93"/>
      <c r="B69" s="106" t="s">
        <v>476</v>
      </c>
      <c r="C69" s="95">
        <v>-4007</v>
      </c>
      <c r="D69" s="95">
        <v>-4984</v>
      </c>
      <c r="E69" s="95">
        <v>-3863</v>
      </c>
      <c r="F69" s="95">
        <v>-3670</v>
      </c>
      <c r="G69" s="95"/>
      <c r="H69" s="95"/>
      <c r="I69" s="95"/>
      <c r="J69" s="95"/>
      <c r="K69" s="95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</row>
    <row r="70" spans="1:43" s="96" customFormat="1" ht="12.75" outlineLevel="2">
      <c r="A70" s="93"/>
      <c r="B70" s="106" t="s">
        <v>344</v>
      </c>
      <c r="C70" s="95"/>
      <c r="D70" s="95">
        <v>-1202</v>
      </c>
      <c r="E70" s="95">
        <v>-399</v>
      </c>
      <c r="F70" s="95">
        <v>-868</v>
      </c>
      <c r="G70" s="95"/>
      <c r="H70" s="95"/>
      <c r="I70" s="95"/>
      <c r="J70" s="95"/>
      <c r="K70" s="95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</row>
    <row r="71" spans="1:43" s="96" customFormat="1" ht="12.75" outlineLevel="2">
      <c r="A71" s="93"/>
      <c r="B71" s="106" t="s">
        <v>477</v>
      </c>
      <c r="C71" s="95">
        <v>-3102</v>
      </c>
      <c r="D71" s="95">
        <v>-320</v>
      </c>
      <c r="E71" s="95">
        <v>-962</v>
      </c>
      <c r="F71" s="95">
        <v>-975</v>
      </c>
      <c r="G71" s="95"/>
      <c r="H71" s="95"/>
      <c r="I71" s="95"/>
      <c r="J71" s="95"/>
      <c r="K71" s="95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</row>
    <row r="72" spans="1:43" s="96" customFormat="1" ht="12.75" outlineLevel="2">
      <c r="A72" s="93"/>
      <c r="B72" s="106" t="s">
        <v>478</v>
      </c>
      <c r="C72" s="95">
        <v>-5322</v>
      </c>
      <c r="D72" s="95">
        <v>-8982</v>
      </c>
      <c r="E72" s="95">
        <v>-4249</v>
      </c>
      <c r="F72" s="95">
        <v>-3799</v>
      </c>
      <c r="G72" s="95"/>
      <c r="H72" s="95"/>
      <c r="I72" s="95"/>
      <c r="J72" s="95"/>
      <c r="K72" s="95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</row>
    <row r="73" spans="1:43" s="96" customFormat="1" ht="12.75" outlineLevel="2">
      <c r="A73" s="93"/>
      <c r="B73" s="106" t="s">
        <v>479</v>
      </c>
      <c r="C73" s="95">
        <v>-2042</v>
      </c>
      <c r="D73" s="95">
        <v>-2351</v>
      </c>
      <c r="E73" s="95">
        <v>-1277</v>
      </c>
      <c r="F73" s="95">
        <v>-1052</v>
      </c>
      <c r="G73" s="95"/>
      <c r="H73" s="95"/>
      <c r="I73" s="95"/>
      <c r="J73" s="95"/>
      <c r="K73" s="95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</row>
    <row r="74" spans="1:43" s="96" customFormat="1" ht="12.75" outlineLevel="2">
      <c r="A74" s="93"/>
      <c r="B74" s="106" t="s">
        <v>480</v>
      </c>
      <c r="C74" s="95">
        <v>-360</v>
      </c>
      <c r="D74" s="95">
        <v>-8091</v>
      </c>
      <c r="E74" s="95">
        <v>-4081</v>
      </c>
      <c r="F74" s="95">
        <v>-6008</v>
      </c>
      <c r="G74" s="95"/>
      <c r="H74" s="95"/>
      <c r="I74" s="95"/>
      <c r="J74" s="95"/>
      <c r="K74" s="95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</row>
    <row r="75" spans="1:43" s="96" customFormat="1" ht="12.75" outlineLevel="2">
      <c r="A75" s="9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</row>
    <row r="76" spans="1:43" s="92" customFormat="1" ht="12.75" outlineLevel="1">
      <c r="A76" s="90"/>
      <c r="B76" s="105" t="s">
        <v>176</v>
      </c>
      <c r="C76" s="91">
        <f>SUM(C77:C85)</f>
        <v>-21555</v>
      </c>
      <c r="D76" s="91">
        <f t="shared" ref="D76" si="16">SUM(D77:D85)</f>
        <v>-29974</v>
      </c>
      <c r="E76" s="91">
        <f>SUM(E77:E85)</f>
        <v>-25200</v>
      </c>
      <c r="F76" s="91">
        <f>SUM(F77:F85)</f>
        <v>-25775</v>
      </c>
      <c r="G76" s="91"/>
      <c r="H76" s="91"/>
      <c r="I76" s="91"/>
      <c r="J76" s="91"/>
      <c r="K76" s="91"/>
      <c r="L76" s="91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</row>
    <row r="77" spans="1:43" s="96" customFormat="1" ht="12.75" outlineLevel="2">
      <c r="A77" s="93"/>
      <c r="B77" s="106" t="s">
        <v>481</v>
      </c>
      <c r="C77" s="95">
        <v>-437</v>
      </c>
      <c r="D77" s="95">
        <v>-619</v>
      </c>
      <c r="E77" s="95">
        <v>-363</v>
      </c>
      <c r="F77" s="95">
        <v>-198</v>
      </c>
      <c r="G77" s="95"/>
      <c r="H77" s="95"/>
      <c r="I77" s="95"/>
      <c r="J77" s="95"/>
      <c r="K77" s="95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</row>
    <row r="78" spans="1:43" s="96" customFormat="1" ht="12.75" outlineLevel="2">
      <c r="A78" s="93"/>
      <c r="B78" s="106" t="s">
        <v>347</v>
      </c>
      <c r="C78" s="95">
        <v>-11584</v>
      </c>
      <c r="D78" s="95">
        <v>-12625</v>
      </c>
      <c r="E78" s="95">
        <v>-12368</v>
      </c>
      <c r="F78" s="95">
        <v>-13647</v>
      </c>
      <c r="G78" s="95"/>
      <c r="H78" s="95"/>
      <c r="I78" s="95"/>
      <c r="J78" s="95"/>
      <c r="K78" s="95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</row>
    <row r="79" spans="1:43" s="96" customFormat="1" ht="12.75" outlineLevel="2">
      <c r="A79" s="93"/>
      <c r="B79" s="106" t="s">
        <v>482</v>
      </c>
      <c r="C79" s="95"/>
      <c r="D79" s="95">
        <v>-3632</v>
      </c>
      <c r="E79" s="95">
        <v>-2680</v>
      </c>
      <c r="F79" s="95">
        <v>-2818</v>
      </c>
      <c r="G79" s="95"/>
      <c r="H79" s="95"/>
      <c r="I79" s="95"/>
      <c r="J79" s="95"/>
      <c r="K79" s="95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</row>
    <row r="80" spans="1:43" s="96" customFormat="1" ht="12.75" outlineLevel="2">
      <c r="A80" s="93"/>
      <c r="B80" s="106" t="s">
        <v>483</v>
      </c>
      <c r="C80" s="95"/>
      <c r="D80" s="95">
        <v>-850</v>
      </c>
      <c r="E80" s="95">
        <v>-598</v>
      </c>
      <c r="F80" s="95">
        <v>-600</v>
      </c>
      <c r="G80" s="95"/>
      <c r="H80" s="95"/>
      <c r="I80" s="95"/>
      <c r="J80" s="95"/>
      <c r="K80" s="95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</row>
    <row r="81" spans="1:43" s="96" customFormat="1" ht="12.75" outlineLevel="2">
      <c r="A81" s="93"/>
      <c r="B81" s="106" t="s">
        <v>484</v>
      </c>
      <c r="C81" s="95">
        <v>-706</v>
      </c>
      <c r="D81" s="95">
        <v>-1146</v>
      </c>
      <c r="E81" s="95">
        <v>-916</v>
      </c>
      <c r="F81" s="95">
        <v>-996</v>
      </c>
      <c r="G81" s="95"/>
      <c r="H81" s="95"/>
      <c r="I81" s="95"/>
      <c r="J81" s="95"/>
      <c r="K81" s="95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</row>
    <row r="82" spans="1:43" s="96" customFormat="1" ht="12.75" outlineLevel="2">
      <c r="A82" s="93"/>
      <c r="B82" s="106" t="s">
        <v>485</v>
      </c>
      <c r="C82" s="95">
        <v>-7892</v>
      </c>
      <c r="D82" s="95">
        <v>-5809</v>
      </c>
      <c r="E82" s="95">
        <v>-4170</v>
      </c>
      <c r="F82" s="95">
        <v>-4301</v>
      </c>
      <c r="G82" s="95"/>
      <c r="H82" s="95"/>
      <c r="I82" s="95"/>
      <c r="J82" s="95"/>
      <c r="K82" s="95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</row>
    <row r="83" spans="1:43" s="96" customFormat="1" ht="12.75" outlineLevel="2">
      <c r="A83" s="93"/>
      <c r="B83" s="106" t="s">
        <v>486</v>
      </c>
      <c r="C83" s="95"/>
      <c r="D83" s="95">
        <v>-3971</v>
      </c>
      <c r="E83" s="95">
        <v>-4105</v>
      </c>
      <c r="F83" s="95">
        <v>-3215</v>
      </c>
      <c r="G83" s="95"/>
      <c r="H83" s="95"/>
      <c r="I83" s="95"/>
      <c r="J83" s="95"/>
      <c r="K83" s="95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</row>
    <row r="84" spans="1:43" s="96" customFormat="1" ht="12.75" outlineLevel="2">
      <c r="A84" s="93"/>
      <c r="B84" s="106" t="s">
        <v>487</v>
      </c>
      <c r="C84" s="95">
        <v>-936</v>
      </c>
      <c r="D84" s="95">
        <v>-1322</v>
      </c>
      <c r="E84" s="95"/>
      <c r="F84" s="95"/>
      <c r="G84" s="95"/>
      <c r="H84" s="95"/>
      <c r="I84" s="95"/>
      <c r="J84" s="95"/>
      <c r="K84" s="95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</row>
    <row r="85" spans="1:43" s="96" customFormat="1" ht="12.75" outlineLevel="2">
      <c r="A85" s="93"/>
      <c r="B85" s="106"/>
      <c r="C85" s="95"/>
      <c r="D85" s="95"/>
      <c r="E85" s="95"/>
      <c r="F85" s="95"/>
      <c r="G85" s="95"/>
      <c r="H85" s="95"/>
      <c r="I85" s="95"/>
      <c r="J85" s="95"/>
      <c r="K85" s="95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</row>
    <row r="86" spans="1:43" s="92" customFormat="1" ht="12.75" outlineLevel="1">
      <c r="A86" s="90"/>
      <c r="B86" s="105" t="s">
        <v>143</v>
      </c>
      <c r="C86" s="91">
        <f>SUM(C87:C99)</f>
        <v>-82959</v>
      </c>
      <c r="D86" s="91">
        <f>SUM(D87:D99)</f>
        <v>-105518</v>
      </c>
      <c r="E86" s="91">
        <f>SUM(E87:E99)</f>
        <v>-74332</v>
      </c>
      <c r="F86" s="91">
        <f>SUM(F87:F99)</f>
        <v>-232160</v>
      </c>
      <c r="G86" s="91"/>
      <c r="H86" s="91"/>
      <c r="I86" s="91"/>
      <c r="J86" s="91"/>
      <c r="K86" s="91"/>
      <c r="L86" s="91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</row>
    <row r="87" spans="1:43" s="96" customFormat="1" ht="12.75" outlineLevel="2">
      <c r="A87" s="93"/>
      <c r="B87" s="106" t="s">
        <v>488</v>
      </c>
      <c r="C87" s="95">
        <v>-4000</v>
      </c>
      <c r="D87" s="95">
        <v>-5000</v>
      </c>
      <c r="E87" s="95">
        <v>-4000</v>
      </c>
      <c r="F87" s="95">
        <v>-4000</v>
      </c>
      <c r="G87" s="95"/>
      <c r="H87" s="95"/>
      <c r="I87" s="95"/>
      <c r="J87" s="95"/>
      <c r="K87" s="95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</row>
    <row r="88" spans="1:43" s="96" customFormat="1" ht="12.75" outlineLevel="2">
      <c r="A88" s="93"/>
      <c r="B88" s="106" t="s">
        <v>850</v>
      </c>
      <c r="C88" s="95"/>
      <c r="D88" s="95"/>
      <c r="E88" s="95"/>
      <c r="F88" s="95">
        <v>-212</v>
      </c>
      <c r="G88" s="95"/>
      <c r="H88" s="95"/>
      <c r="I88" s="95"/>
      <c r="J88" s="95"/>
      <c r="K88" s="95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</row>
    <row r="89" spans="1:43" s="96" customFormat="1" ht="12.75" outlineLevel="2">
      <c r="A89" s="93"/>
      <c r="B89" s="106" t="s">
        <v>542</v>
      </c>
      <c r="C89" s="95">
        <v>-2749</v>
      </c>
      <c r="D89" s="95"/>
      <c r="E89" s="95"/>
      <c r="F89" s="95"/>
      <c r="G89" s="95"/>
      <c r="H89" s="95"/>
      <c r="I89" s="95"/>
      <c r="J89" s="95"/>
      <c r="K89" s="95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</row>
    <row r="90" spans="1:43" s="96" customFormat="1" ht="12.75" outlineLevel="2">
      <c r="A90" s="93"/>
      <c r="B90" s="106" t="s">
        <v>489</v>
      </c>
      <c r="C90" s="95"/>
      <c r="D90" s="95">
        <v>-11700</v>
      </c>
      <c r="E90" s="95">
        <v>-15600</v>
      </c>
      <c r="F90" s="95">
        <v>-2600</v>
      </c>
      <c r="G90" s="95"/>
      <c r="H90" s="95"/>
      <c r="I90" s="95"/>
      <c r="J90" s="95"/>
      <c r="K90" s="95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</row>
    <row r="91" spans="1:43" s="96" customFormat="1" ht="12.75" outlineLevel="2">
      <c r="A91" s="93"/>
      <c r="B91" s="106" t="s">
        <v>490</v>
      </c>
      <c r="C91" s="95"/>
      <c r="D91" s="95">
        <v>-20995</v>
      </c>
      <c r="E91" s="95">
        <v>-27300</v>
      </c>
      <c r="F91" s="95">
        <v>-46655</v>
      </c>
      <c r="G91" s="95"/>
      <c r="H91" s="95"/>
      <c r="I91" s="95"/>
      <c r="J91" s="95"/>
      <c r="K91" s="95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</row>
    <row r="92" spans="1:43" s="96" customFormat="1" ht="12.75" outlineLevel="2">
      <c r="A92" s="93"/>
      <c r="B92" s="106" t="s">
        <v>843</v>
      </c>
      <c r="C92" s="95"/>
      <c r="D92" s="95"/>
      <c r="E92" s="95"/>
      <c r="F92" s="95">
        <v>-66400</v>
      </c>
      <c r="G92" s="95"/>
      <c r="H92" s="95"/>
      <c r="I92" s="95"/>
      <c r="J92" s="95"/>
      <c r="K92" s="95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</row>
    <row r="93" spans="1:43" s="96" customFormat="1" ht="12.75" outlineLevel="2">
      <c r="A93" s="93"/>
      <c r="B93" s="106" t="s">
        <v>512</v>
      </c>
      <c r="C93" s="95"/>
      <c r="D93" s="95">
        <v>-2391</v>
      </c>
      <c r="E93" s="95">
        <v>-1098</v>
      </c>
      <c r="F93" s="95">
        <v>-1246</v>
      </c>
      <c r="G93" s="95"/>
      <c r="H93" s="95"/>
      <c r="I93" s="95"/>
      <c r="J93" s="95"/>
      <c r="K93" s="95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</row>
    <row r="94" spans="1:43" s="96" customFormat="1" ht="12.75" outlineLevel="2">
      <c r="A94" s="93"/>
      <c r="B94" s="106" t="s">
        <v>513</v>
      </c>
      <c r="C94" s="95">
        <v>-63683</v>
      </c>
      <c r="D94" s="95">
        <v>-44425</v>
      </c>
      <c r="E94" s="95">
        <v>-1413</v>
      </c>
      <c r="F94" s="95">
        <v>-14467</v>
      </c>
      <c r="G94" s="95"/>
      <c r="H94" s="95"/>
      <c r="I94" s="95"/>
      <c r="J94" s="95"/>
      <c r="K94" s="95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</row>
    <row r="95" spans="1:43" s="96" customFormat="1" ht="12.75" outlineLevel="2">
      <c r="A95" s="93"/>
      <c r="B95" s="106" t="s">
        <v>491</v>
      </c>
      <c r="C95" s="95">
        <v>-9484</v>
      </c>
      <c r="D95" s="95">
        <v>-12010</v>
      </c>
      <c r="E95" s="95">
        <v>-9342</v>
      </c>
      <c r="F95" s="95">
        <v>-10459</v>
      </c>
      <c r="G95" s="95"/>
      <c r="H95" s="95"/>
      <c r="I95" s="95"/>
      <c r="J95" s="95"/>
      <c r="K95" s="95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</row>
    <row r="96" spans="1:43" s="96" customFormat="1" ht="12.75" outlineLevel="2">
      <c r="A96" s="93"/>
      <c r="B96" s="106" t="s">
        <v>492</v>
      </c>
      <c r="C96" s="95"/>
      <c r="D96" s="95">
        <v>-1585</v>
      </c>
      <c r="E96" s="95">
        <v>-3991</v>
      </c>
      <c r="F96" s="95">
        <v>-785</v>
      </c>
      <c r="G96" s="95"/>
      <c r="H96" s="95"/>
      <c r="I96" s="95"/>
      <c r="J96" s="95"/>
      <c r="K96" s="95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</row>
    <row r="97" spans="1:43" s="96" customFormat="1" ht="12.75" outlineLevel="2">
      <c r="A97" s="93"/>
      <c r="B97" s="106" t="s">
        <v>493</v>
      </c>
      <c r="C97" s="95">
        <v>-41</v>
      </c>
      <c r="D97" s="95">
        <v>-315</v>
      </c>
      <c r="E97" s="95">
        <v>-44</v>
      </c>
      <c r="F97" s="95">
        <v>-288</v>
      </c>
      <c r="G97" s="95"/>
      <c r="H97" s="95"/>
      <c r="I97" s="95"/>
      <c r="J97" s="95"/>
      <c r="K97" s="95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</row>
    <row r="98" spans="1:43" s="96" customFormat="1" ht="12.75" outlineLevel="2">
      <c r="A98" s="93"/>
      <c r="B98" s="106" t="s">
        <v>144</v>
      </c>
      <c r="C98" s="95">
        <v>-3002</v>
      </c>
      <c r="D98" s="95">
        <v>-7097</v>
      </c>
      <c r="E98" s="95">
        <v>-11544</v>
      </c>
      <c r="F98" s="95">
        <v>-85048</v>
      </c>
      <c r="G98" s="95"/>
      <c r="H98" s="95"/>
      <c r="I98" s="95"/>
      <c r="J98" s="95"/>
      <c r="K98" s="95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</row>
    <row r="99" spans="1:43" s="96" customFormat="1" ht="12.75" outlineLevel="2">
      <c r="A99" s="93"/>
      <c r="B99" s="106"/>
      <c r="C99" s="95"/>
      <c r="D99" s="95"/>
      <c r="H99" s="95"/>
      <c r="I99" s="95"/>
      <c r="J99" s="95"/>
      <c r="K99" s="95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</row>
    <row r="100" spans="1:43" s="92" customFormat="1" ht="12.75" outlineLevel="1">
      <c r="A100" s="90"/>
      <c r="B100" s="105" t="s">
        <v>178</v>
      </c>
      <c r="C100" s="91">
        <f>SUM(C101:C104)</f>
        <v>-4367</v>
      </c>
      <c r="D100" s="91">
        <f>SUM(D101:D104)</f>
        <v>-3758</v>
      </c>
      <c r="E100" s="91">
        <f>SUM(E101:E104)</f>
        <v>-3257</v>
      </c>
      <c r="F100" s="91">
        <f>SUM(F101:F104)</f>
        <v>-1196</v>
      </c>
      <c r="G100" s="91"/>
      <c r="H100" s="91"/>
      <c r="I100" s="91"/>
      <c r="J100" s="91"/>
      <c r="K100" s="91"/>
      <c r="L100" s="91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</row>
    <row r="101" spans="1:43" s="96" customFormat="1" ht="12.75" outlineLevel="2">
      <c r="A101" s="93"/>
      <c r="B101" s="106" t="s">
        <v>494</v>
      </c>
      <c r="C101" s="95">
        <v>-1018</v>
      </c>
      <c r="D101" s="95">
        <v>-2290</v>
      </c>
      <c r="E101" s="95">
        <v>-1116</v>
      </c>
      <c r="F101" s="95">
        <v>-1196</v>
      </c>
      <c r="G101" s="95"/>
      <c r="H101" s="95"/>
      <c r="I101" s="95"/>
      <c r="J101" s="95"/>
      <c r="K101" s="95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</row>
    <row r="102" spans="1:43" s="96" customFormat="1" ht="12.75" outlineLevel="2">
      <c r="A102" s="93"/>
      <c r="B102" s="106" t="s">
        <v>495</v>
      </c>
      <c r="C102" s="95">
        <v>-3349</v>
      </c>
      <c r="D102" s="95">
        <v>-1168</v>
      </c>
      <c r="E102" s="95">
        <v>-641</v>
      </c>
      <c r="F102" s="95"/>
      <c r="G102" s="95"/>
      <c r="H102" s="95"/>
      <c r="I102" s="95"/>
      <c r="J102" s="95"/>
      <c r="K102" s="95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</row>
    <row r="103" spans="1:43" s="96" customFormat="1" ht="12.75" outlineLevel="2">
      <c r="A103" s="93"/>
      <c r="B103" s="106" t="s">
        <v>496</v>
      </c>
      <c r="C103" s="95"/>
      <c r="D103" s="95">
        <v>-300</v>
      </c>
      <c r="E103" s="95">
        <v>-1500</v>
      </c>
      <c r="F103" s="95"/>
      <c r="G103" s="95"/>
      <c r="H103" s="95"/>
      <c r="I103" s="95"/>
      <c r="J103" s="95"/>
      <c r="K103" s="95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</row>
    <row r="104" spans="1:43" s="96" customFormat="1" ht="12.75" outlineLevel="2">
      <c r="A104" s="93"/>
      <c r="B104" s="106"/>
      <c r="C104" s="95"/>
      <c r="D104" s="95"/>
      <c r="E104" s="95"/>
      <c r="F104" s="95"/>
      <c r="G104" s="95"/>
      <c r="H104" s="95"/>
      <c r="I104" s="95"/>
      <c r="J104" s="95"/>
      <c r="K104" s="95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</row>
    <row r="105" spans="1:43" s="92" customFormat="1" ht="12.75" outlineLevel="1">
      <c r="A105" s="90"/>
      <c r="B105" s="105" t="s">
        <v>191</v>
      </c>
      <c r="C105" s="91">
        <f>SUM(C106:C108)</f>
        <v>-8940</v>
      </c>
      <c r="D105" s="91">
        <f t="shared" ref="D105" si="17">SUM(D106:D108)</f>
        <v>-10568</v>
      </c>
      <c r="E105" s="91">
        <f>SUM(E106:E108)</f>
        <v>-7957</v>
      </c>
      <c r="F105" s="91">
        <f>SUM(F106:F108)</f>
        <v>-10084</v>
      </c>
      <c r="G105" s="91"/>
      <c r="H105" s="91"/>
      <c r="I105" s="91"/>
      <c r="J105" s="91"/>
      <c r="K105" s="91"/>
      <c r="L105" s="91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</row>
    <row r="106" spans="1:43" s="96" customFormat="1" ht="12.75" outlineLevel="2">
      <c r="A106" s="93"/>
      <c r="B106" s="106" t="s">
        <v>497</v>
      </c>
      <c r="C106" s="95">
        <v>-1670</v>
      </c>
      <c r="D106" s="95">
        <v>-1306</v>
      </c>
      <c r="E106" s="95">
        <v>-4170</v>
      </c>
      <c r="F106" s="95">
        <v>-7768</v>
      </c>
      <c r="G106" s="95"/>
      <c r="H106" s="95"/>
      <c r="I106" s="95"/>
      <c r="J106" s="95"/>
      <c r="K106" s="95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</row>
    <row r="107" spans="1:43" s="96" customFormat="1" ht="12.75" outlineLevel="2">
      <c r="A107" s="93"/>
      <c r="B107" s="106" t="s">
        <v>498</v>
      </c>
      <c r="C107" s="95">
        <v>-7270</v>
      </c>
      <c r="D107" s="95">
        <v>-9262</v>
      </c>
      <c r="E107" s="95">
        <v>-3787</v>
      </c>
      <c r="F107" s="95">
        <v>-2316</v>
      </c>
      <c r="G107" s="95"/>
      <c r="H107" s="95"/>
      <c r="I107" s="95"/>
      <c r="J107" s="95"/>
      <c r="K107" s="95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</row>
    <row r="108" spans="1:43" s="96" customFormat="1" ht="12.75" outlineLevel="2">
      <c r="A108" s="9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</row>
    <row r="109" spans="1:43" s="92" customFormat="1" ht="12.75" outlineLevel="1">
      <c r="A109" s="90"/>
      <c r="B109" s="105" t="s">
        <v>499</v>
      </c>
      <c r="C109" s="91">
        <f>SUM(C110:C118)</f>
        <v>-10922</v>
      </c>
      <c r="D109" s="91">
        <f t="shared" ref="D109" si="18">SUM(D110:D118)</f>
        <v>-12500</v>
      </c>
      <c r="E109" s="91">
        <f>SUM(E110:E118)</f>
        <v>-10964</v>
      </c>
      <c r="F109" s="91">
        <f>SUM(F110:F118)</f>
        <v>-12140</v>
      </c>
      <c r="G109" s="91"/>
      <c r="H109" s="91"/>
      <c r="I109" s="91"/>
      <c r="J109" s="91"/>
      <c r="K109" s="91"/>
      <c r="L109" s="91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</row>
    <row r="110" spans="1:43" s="96" customFormat="1" ht="12.75" outlineLevel="2">
      <c r="A110" s="93"/>
      <c r="B110" s="106" t="s">
        <v>500</v>
      </c>
      <c r="C110" s="95"/>
      <c r="D110" s="95">
        <v>-11549</v>
      </c>
      <c r="E110" s="95">
        <v>-92</v>
      </c>
      <c r="F110" s="95">
        <v>-22</v>
      </c>
      <c r="G110" s="95"/>
      <c r="H110" s="95"/>
      <c r="I110" s="95"/>
      <c r="J110" s="95"/>
      <c r="K110" s="95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</row>
    <row r="111" spans="1:43" s="96" customFormat="1" ht="12.75" outlineLevel="2">
      <c r="A111" s="93"/>
      <c r="B111" s="106" t="s">
        <v>501</v>
      </c>
      <c r="C111" s="95">
        <v>-9133</v>
      </c>
      <c r="D111" s="95"/>
      <c r="E111" s="95">
        <v>-1007</v>
      </c>
      <c r="F111" s="95"/>
      <c r="G111" s="95"/>
      <c r="H111" s="95"/>
      <c r="I111" s="95"/>
      <c r="J111" s="95"/>
      <c r="K111" s="95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</row>
    <row r="112" spans="1:43" s="96" customFormat="1" ht="12.75" outlineLevel="2">
      <c r="A112" s="93"/>
      <c r="B112" s="106" t="s">
        <v>543</v>
      </c>
      <c r="C112" s="95">
        <v>-534</v>
      </c>
      <c r="D112" s="95"/>
      <c r="E112" s="95"/>
      <c r="F112" s="95"/>
      <c r="G112" s="95"/>
      <c r="H112" s="95"/>
      <c r="I112" s="95"/>
      <c r="J112" s="95"/>
      <c r="K112" s="95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</row>
    <row r="113" spans="1:43" s="96" customFormat="1" ht="12.75" outlineLevel="2">
      <c r="A113" s="93"/>
      <c r="B113" s="106" t="s">
        <v>544</v>
      </c>
      <c r="C113" s="95">
        <v>-77</v>
      </c>
      <c r="D113" s="95"/>
      <c r="E113" s="95"/>
      <c r="F113" s="95"/>
      <c r="G113" s="95"/>
      <c r="H113" s="95"/>
      <c r="I113" s="95"/>
      <c r="J113" s="95"/>
      <c r="K113" s="95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</row>
    <row r="114" spans="1:43" s="96" customFormat="1" ht="12.75" outlineLevel="2">
      <c r="A114" s="93"/>
      <c r="B114" s="106" t="s">
        <v>502</v>
      </c>
      <c r="C114" s="95">
        <v>-504</v>
      </c>
      <c r="D114" s="95"/>
      <c r="E114" s="95">
        <v>-9306</v>
      </c>
      <c r="F114" s="95">
        <v>-9953</v>
      </c>
      <c r="G114" s="95"/>
      <c r="H114" s="95"/>
      <c r="I114" s="95"/>
      <c r="J114" s="95"/>
      <c r="K114" s="95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</row>
    <row r="115" spans="1:43" s="96" customFormat="1" ht="12.75" outlineLevel="2">
      <c r="A115" s="93"/>
      <c r="B115" s="106" t="s">
        <v>545</v>
      </c>
      <c r="C115" s="95"/>
      <c r="D115" s="95"/>
      <c r="E115" s="95">
        <v>-76</v>
      </c>
      <c r="F115" s="95">
        <v>-130</v>
      </c>
      <c r="G115" s="95"/>
      <c r="H115" s="95"/>
      <c r="I115" s="95"/>
      <c r="J115" s="95"/>
      <c r="K115" s="95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</row>
    <row r="116" spans="1:43" s="96" customFormat="1" ht="12.75" outlineLevel="2">
      <c r="A116" s="93"/>
      <c r="B116" s="106" t="s">
        <v>503</v>
      </c>
      <c r="C116" s="95">
        <v>-637</v>
      </c>
      <c r="D116" s="95">
        <v>-951</v>
      </c>
      <c r="E116" s="95">
        <v>-333</v>
      </c>
      <c r="F116" s="95">
        <v>-2035</v>
      </c>
      <c r="G116" s="95"/>
      <c r="H116" s="95"/>
      <c r="I116" s="95"/>
      <c r="J116" s="95"/>
      <c r="K116" s="95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</row>
    <row r="117" spans="1:43" s="96" customFormat="1" ht="12.75" outlineLevel="2">
      <c r="A117" s="93"/>
      <c r="B117" s="106" t="s">
        <v>504</v>
      </c>
      <c r="C117" s="95">
        <v>-37</v>
      </c>
      <c r="D117" s="95"/>
      <c r="E117" s="95">
        <v>-150</v>
      </c>
      <c r="F117" s="95"/>
      <c r="G117" s="95"/>
      <c r="H117" s="95"/>
      <c r="I117" s="95"/>
      <c r="J117" s="95"/>
      <c r="K117" s="95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</row>
    <row r="118" spans="1:43" s="96" customFormat="1" ht="12.75" outlineLevel="2">
      <c r="A118" s="93"/>
      <c r="B118" s="106"/>
      <c r="C118" s="95"/>
      <c r="D118" s="95"/>
      <c r="E118" s="95"/>
      <c r="F118" s="95"/>
      <c r="G118" s="95"/>
      <c r="H118" s="95"/>
      <c r="I118" s="95"/>
      <c r="J118" s="95"/>
      <c r="K118" s="95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</row>
    <row r="119" spans="1:43" s="92" customFormat="1" ht="12.75" outlineLevel="1">
      <c r="A119" s="90"/>
      <c r="B119" s="105" t="s">
        <v>180</v>
      </c>
      <c r="C119" s="91">
        <f>SUM(C120:C128)</f>
        <v>-14746</v>
      </c>
      <c r="D119" s="91">
        <f t="shared" ref="D119" si="19">SUM(D120:D128)</f>
        <v>-17715</v>
      </c>
      <c r="E119" s="91">
        <f>SUM(E120:E128)</f>
        <v>-10014</v>
      </c>
      <c r="F119" s="91">
        <f>SUM(F120:F128)</f>
        <v>-9642</v>
      </c>
      <c r="G119" s="91"/>
      <c r="H119" s="91"/>
      <c r="I119" s="91"/>
      <c r="J119" s="91"/>
      <c r="K119" s="91"/>
      <c r="L119" s="91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</row>
    <row r="120" spans="1:43" s="96" customFormat="1" ht="12.75" outlineLevel="2">
      <c r="A120" s="93"/>
      <c r="B120" s="106" t="s">
        <v>546</v>
      </c>
      <c r="C120" s="95">
        <v>-899</v>
      </c>
      <c r="D120" s="95">
        <v>-63</v>
      </c>
      <c r="E120" s="95">
        <v>-31</v>
      </c>
      <c r="F120" s="95">
        <v>-79</v>
      </c>
      <c r="G120" s="95"/>
      <c r="H120" s="95"/>
      <c r="I120" s="95"/>
      <c r="J120" s="95"/>
      <c r="K120" s="95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</row>
    <row r="121" spans="1:43" s="96" customFormat="1" ht="12.75" outlineLevel="2">
      <c r="A121" s="93"/>
      <c r="B121" s="106" t="s">
        <v>505</v>
      </c>
      <c r="C121" s="95">
        <v>-2382</v>
      </c>
      <c r="D121" s="95">
        <v>-3275</v>
      </c>
      <c r="E121" s="95">
        <v>-2107</v>
      </c>
      <c r="F121" s="95">
        <v>-2707</v>
      </c>
      <c r="G121" s="95"/>
      <c r="H121" s="95"/>
      <c r="I121" s="95"/>
      <c r="J121" s="95"/>
      <c r="K121" s="95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</row>
    <row r="122" spans="1:43" s="96" customFormat="1" ht="12.75" outlineLevel="2">
      <c r="A122" s="93"/>
      <c r="B122" s="106" t="s">
        <v>506</v>
      </c>
      <c r="C122" s="95">
        <v>-607</v>
      </c>
      <c r="D122" s="95">
        <v>-892</v>
      </c>
      <c r="E122" s="95">
        <v>-383</v>
      </c>
      <c r="F122" s="95">
        <v>-810</v>
      </c>
      <c r="G122" s="95"/>
      <c r="H122" s="95"/>
      <c r="I122" s="95"/>
      <c r="J122" s="95"/>
      <c r="K122" s="95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</row>
    <row r="123" spans="1:43" s="96" customFormat="1" ht="12.75" outlineLevel="2">
      <c r="A123" s="93"/>
      <c r="B123" s="106" t="s">
        <v>507</v>
      </c>
      <c r="C123" s="95"/>
      <c r="D123" s="95">
        <v>-1821</v>
      </c>
      <c r="E123" s="95">
        <v>-2844</v>
      </c>
      <c r="F123" s="95">
        <v>-2689</v>
      </c>
      <c r="G123" s="95"/>
      <c r="H123" s="95"/>
      <c r="I123" s="95"/>
      <c r="J123" s="95"/>
      <c r="K123" s="95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</row>
    <row r="124" spans="1:43" s="96" customFormat="1" ht="12.75" outlineLevel="2">
      <c r="A124" s="93"/>
      <c r="B124" s="106" t="s">
        <v>508</v>
      </c>
      <c r="C124" s="95">
        <v>-3163</v>
      </c>
      <c r="D124" s="95">
        <v>-4555</v>
      </c>
      <c r="E124" s="95">
        <v>-1040</v>
      </c>
      <c r="F124" s="95">
        <v>-132</v>
      </c>
      <c r="G124" s="95"/>
      <c r="H124" s="95"/>
      <c r="I124" s="95"/>
      <c r="J124" s="95"/>
      <c r="K124" s="95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</row>
    <row r="125" spans="1:43" s="96" customFormat="1" ht="12.75" outlineLevel="2">
      <c r="A125" s="93"/>
      <c r="B125" s="106" t="s">
        <v>509</v>
      </c>
      <c r="C125" s="95">
        <v>-308</v>
      </c>
      <c r="D125" s="95">
        <v>-557</v>
      </c>
      <c r="E125" s="95">
        <v>-83</v>
      </c>
      <c r="F125" s="95"/>
      <c r="G125" s="95"/>
      <c r="H125" s="95"/>
      <c r="I125" s="95"/>
      <c r="J125" s="95"/>
      <c r="K125" s="95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</row>
    <row r="126" spans="1:43" s="96" customFormat="1" ht="12.75" outlineLevel="2">
      <c r="A126" s="93"/>
      <c r="B126" s="106" t="s">
        <v>510</v>
      </c>
      <c r="C126" s="95">
        <v>-3887</v>
      </c>
      <c r="D126" s="95">
        <v>-6552</v>
      </c>
      <c r="E126" s="95">
        <v>-3526</v>
      </c>
      <c r="F126" s="95">
        <v>-3225</v>
      </c>
      <c r="G126" s="95"/>
      <c r="H126" s="95"/>
      <c r="I126" s="95"/>
      <c r="J126" s="95"/>
      <c r="K126" s="95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</row>
    <row r="127" spans="1:43" s="96" customFormat="1" ht="12.75" outlineLevel="2">
      <c r="A127" s="93"/>
      <c r="B127" s="106" t="s">
        <v>547</v>
      </c>
      <c r="C127" s="95">
        <v>-3500</v>
      </c>
      <c r="D127" s="95"/>
      <c r="E127" s="95"/>
      <c r="F127" s="95"/>
      <c r="G127" s="95"/>
      <c r="H127" s="95"/>
      <c r="I127" s="95"/>
      <c r="J127" s="95"/>
      <c r="K127" s="95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</row>
    <row r="128" spans="1:43" s="96" customFormat="1" ht="12.75" outlineLevel="1">
      <c r="A128" s="93"/>
      <c r="B128" s="106"/>
      <c r="C128" s="95"/>
      <c r="D128" s="95"/>
      <c r="E128" s="95"/>
      <c r="F128" s="95"/>
      <c r="G128" s="95"/>
      <c r="H128" s="95"/>
      <c r="I128" s="95"/>
      <c r="J128" s="95"/>
      <c r="K128" s="95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</row>
    <row r="129" spans="1:42" ht="15.75">
      <c r="A129" s="83"/>
      <c r="B129" s="100" t="s">
        <v>181</v>
      </c>
      <c r="C129" s="110">
        <f t="shared" ref="C129:K129" si="20">C35+C37</f>
        <v>476357</v>
      </c>
      <c r="D129" s="110">
        <f t="shared" si="20"/>
        <v>705716</v>
      </c>
      <c r="E129" s="110">
        <f t="shared" si="20"/>
        <v>585761</v>
      </c>
      <c r="F129" s="110">
        <f t="shared" ref="F129" si="21">F35+F37</f>
        <v>523734</v>
      </c>
      <c r="G129" s="277"/>
      <c r="H129" s="110">
        <f t="shared" si="20"/>
        <v>558320</v>
      </c>
      <c r="I129" s="110">
        <f t="shared" si="20"/>
        <v>570346</v>
      </c>
      <c r="J129" s="110">
        <f t="shared" si="20"/>
        <v>582614</v>
      </c>
      <c r="K129" s="110">
        <f t="shared" si="20"/>
        <v>595127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</row>
    <row r="130" spans="1:42" ht="16.5" thickBot="1">
      <c r="A130" s="83"/>
      <c r="B130" s="101" t="s">
        <v>106</v>
      </c>
      <c r="C130" s="102">
        <f>C129/C20</f>
        <v>0.48398164686470657</v>
      </c>
      <c r="D130" s="102">
        <f t="shared" ref="D130:K130" si="22">D129/D20</f>
        <v>0.40881211405002721</v>
      </c>
      <c r="E130" s="102">
        <f t="shared" si="22"/>
        <v>0.45173522450606968</v>
      </c>
      <c r="F130" s="102">
        <f t="shared" ref="F130" si="23">F129/F20</f>
        <v>0.38407902552782686</v>
      </c>
      <c r="G130" s="276"/>
      <c r="H130" s="102">
        <f t="shared" si="22"/>
        <v>0.40941105729569593</v>
      </c>
      <c r="I130" s="102">
        <f t="shared" si="22"/>
        <v>0.41002912316344703</v>
      </c>
      <c r="J130" s="102">
        <f t="shared" si="22"/>
        <v>0.41063596298021793</v>
      </c>
      <c r="K130" s="102">
        <f t="shared" si="22"/>
        <v>0.41123076869923336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</row>
    <row r="131" spans="1:42" ht="15.75">
      <c r="A131" s="107"/>
      <c r="B131" s="83" t="s">
        <v>262</v>
      </c>
      <c r="C131" s="104">
        <f>C132</f>
        <v>1250</v>
      </c>
      <c r="D131" s="104">
        <f>D132</f>
        <v>0</v>
      </c>
      <c r="E131" s="104">
        <f>E132</f>
        <v>0</v>
      </c>
      <c r="F131" s="104">
        <f>F132</f>
        <v>0</v>
      </c>
      <c r="G131" s="104"/>
      <c r="H131" s="104"/>
      <c r="I131" s="104"/>
      <c r="J131" s="104"/>
      <c r="K131" s="104"/>
      <c r="L131" s="108"/>
      <c r="M131" s="108"/>
      <c r="N131" s="109"/>
      <c r="O131" s="109"/>
      <c r="P131" s="109"/>
      <c r="Q131" s="109"/>
      <c r="R131" s="109"/>
      <c r="S131" s="109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</row>
    <row r="132" spans="1:42" s="96" customFormat="1" ht="12.75" outlineLevel="1">
      <c r="A132" s="93"/>
      <c r="B132" s="106" t="s">
        <v>538</v>
      </c>
      <c r="C132" s="95">
        <v>1250</v>
      </c>
      <c r="D132" s="95"/>
      <c r="E132" s="95"/>
      <c r="F132" s="95"/>
      <c r="G132" s="95"/>
      <c r="H132" s="95"/>
      <c r="I132" s="95"/>
      <c r="J132" s="95"/>
      <c r="K132" s="95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</row>
    <row r="133" spans="1:42" s="96" customFormat="1" ht="12.75" outlineLevel="1">
      <c r="A133" s="93"/>
      <c r="B133" s="106"/>
      <c r="C133" s="95"/>
      <c r="D133" s="95"/>
      <c r="E133" s="95"/>
      <c r="F133" s="95"/>
      <c r="G133" s="95"/>
      <c r="H133" s="95"/>
      <c r="I133" s="95"/>
      <c r="J133" s="95"/>
      <c r="K133" s="95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</row>
    <row r="134" spans="1:42" ht="15.75">
      <c r="A134" s="107"/>
      <c r="B134" s="97" t="s">
        <v>22</v>
      </c>
      <c r="C134" s="104">
        <f>SUM(C135:C142)</f>
        <v>-10004</v>
      </c>
      <c r="D134" s="104">
        <f>SUM(D135:D142)</f>
        <v>-15082</v>
      </c>
      <c r="E134" s="104">
        <f>SUM(E135:E142)</f>
        <v>-10508</v>
      </c>
      <c r="F134" s="104">
        <f>SUM(F135:F142)</f>
        <v>-8332</v>
      </c>
      <c r="G134" s="104"/>
      <c r="H134" s="104">
        <v>-6793</v>
      </c>
      <c r="I134" s="104">
        <v>-6752</v>
      </c>
      <c r="J134" s="104">
        <v>-6701</v>
      </c>
      <c r="K134" s="104">
        <v>-6714</v>
      </c>
      <c r="L134" s="108"/>
      <c r="M134" s="108"/>
      <c r="N134" s="109"/>
      <c r="O134" s="109"/>
      <c r="P134" s="109"/>
      <c r="Q134" s="109"/>
      <c r="R134" s="109"/>
      <c r="S134" s="109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</row>
    <row r="135" spans="1:42" s="96" customFormat="1" ht="12.75" outlineLevel="1">
      <c r="A135" s="93"/>
      <c r="B135" s="106" t="s">
        <v>381</v>
      </c>
      <c r="C135" s="95">
        <v>-4143</v>
      </c>
      <c r="D135" s="95">
        <v>-5736</v>
      </c>
      <c r="E135" s="95">
        <v>-5199</v>
      </c>
      <c r="F135" s="95">
        <v>-3247</v>
      </c>
      <c r="G135" s="95"/>
      <c r="H135" s="95"/>
      <c r="I135" s="95"/>
      <c r="J135" s="95"/>
      <c r="K135" s="95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</row>
    <row r="136" spans="1:42" s="96" customFormat="1" ht="12.75" outlineLevel="1">
      <c r="A136" s="93"/>
      <c r="B136" s="106" t="s">
        <v>126</v>
      </c>
      <c r="C136" s="95">
        <v>-2578</v>
      </c>
      <c r="D136" s="95">
        <v>-3833</v>
      </c>
      <c r="E136" s="95">
        <v>-2023</v>
      </c>
      <c r="F136" s="95">
        <v>-2058</v>
      </c>
      <c r="G136" s="95"/>
      <c r="H136" s="95"/>
      <c r="I136" s="95"/>
      <c r="J136" s="95"/>
      <c r="K136" s="95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</row>
    <row r="137" spans="1:42" s="96" customFormat="1" ht="12.75" outlineLevel="1">
      <c r="A137" s="93"/>
      <c r="B137" s="106" t="s">
        <v>514</v>
      </c>
      <c r="C137" s="95">
        <v>-2888</v>
      </c>
      <c r="D137" s="95">
        <v>-4407</v>
      </c>
      <c r="E137" s="95">
        <v>-2823</v>
      </c>
      <c r="F137" s="95">
        <v>-2837</v>
      </c>
      <c r="G137" s="95"/>
      <c r="H137" s="95"/>
      <c r="I137" s="95"/>
      <c r="J137" s="95"/>
      <c r="K137" s="95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</row>
    <row r="138" spans="1:42" s="96" customFormat="1" ht="12.75" outlineLevel="1">
      <c r="A138" s="93"/>
      <c r="B138" s="106" t="s">
        <v>382</v>
      </c>
      <c r="C138" s="95">
        <v>-257</v>
      </c>
      <c r="D138" s="95">
        <v>-260</v>
      </c>
      <c r="E138" s="95">
        <v>-68</v>
      </c>
      <c r="F138" s="95">
        <v>-66</v>
      </c>
      <c r="G138" s="95"/>
      <c r="H138" s="95"/>
      <c r="I138" s="95"/>
      <c r="J138" s="95"/>
      <c r="K138" s="95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</row>
    <row r="139" spans="1:42" s="96" customFormat="1" ht="12.75" outlineLevel="1">
      <c r="A139" s="93"/>
      <c r="B139" s="106" t="s">
        <v>384</v>
      </c>
      <c r="C139" s="95"/>
      <c r="D139" s="95"/>
      <c r="E139" s="95">
        <v>-271</v>
      </c>
      <c r="F139" s="95"/>
      <c r="G139" s="95"/>
      <c r="H139" s="95"/>
      <c r="I139" s="95"/>
      <c r="J139" s="95"/>
      <c r="K139" s="95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</row>
    <row r="140" spans="1:42" s="96" customFormat="1" ht="12.75" outlineLevel="1">
      <c r="A140" s="93"/>
      <c r="B140" s="106" t="s">
        <v>515</v>
      </c>
      <c r="C140" s="95">
        <v>-138</v>
      </c>
      <c r="D140" s="95">
        <v>-124</v>
      </c>
      <c r="E140" s="95">
        <v>-124</v>
      </c>
      <c r="F140" s="95">
        <v>-124</v>
      </c>
      <c r="G140" s="95"/>
      <c r="H140" s="95"/>
      <c r="I140" s="95"/>
      <c r="J140" s="95"/>
      <c r="K140" s="95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</row>
    <row r="141" spans="1:42" s="96" customFormat="1" ht="12.75" outlineLevel="1">
      <c r="A141" s="93"/>
      <c r="B141" s="106" t="s">
        <v>384</v>
      </c>
      <c r="C141" s="95"/>
      <c r="D141" s="95">
        <v>-722</v>
      </c>
      <c r="E141" s="95"/>
      <c r="F141" s="95"/>
      <c r="G141" s="95"/>
      <c r="H141" s="95"/>
      <c r="I141" s="95"/>
      <c r="J141" s="95"/>
      <c r="K141" s="95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</row>
    <row r="142" spans="1:42" s="96" customFormat="1" ht="12.75" outlineLevel="1">
      <c r="A142" s="93"/>
      <c r="B142" s="106"/>
      <c r="C142" s="95"/>
      <c r="D142" s="95"/>
      <c r="E142" s="95"/>
      <c r="F142" s="95"/>
      <c r="G142" s="95"/>
      <c r="H142" s="95"/>
      <c r="I142" s="95"/>
      <c r="J142" s="95"/>
      <c r="K142" s="95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</row>
    <row r="143" spans="1:42" ht="15.75">
      <c r="A143" s="107"/>
      <c r="B143" s="97" t="s">
        <v>21</v>
      </c>
      <c r="C143" s="104">
        <f>C145+C160</f>
        <v>-465881</v>
      </c>
      <c r="D143" s="104">
        <f>D145+D160</f>
        <v>-544706</v>
      </c>
      <c r="E143" s="104">
        <f>E145+E160</f>
        <v>-402576</v>
      </c>
      <c r="F143" s="104">
        <f>F145+F160</f>
        <v>-399167</v>
      </c>
      <c r="G143" s="104"/>
      <c r="H143" s="104">
        <v>-384861</v>
      </c>
      <c r="I143" s="104">
        <v>-373929</v>
      </c>
      <c r="J143" s="104">
        <v>-385726</v>
      </c>
      <c r="K143" s="104">
        <v>-387172</v>
      </c>
      <c r="L143" s="108"/>
      <c r="M143" s="108"/>
      <c r="N143" s="109"/>
      <c r="O143" s="109"/>
      <c r="P143" s="109"/>
      <c r="Q143" s="109"/>
      <c r="R143" s="109"/>
      <c r="S143" s="109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</row>
    <row r="144" spans="1:42" s="96" customFormat="1" ht="12.75" outlineLevel="1">
      <c r="A144" s="93"/>
      <c r="B144" s="106"/>
      <c r="C144" s="95"/>
      <c r="D144" s="95"/>
      <c r="E144" s="95"/>
      <c r="F144" s="95"/>
      <c r="G144" s="95"/>
      <c r="H144" s="95"/>
      <c r="I144" s="95"/>
      <c r="J144" s="95"/>
      <c r="K144" s="95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</row>
    <row r="145" spans="1:42" s="96" customFormat="1" ht="12.75" outlineLevel="1">
      <c r="A145" s="93"/>
      <c r="B145" s="105" t="s">
        <v>182</v>
      </c>
      <c r="C145" s="91">
        <f>SUM(C146:C159)</f>
        <v>-395458</v>
      </c>
      <c r="D145" s="91">
        <f>SUM(D146:D159)</f>
        <v>-440357</v>
      </c>
      <c r="E145" s="91">
        <f>SUM(E146:E159)</f>
        <v>-317242</v>
      </c>
      <c r="F145" s="91">
        <f>SUM(F146:F159)</f>
        <v>-315916</v>
      </c>
      <c r="G145" s="91"/>
      <c r="H145" s="95"/>
      <c r="I145" s="95"/>
      <c r="J145" s="95"/>
      <c r="K145" s="95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</row>
    <row r="146" spans="1:42" s="96" customFormat="1" ht="12.75" outlineLevel="1">
      <c r="A146" s="93"/>
      <c r="B146" s="106" t="s">
        <v>516</v>
      </c>
      <c r="C146" s="95">
        <v>-93165</v>
      </c>
      <c r="D146" s="95">
        <v>-174258</v>
      </c>
      <c r="E146" s="95">
        <v>-158569</v>
      </c>
      <c r="F146" s="95">
        <v>-109056</v>
      </c>
      <c r="G146" s="95"/>
      <c r="H146" s="95"/>
      <c r="I146" s="95"/>
      <c r="J146" s="95"/>
      <c r="K146" s="95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</row>
    <row r="147" spans="1:42" s="96" customFormat="1" ht="12.75" outlineLevel="1">
      <c r="A147" s="93"/>
      <c r="B147" s="106" t="s">
        <v>517</v>
      </c>
      <c r="C147" s="95">
        <v>-116599</v>
      </c>
      <c r="D147" s="95">
        <v>-178838</v>
      </c>
      <c r="E147" s="95">
        <v>-85638</v>
      </c>
      <c r="F147" s="95">
        <v>-116156</v>
      </c>
      <c r="G147" s="95"/>
      <c r="H147" s="95"/>
      <c r="I147" s="95"/>
      <c r="J147" s="95"/>
      <c r="K147" s="95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</row>
    <row r="148" spans="1:42" s="96" customFormat="1" ht="12.75" outlineLevel="1">
      <c r="A148" s="93"/>
      <c r="B148" s="106" t="s">
        <v>385</v>
      </c>
      <c r="C148" s="95">
        <v>-31263</v>
      </c>
      <c r="D148" s="95">
        <v>-51316</v>
      </c>
      <c r="E148" s="95">
        <v>-53284</v>
      </c>
      <c r="F148" s="95">
        <v>-77411</v>
      </c>
      <c r="G148" s="95"/>
      <c r="H148" s="95"/>
      <c r="I148" s="95"/>
      <c r="J148" s="95"/>
      <c r="K148" s="95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</row>
    <row r="149" spans="1:42" s="96" customFormat="1" ht="12.75" outlineLevel="1">
      <c r="A149" s="93"/>
      <c r="B149" s="106" t="s">
        <v>518</v>
      </c>
      <c r="C149" s="95"/>
      <c r="D149" s="95">
        <v>-286</v>
      </c>
      <c r="E149" s="95"/>
      <c r="F149" s="95"/>
      <c r="G149" s="95"/>
      <c r="H149" s="95"/>
      <c r="I149" s="95"/>
      <c r="J149" s="95"/>
      <c r="K149" s="95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</row>
    <row r="150" spans="1:42" s="96" customFormat="1" ht="12.75" outlineLevel="1">
      <c r="A150" s="93"/>
      <c r="B150" s="106" t="s">
        <v>548</v>
      </c>
      <c r="C150" s="95">
        <v>-61000</v>
      </c>
      <c r="D150" s="95"/>
      <c r="E150" s="95"/>
      <c r="F150" s="95"/>
      <c r="G150" s="95"/>
      <c r="H150" s="95"/>
      <c r="I150" s="95"/>
      <c r="J150" s="95"/>
      <c r="K150" s="95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</row>
    <row r="151" spans="1:42" s="96" customFormat="1" ht="12.75" outlineLevel="1">
      <c r="A151" s="93"/>
      <c r="B151" s="106" t="s">
        <v>519</v>
      </c>
      <c r="C151" s="95">
        <v>-55113</v>
      </c>
      <c r="D151" s="95">
        <v>-18202</v>
      </c>
      <c r="E151" s="95"/>
      <c r="F151" s="95"/>
      <c r="G151" s="95"/>
      <c r="H151" s="95"/>
      <c r="I151" s="95"/>
      <c r="J151" s="95"/>
      <c r="K151" s="95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</row>
    <row r="152" spans="1:42" s="96" customFormat="1" ht="12.75" outlineLevel="1">
      <c r="A152" s="93"/>
      <c r="B152" s="106" t="s">
        <v>520</v>
      </c>
      <c r="C152" s="95">
        <v>-18585</v>
      </c>
      <c r="D152" s="95">
        <v>-10010</v>
      </c>
      <c r="E152" s="95"/>
      <c r="F152" s="95"/>
      <c r="G152" s="95"/>
      <c r="H152" s="95"/>
      <c r="I152" s="95"/>
      <c r="J152" s="95"/>
      <c r="K152" s="95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</row>
    <row r="153" spans="1:42" s="96" customFormat="1" ht="12.75" outlineLevel="1">
      <c r="A153" s="93"/>
      <c r="B153" s="106" t="s">
        <v>524</v>
      </c>
      <c r="C153" s="95">
        <v>581</v>
      </c>
      <c r="D153" s="95">
        <v>8935</v>
      </c>
      <c r="E153" s="95">
        <v>-65</v>
      </c>
      <c r="F153" s="95">
        <v>1906</v>
      </c>
      <c r="G153" s="95"/>
      <c r="H153" s="95"/>
      <c r="I153" s="95"/>
      <c r="J153" s="95"/>
      <c r="K153" s="95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</row>
    <row r="154" spans="1:42" s="96" customFormat="1" ht="12.75" outlineLevel="1">
      <c r="A154" s="93"/>
      <c r="B154" s="106" t="s">
        <v>521</v>
      </c>
      <c r="C154" s="95">
        <v>-3684</v>
      </c>
      <c r="D154" s="95">
        <v>-168</v>
      </c>
      <c r="E154" s="95"/>
      <c r="F154" s="95">
        <v>-43</v>
      </c>
      <c r="G154" s="95"/>
      <c r="H154" s="95"/>
      <c r="I154" s="95"/>
      <c r="J154" s="95"/>
      <c r="K154" s="95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</row>
    <row r="155" spans="1:42" s="96" customFormat="1" ht="12.75" outlineLevel="1">
      <c r="A155" s="93"/>
      <c r="B155" s="106" t="s">
        <v>440</v>
      </c>
      <c r="C155" s="95">
        <v>-8963</v>
      </c>
      <c r="D155" s="95"/>
      <c r="E155" s="95"/>
      <c r="F155" s="95">
        <v>-154</v>
      </c>
      <c r="G155" s="95"/>
      <c r="H155" s="95"/>
      <c r="I155" s="95"/>
      <c r="J155" s="95"/>
      <c r="K155" s="95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</row>
    <row r="156" spans="1:42" s="96" customFormat="1" ht="12.75" outlineLevel="1">
      <c r="A156" s="93"/>
      <c r="B156" s="106" t="s">
        <v>549</v>
      </c>
      <c r="C156" s="95">
        <v>-2700</v>
      </c>
      <c r="D156" s="95"/>
      <c r="E156" s="95"/>
      <c r="F156" s="95">
        <v>-2086</v>
      </c>
      <c r="G156" s="95"/>
      <c r="H156" s="95"/>
      <c r="I156" s="95"/>
      <c r="J156" s="95"/>
      <c r="K156" s="95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</row>
    <row r="157" spans="1:42" s="96" customFormat="1" ht="12.75" outlineLevel="1">
      <c r="A157" s="93"/>
      <c r="B157" s="106" t="s">
        <v>522</v>
      </c>
      <c r="C157" s="95">
        <v>-4967</v>
      </c>
      <c r="D157" s="95"/>
      <c r="E157" s="95">
        <v>-500</v>
      </c>
      <c r="F157" s="95"/>
      <c r="G157" s="95"/>
      <c r="H157" s="95"/>
      <c r="I157" s="95"/>
      <c r="J157" s="95"/>
      <c r="K157" s="95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</row>
    <row r="158" spans="1:42" s="96" customFormat="1" ht="12.75" outlineLevel="1">
      <c r="A158" s="93"/>
      <c r="B158" s="106" t="s">
        <v>392</v>
      </c>
      <c r="C158" s="95"/>
      <c r="D158" s="95">
        <v>-16214</v>
      </c>
      <c r="E158" s="95">
        <v>-19186</v>
      </c>
      <c r="F158" s="95">
        <v>-12916</v>
      </c>
      <c r="G158" s="95"/>
      <c r="H158" s="95"/>
      <c r="I158" s="95"/>
      <c r="J158" s="95"/>
      <c r="K158" s="95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</row>
    <row r="159" spans="1:42" s="96" customFormat="1" ht="12.75" outlineLevel="1">
      <c r="A159" s="93"/>
      <c r="B159" s="106"/>
      <c r="C159" s="95"/>
      <c r="D159" s="95"/>
      <c r="E159" s="95"/>
      <c r="F159" s="95"/>
      <c r="G159" s="95"/>
      <c r="H159" s="95"/>
      <c r="I159" s="95"/>
      <c r="J159" s="95"/>
      <c r="K159" s="95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</row>
    <row r="160" spans="1:42" s="96" customFormat="1" ht="12.75" outlineLevel="1">
      <c r="A160" s="93"/>
      <c r="B160" s="105" t="s">
        <v>19</v>
      </c>
      <c r="C160" s="91">
        <f>SUM(C161:C168)</f>
        <v>-70423</v>
      </c>
      <c r="D160" s="91">
        <f>SUM(D161:D168)</f>
        <v>-104349</v>
      </c>
      <c r="E160" s="91">
        <f>SUM(E161:E168)</f>
        <v>-85334</v>
      </c>
      <c r="F160" s="91">
        <f>SUM(F161:F168)</f>
        <v>-83251</v>
      </c>
      <c r="G160" s="91"/>
      <c r="H160" s="95"/>
      <c r="I160" s="95"/>
      <c r="J160" s="95"/>
      <c r="K160" s="95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</row>
    <row r="161" spans="1:42" s="96" customFormat="1" ht="12.75" outlineLevel="1">
      <c r="A161" s="93"/>
      <c r="B161" s="106" t="s">
        <v>396</v>
      </c>
      <c r="C161" s="95">
        <v>-48929</v>
      </c>
      <c r="D161" s="95">
        <v>-77834</v>
      </c>
      <c r="E161" s="95">
        <v>-59827</v>
      </c>
      <c r="F161" s="95">
        <v>-61755</v>
      </c>
      <c r="G161" s="95"/>
      <c r="H161" s="95"/>
      <c r="I161" s="95"/>
      <c r="J161" s="95"/>
      <c r="K161" s="95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</row>
    <row r="162" spans="1:42" s="96" customFormat="1" ht="12.75" outlineLevel="1">
      <c r="A162" s="93"/>
      <c r="B162" s="106" t="s">
        <v>404</v>
      </c>
      <c r="C162" s="95">
        <v>-8052</v>
      </c>
      <c r="D162" s="95">
        <v>-12763</v>
      </c>
      <c r="E162" s="95">
        <v>-9870</v>
      </c>
      <c r="F162" s="95">
        <v>-10544</v>
      </c>
      <c r="G162" s="95"/>
      <c r="H162" s="95"/>
      <c r="I162" s="95"/>
      <c r="J162" s="95"/>
      <c r="K162" s="95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</row>
    <row r="163" spans="1:42" s="96" customFormat="1" ht="12.75" outlineLevel="1">
      <c r="A163" s="93"/>
      <c r="B163" s="106" t="s">
        <v>405</v>
      </c>
      <c r="C163" s="95">
        <v>1335</v>
      </c>
      <c r="D163" s="95">
        <v>3008</v>
      </c>
      <c r="E163" s="95">
        <v>-798</v>
      </c>
      <c r="F163" s="95">
        <v>1134</v>
      </c>
      <c r="G163" s="95"/>
      <c r="H163" s="95"/>
      <c r="I163" s="95"/>
      <c r="J163" s="95"/>
      <c r="K163" s="95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</row>
    <row r="164" spans="1:42" s="96" customFormat="1" ht="12.75" outlineLevel="1">
      <c r="A164" s="93"/>
      <c r="B164" s="106" t="s">
        <v>523</v>
      </c>
      <c r="C164" s="95">
        <v>-8395</v>
      </c>
      <c r="D164" s="95">
        <v>-12306</v>
      </c>
      <c r="E164" s="95">
        <v>-9629</v>
      </c>
      <c r="F164" s="95">
        <v>-10200</v>
      </c>
      <c r="G164" s="95"/>
      <c r="H164" s="95"/>
      <c r="I164" s="95"/>
      <c r="J164" s="95"/>
      <c r="K164" s="95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</row>
    <row r="165" spans="1:42" s="96" customFormat="1" ht="12.75" outlineLevel="1">
      <c r="A165" s="93"/>
      <c r="B165" s="106" t="s">
        <v>408</v>
      </c>
      <c r="C165" s="95">
        <v>-1202</v>
      </c>
      <c r="D165" s="95">
        <v>-1106</v>
      </c>
      <c r="E165" s="95">
        <v>-1610</v>
      </c>
      <c r="F165" s="95">
        <v>-1886</v>
      </c>
      <c r="G165" s="95"/>
      <c r="H165" s="95"/>
      <c r="I165" s="95"/>
      <c r="J165" s="95"/>
      <c r="K165" s="95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</row>
    <row r="166" spans="1:42" s="96" customFormat="1" ht="12.75" outlineLevel="1">
      <c r="A166" s="93"/>
      <c r="B166" s="106" t="s">
        <v>527</v>
      </c>
      <c r="C166" s="95">
        <v>-5180</v>
      </c>
      <c r="D166" s="95">
        <v>-1192</v>
      </c>
      <c r="E166" s="95">
        <v>-3600</v>
      </c>
      <c r="F166" s="95"/>
      <c r="G166" s="95"/>
      <c r="H166" s="95"/>
      <c r="I166" s="95"/>
      <c r="J166" s="95"/>
      <c r="K166" s="95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</row>
    <row r="167" spans="1:42" s="96" customFormat="1" ht="12.75" outlineLevel="1">
      <c r="A167" s="93"/>
      <c r="B167" s="106" t="s">
        <v>528</v>
      </c>
      <c r="C167" s="95"/>
      <c r="D167" s="95">
        <v>-2156</v>
      </c>
      <c r="E167" s="95"/>
      <c r="F167" s="95"/>
      <c r="G167" s="95"/>
      <c r="H167" s="95"/>
      <c r="I167" s="95"/>
      <c r="J167" s="95"/>
      <c r="K167" s="95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</row>
    <row r="168" spans="1:42" s="96" customFormat="1" ht="12.75" outlineLevel="1">
      <c r="A168" s="9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</row>
    <row r="169" spans="1:42" ht="15.75">
      <c r="A169" s="83"/>
      <c r="B169" s="97" t="s">
        <v>20</v>
      </c>
      <c r="C169" s="89"/>
      <c r="D169" s="89"/>
      <c r="E169" s="89"/>
      <c r="F169" s="89"/>
      <c r="G169" s="89"/>
      <c r="H169" s="89"/>
      <c r="I169" s="89"/>
      <c r="J169" s="89"/>
      <c r="K169" s="89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</row>
    <row r="170" spans="1:42" ht="15.75">
      <c r="A170" s="83"/>
      <c r="B170" s="100" t="s">
        <v>24</v>
      </c>
      <c r="C170" s="110">
        <f t="shared" ref="C170:K170" si="24">C129+C131+C134+C143+C169</f>
        <v>1722</v>
      </c>
      <c r="D170" s="110">
        <f t="shared" si="24"/>
        <v>145928</v>
      </c>
      <c r="E170" s="110">
        <f t="shared" si="24"/>
        <v>172677</v>
      </c>
      <c r="F170" s="110">
        <f t="shared" ref="F170" si="25">F129+F131+F134+F143+F169</f>
        <v>116235</v>
      </c>
      <c r="G170" s="277"/>
      <c r="H170" s="110">
        <f t="shared" si="24"/>
        <v>166666</v>
      </c>
      <c r="I170" s="110">
        <f t="shared" si="24"/>
        <v>189665</v>
      </c>
      <c r="J170" s="110">
        <f t="shared" si="24"/>
        <v>190187</v>
      </c>
      <c r="K170" s="110">
        <f t="shared" si="24"/>
        <v>201241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</row>
    <row r="171" spans="1:42" ht="16.5" thickBot="1">
      <c r="A171" s="83"/>
      <c r="B171" s="101" t="s">
        <v>106</v>
      </c>
      <c r="C171" s="102">
        <f>C170/C20</f>
        <v>1.7495626093476631E-3</v>
      </c>
      <c r="D171" s="102">
        <f t="shared" ref="D171:K171" si="26">D170/D20</f>
        <v>8.453419531240948E-2</v>
      </c>
      <c r="E171" s="102">
        <f t="shared" si="26"/>
        <v>0.13316742385040076</v>
      </c>
      <c r="F171" s="329">
        <f t="shared" ref="F171" si="27">F170/F20</f>
        <v>8.5240647985861062E-2</v>
      </c>
      <c r="G171" s="276"/>
      <c r="H171" s="102">
        <f t="shared" si="26"/>
        <v>0.12221468561979593</v>
      </c>
      <c r="I171" s="102">
        <f t="shared" si="26"/>
        <v>0.13635262392441636</v>
      </c>
      <c r="J171" s="102">
        <f t="shared" si="26"/>
        <v>0.13404693655030381</v>
      </c>
      <c r="K171" s="102">
        <f t="shared" si="26"/>
        <v>0.13905685866008838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</row>
    <row r="172" spans="1:42" ht="15.75">
      <c r="A172" s="83"/>
      <c r="B172" s="97" t="s">
        <v>183</v>
      </c>
      <c r="C172" s="89">
        <f>SUM(C173:C179)</f>
        <v>17098</v>
      </c>
      <c r="D172" s="89">
        <f>SUM(D173:D179)</f>
        <v>11916</v>
      </c>
      <c r="E172" s="89">
        <f>SUM(E173:E179)</f>
        <v>16859</v>
      </c>
      <c r="F172" s="89">
        <f>SUM(F173:F179)</f>
        <v>4727</v>
      </c>
      <c r="G172" s="89"/>
      <c r="H172" s="89"/>
      <c r="I172" s="89"/>
      <c r="J172" s="89"/>
      <c r="K172" s="89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</row>
    <row r="173" spans="1:42" s="96" customFormat="1" ht="12.75" outlineLevel="1">
      <c r="A173" s="93"/>
      <c r="B173" s="106" t="s">
        <v>453</v>
      </c>
      <c r="C173" s="95"/>
      <c r="D173" s="95">
        <v>205</v>
      </c>
      <c r="E173" s="95">
        <v>478</v>
      </c>
      <c r="F173" s="95"/>
      <c r="G173" s="95"/>
      <c r="H173" s="95"/>
      <c r="I173" s="95"/>
      <c r="J173" s="95"/>
      <c r="K173" s="95"/>
      <c r="L173" s="184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</row>
    <row r="174" spans="1:42" s="96" customFormat="1" ht="12.75" outlineLevel="1">
      <c r="A174" s="93"/>
      <c r="B174" s="106" t="s">
        <v>454</v>
      </c>
      <c r="C174" s="95">
        <v>4968</v>
      </c>
      <c r="D174" s="95">
        <v>5061</v>
      </c>
      <c r="E174" s="95">
        <v>4270</v>
      </c>
      <c r="F174" s="95"/>
      <c r="G174" s="95"/>
      <c r="H174" s="95"/>
      <c r="I174" s="95"/>
      <c r="J174" s="95"/>
      <c r="K174" s="95"/>
      <c r="L174" s="184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</row>
    <row r="175" spans="1:42" s="96" customFormat="1" ht="12.75" outlineLevel="1">
      <c r="A175" s="93"/>
      <c r="B175" s="106" t="s">
        <v>455</v>
      </c>
      <c r="C175" s="95">
        <v>718</v>
      </c>
      <c r="D175" s="95">
        <v>6650</v>
      </c>
      <c r="E175" s="95"/>
      <c r="F175" s="95">
        <v>2783</v>
      </c>
      <c r="G175" s="95"/>
      <c r="H175" s="95"/>
      <c r="I175" s="95"/>
      <c r="J175" s="95"/>
      <c r="K175" s="95"/>
      <c r="L175" s="184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</row>
    <row r="176" spans="1:42" s="96" customFormat="1" ht="12.75" outlineLevel="1">
      <c r="A176" s="93"/>
      <c r="B176" s="106" t="s">
        <v>848</v>
      </c>
      <c r="C176" s="95"/>
      <c r="D176" s="95"/>
      <c r="E176" s="95">
        <v>6667</v>
      </c>
      <c r="F176" s="95">
        <v>667</v>
      </c>
      <c r="G176" s="95"/>
      <c r="H176" s="95"/>
      <c r="I176" s="95"/>
      <c r="J176" s="95"/>
      <c r="K176" s="95"/>
      <c r="L176" s="184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</row>
    <row r="177" spans="1:42" s="96" customFormat="1" ht="12.75" outlineLevel="1">
      <c r="A177" s="93"/>
      <c r="B177" s="106" t="s">
        <v>440</v>
      </c>
      <c r="C177" s="95">
        <v>11412</v>
      </c>
      <c r="D177" s="95"/>
      <c r="E177" s="95"/>
      <c r="F177" s="95"/>
      <c r="G177" s="95"/>
      <c r="H177" s="95"/>
      <c r="I177" s="95"/>
      <c r="J177" s="95"/>
      <c r="K177" s="95"/>
      <c r="L177" s="184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</row>
    <row r="178" spans="1:42" s="96" customFormat="1" ht="12.75" outlineLevel="1">
      <c r="A178" s="93"/>
      <c r="B178" s="106" t="s">
        <v>299</v>
      </c>
      <c r="C178" s="95"/>
      <c r="D178" s="95"/>
      <c r="E178" s="95">
        <v>5444</v>
      </c>
      <c r="F178" s="95">
        <v>1277</v>
      </c>
      <c r="G178" s="95"/>
      <c r="H178" s="95"/>
      <c r="I178" s="95"/>
      <c r="J178" s="95"/>
      <c r="K178" s="95"/>
      <c r="L178" s="184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</row>
    <row r="179" spans="1:42" s="96" customFormat="1" ht="12.75" outlineLevel="1">
      <c r="A179" s="93"/>
      <c r="B179" s="106"/>
      <c r="C179" s="95"/>
      <c r="D179" s="95"/>
      <c r="E179" s="95"/>
      <c r="F179" s="95"/>
      <c r="G179" s="95"/>
      <c r="H179" s="95"/>
      <c r="I179" s="95"/>
      <c r="J179" s="95"/>
      <c r="K179" s="95"/>
      <c r="L179" s="184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</row>
    <row r="180" spans="1:42" ht="15.75">
      <c r="A180" s="83"/>
      <c r="B180" s="97" t="s">
        <v>12</v>
      </c>
      <c r="C180" s="89">
        <f>C181</f>
        <v>904</v>
      </c>
      <c r="D180" s="89">
        <f>D181</f>
        <v>401</v>
      </c>
      <c r="E180" s="89">
        <f>E181</f>
        <v>437</v>
      </c>
      <c r="F180" s="89">
        <f>F181</f>
        <v>243</v>
      </c>
      <c r="G180" s="89"/>
      <c r="H180" s="89"/>
      <c r="I180" s="89"/>
      <c r="J180" s="89"/>
      <c r="K180" s="89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</row>
    <row r="181" spans="1:42" s="96" customFormat="1" ht="12.75" outlineLevel="1">
      <c r="A181" s="93"/>
      <c r="B181" s="106" t="s">
        <v>456</v>
      </c>
      <c r="C181" s="95">
        <v>904</v>
      </c>
      <c r="D181" s="95">
        <v>401</v>
      </c>
      <c r="E181" s="95">
        <v>437</v>
      </c>
      <c r="F181" s="95">
        <v>243</v>
      </c>
      <c r="G181" s="95"/>
      <c r="H181" s="95"/>
      <c r="I181" s="95"/>
      <c r="J181" s="95"/>
      <c r="K181" s="95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</row>
    <row r="182" spans="1:42" s="96" customFormat="1" ht="12.75" outlineLevel="1">
      <c r="A182" s="93"/>
      <c r="B182" s="106"/>
      <c r="C182" s="95"/>
      <c r="D182" s="95"/>
      <c r="E182" s="95"/>
      <c r="F182" s="95"/>
      <c r="G182" s="95"/>
      <c r="H182" s="95"/>
      <c r="I182" s="95"/>
      <c r="J182" s="95"/>
      <c r="K182" s="95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</row>
    <row r="183" spans="1:42" ht="15.75">
      <c r="A183" s="83"/>
      <c r="B183" s="97" t="s">
        <v>184</v>
      </c>
      <c r="C183" s="89">
        <f>SUM(C184:C187)</f>
        <v>-20371</v>
      </c>
      <c r="D183" s="89">
        <f>SUM(D184:D187)</f>
        <v>-26013</v>
      </c>
      <c r="E183" s="89">
        <f>SUM(E184:E187)</f>
        <v>-16028</v>
      </c>
      <c r="F183" s="89">
        <f>SUM(F184:F187)</f>
        <v>-16585</v>
      </c>
      <c r="G183" s="89"/>
      <c r="H183" s="89">
        <v>-15104</v>
      </c>
      <c r="I183" s="89">
        <v>-14000</v>
      </c>
      <c r="J183" s="89">
        <v>-13288</v>
      </c>
      <c r="K183" s="89">
        <v>-10123</v>
      </c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</row>
    <row r="184" spans="1:42" s="96" customFormat="1" ht="12.75" outlineLevel="1">
      <c r="A184" s="93"/>
      <c r="B184" s="106" t="s">
        <v>409</v>
      </c>
      <c r="C184" s="95">
        <v>-2060</v>
      </c>
      <c r="D184" s="95">
        <v>-2918</v>
      </c>
      <c r="E184" s="95">
        <v>-1912</v>
      </c>
      <c r="F184" s="95">
        <v>-483</v>
      </c>
      <c r="G184" s="95"/>
      <c r="H184" s="95"/>
      <c r="I184" s="95"/>
      <c r="J184" s="95"/>
      <c r="K184" s="95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</row>
    <row r="185" spans="1:42" s="96" customFormat="1" ht="12.75" outlineLevel="1">
      <c r="A185" s="93"/>
      <c r="B185" s="106" t="s">
        <v>410</v>
      </c>
      <c r="C185" s="95">
        <v>-17628</v>
      </c>
      <c r="D185" s="95">
        <v>-23095</v>
      </c>
      <c r="E185" s="95">
        <v>-14116</v>
      </c>
      <c r="F185" s="95">
        <v>-16102</v>
      </c>
      <c r="G185" s="95"/>
      <c r="H185" s="95"/>
      <c r="I185" s="95"/>
      <c r="J185" s="95"/>
      <c r="K185" s="95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</row>
    <row r="186" spans="1:42" s="96" customFormat="1" ht="12.75" outlineLevel="1">
      <c r="A186" s="93"/>
      <c r="B186" s="106" t="s">
        <v>550</v>
      </c>
      <c r="C186" s="95">
        <v>-683</v>
      </c>
      <c r="D186" s="95"/>
      <c r="E186" s="95"/>
      <c r="F186" s="95"/>
      <c r="G186" s="95"/>
      <c r="H186" s="95"/>
      <c r="I186" s="95"/>
      <c r="J186" s="95"/>
      <c r="K186" s="95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</row>
    <row r="187" spans="1:42" s="96" customFormat="1" ht="12.75" outlineLevel="1">
      <c r="A187" s="93"/>
      <c r="B187" s="106"/>
      <c r="C187" s="95"/>
      <c r="D187" s="95"/>
      <c r="E187" s="95"/>
      <c r="F187" s="95"/>
      <c r="G187" s="95"/>
      <c r="H187" s="95"/>
      <c r="I187" s="95"/>
      <c r="J187" s="95"/>
      <c r="K187" s="95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</row>
    <row r="188" spans="1:42" ht="15.75">
      <c r="A188" s="83"/>
      <c r="B188" s="97" t="s">
        <v>23</v>
      </c>
      <c r="C188" s="89">
        <f>SUM(C189:C191)</f>
        <v>-223</v>
      </c>
      <c r="D188" s="89">
        <f>SUM(D189:D191)</f>
        <v>-1879</v>
      </c>
      <c r="E188" s="89">
        <f>SUM(E189:E191)</f>
        <v>-2680</v>
      </c>
      <c r="F188" s="89">
        <f>SUM(F189:F191)</f>
        <v>-398</v>
      </c>
      <c r="G188" s="89"/>
      <c r="H188" s="89"/>
      <c r="I188" s="89"/>
      <c r="J188" s="89"/>
      <c r="K188" s="89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</row>
    <row r="189" spans="1:42" s="96" customFormat="1" ht="12.75" outlineLevel="1">
      <c r="A189" s="93"/>
      <c r="B189" s="106" t="s">
        <v>529</v>
      </c>
      <c r="C189" s="95"/>
      <c r="D189" s="95">
        <v>-1658</v>
      </c>
      <c r="E189" s="95">
        <v>-820</v>
      </c>
      <c r="F189" s="95"/>
      <c r="G189" s="95"/>
      <c r="H189" s="95"/>
      <c r="I189" s="95"/>
      <c r="J189" s="95"/>
      <c r="K189" s="95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</row>
    <row r="190" spans="1:42" s="96" customFormat="1" ht="12.75" outlineLevel="1">
      <c r="A190" s="93"/>
      <c r="B190" s="106" t="s">
        <v>530</v>
      </c>
      <c r="C190" s="95">
        <v>-223</v>
      </c>
      <c r="D190" s="95">
        <v>-221</v>
      </c>
      <c r="E190" s="95">
        <v>-1860</v>
      </c>
      <c r="F190" s="95">
        <v>-398</v>
      </c>
      <c r="G190" s="95"/>
      <c r="H190" s="95"/>
      <c r="I190" s="95"/>
      <c r="J190" s="95"/>
      <c r="K190" s="95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</row>
    <row r="191" spans="1:42" s="96" customFormat="1" ht="12.75" outlineLevel="1">
      <c r="A191" s="93"/>
      <c r="B191" s="106"/>
      <c r="C191" s="95"/>
      <c r="D191" s="95"/>
      <c r="E191" s="95"/>
      <c r="F191" s="95"/>
      <c r="G191" s="95"/>
      <c r="H191" s="95"/>
      <c r="I191" s="95"/>
      <c r="J191" s="95"/>
      <c r="K191" s="95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</row>
    <row r="192" spans="1:42" ht="15.75">
      <c r="A192" s="83"/>
      <c r="B192" s="100" t="s">
        <v>26</v>
      </c>
      <c r="C192" s="110">
        <f t="shared" ref="C192:K192" si="28">C170+C172+C180+C188+C183</f>
        <v>-870</v>
      </c>
      <c r="D192" s="110">
        <f t="shared" si="28"/>
        <v>130353</v>
      </c>
      <c r="E192" s="110">
        <f t="shared" si="28"/>
        <v>171265</v>
      </c>
      <c r="F192" s="110">
        <f t="shared" ref="F192" si="29">F170+F172+F180+F188+F183</f>
        <v>104222</v>
      </c>
      <c r="G192" s="277"/>
      <c r="H192" s="110">
        <f t="shared" si="28"/>
        <v>151562</v>
      </c>
      <c r="I192" s="110">
        <f t="shared" si="28"/>
        <v>175665</v>
      </c>
      <c r="J192" s="110">
        <f t="shared" si="28"/>
        <v>176899</v>
      </c>
      <c r="K192" s="110">
        <f t="shared" si="28"/>
        <v>191118</v>
      </c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</row>
    <row r="193" spans="1:43" ht="16.5" thickBot="1">
      <c r="A193" s="83"/>
      <c r="B193" s="101" t="s">
        <v>106</v>
      </c>
      <c r="C193" s="102">
        <f>C192/C20</f>
        <v>-8.8392536012338384E-4</v>
      </c>
      <c r="D193" s="102">
        <f t="shared" ref="D193:K193" si="30">D192/D20</f>
        <v>7.5511800076465879E-2</v>
      </c>
      <c r="E193" s="102">
        <f t="shared" si="30"/>
        <v>0.13207849826982682</v>
      </c>
      <c r="F193" s="102">
        <f t="shared" ref="F193" si="31">F192/F20</f>
        <v>7.6430944331590409E-2</v>
      </c>
      <c r="G193" s="276"/>
      <c r="H193" s="102">
        <f t="shared" si="30"/>
        <v>0.11113905764767565</v>
      </c>
      <c r="I193" s="102">
        <f t="shared" si="30"/>
        <v>0.12628784267884219</v>
      </c>
      <c r="J193" s="102">
        <f t="shared" si="30"/>
        <v>0.12468133483788163</v>
      </c>
      <c r="K193" s="102">
        <f t="shared" si="30"/>
        <v>0.13206189948071601</v>
      </c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</row>
    <row r="194" spans="1:43" s="111" customFormat="1" ht="15.75">
      <c r="A194" s="83"/>
      <c r="B194" s="97" t="s">
        <v>29</v>
      </c>
      <c r="C194" s="89">
        <f t="shared" ref="C194:E194" si="32">C195+C200</f>
        <v>-1014</v>
      </c>
      <c r="D194" s="89">
        <f t="shared" si="32"/>
        <v>747</v>
      </c>
      <c r="E194" s="89">
        <f t="shared" si="32"/>
        <v>3693</v>
      </c>
      <c r="F194" s="89">
        <f t="shared" ref="F194" si="33">F195+F200</f>
        <v>11566</v>
      </c>
      <c r="G194" s="89"/>
      <c r="H194" s="89">
        <v>7000</v>
      </c>
      <c r="I194" s="89">
        <v>7000</v>
      </c>
      <c r="J194" s="89">
        <v>7000</v>
      </c>
      <c r="K194" s="89">
        <v>7000</v>
      </c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</row>
    <row r="195" spans="1:43" ht="15.75" outlineLevel="1">
      <c r="A195" s="83"/>
      <c r="B195" s="105" t="s">
        <v>27</v>
      </c>
      <c r="C195" s="91">
        <f>SUM(C196:C199)</f>
        <v>133</v>
      </c>
      <c r="D195" s="91">
        <f>SUM(D196:D199)</f>
        <v>1147</v>
      </c>
      <c r="E195" s="91">
        <f>SUM(E196:E199)</f>
        <v>3751</v>
      </c>
      <c r="F195" s="91">
        <f>SUM(F196:F199)</f>
        <v>11568</v>
      </c>
      <c r="G195" s="91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s="96" customFormat="1" ht="12.75" outlineLevel="2">
      <c r="A196" s="93"/>
      <c r="B196" s="106" t="s">
        <v>531</v>
      </c>
      <c r="C196" s="95"/>
      <c r="D196" s="95">
        <v>863</v>
      </c>
      <c r="E196" s="95">
        <v>3127</v>
      </c>
      <c r="F196" s="95">
        <v>10479</v>
      </c>
      <c r="G196" s="95"/>
      <c r="H196" s="95"/>
      <c r="I196" s="95"/>
      <c r="J196" s="95"/>
      <c r="K196" s="95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</row>
    <row r="197" spans="1:43" s="96" customFormat="1" ht="12.75" outlineLevel="2">
      <c r="A197" s="93"/>
      <c r="B197" s="106" t="s">
        <v>532</v>
      </c>
      <c r="C197" s="95"/>
      <c r="D197" s="95"/>
      <c r="E197" s="95">
        <v>366</v>
      </c>
      <c r="F197" s="95">
        <v>762</v>
      </c>
      <c r="G197" s="95"/>
      <c r="H197" s="95"/>
      <c r="I197" s="95"/>
      <c r="J197" s="95"/>
      <c r="K197" s="95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</row>
    <row r="198" spans="1:43" s="96" customFormat="1" ht="12.75" outlineLevel="2">
      <c r="A198" s="93"/>
      <c r="B198" s="106" t="s">
        <v>533</v>
      </c>
      <c r="C198" s="95">
        <v>133</v>
      </c>
      <c r="D198" s="95">
        <v>284</v>
      </c>
      <c r="E198" s="95">
        <v>258</v>
      </c>
      <c r="F198" s="95">
        <v>327</v>
      </c>
      <c r="G198" s="95"/>
      <c r="H198" s="95"/>
      <c r="I198" s="95"/>
      <c r="J198" s="95"/>
      <c r="K198" s="95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</row>
    <row r="199" spans="1:43" s="96" customFormat="1" ht="12.75" outlineLevel="2">
      <c r="A199" s="93"/>
      <c r="B199" s="106"/>
      <c r="C199" s="95"/>
      <c r="D199" s="95"/>
      <c r="E199" s="95"/>
      <c r="F199" s="95"/>
      <c r="G199" s="95"/>
      <c r="H199" s="95"/>
      <c r="I199" s="95"/>
      <c r="J199" s="95"/>
      <c r="K199" s="95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</row>
    <row r="200" spans="1:43" ht="15.75" outlineLevel="1">
      <c r="A200" s="83"/>
      <c r="B200" s="105" t="s">
        <v>185</v>
      </c>
      <c r="C200" s="91">
        <f>SUM(C201:C204)</f>
        <v>-1147</v>
      </c>
      <c r="D200" s="91">
        <f>SUM(D201:D204)</f>
        <v>-400</v>
      </c>
      <c r="E200" s="91">
        <f>SUM(E201:E204)</f>
        <v>-58</v>
      </c>
      <c r="F200" s="91">
        <f>SUM(F201:F204)</f>
        <v>-2</v>
      </c>
      <c r="G200" s="91"/>
      <c r="H200" s="95"/>
      <c r="I200" s="95"/>
      <c r="J200" s="95"/>
      <c r="K200" s="95"/>
      <c r="L200" s="95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s="96" customFormat="1" ht="12.75" outlineLevel="2">
      <c r="A201" s="93"/>
      <c r="B201" s="106" t="s">
        <v>534</v>
      </c>
      <c r="C201" s="95">
        <v>-351</v>
      </c>
      <c r="D201" s="95">
        <v>-259</v>
      </c>
      <c r="E201" s="95">
        <v>-24</v>
      </c>
      <c r="F201" s="95"/>
      <c r="G201" s="95"/>
      <c r="H201" s="95"/>
      <c r="I201" s="95"/>
      <c r="J201" s="95"/>
      <c r="K201" s="95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</row>
    <row r="202" spans="1:43" s="96" customFormat="1" ht="12.75" outlineLevel="2">
      <c r="A202" s="93"/>
      <c r="B202" s="106" t="s">
        <v>531</v>
      </c>
      <c r="C202" s="95">
        <v>-796</v>
      </c>
      <c r="D202" s="95"/>
      <c r="E202" s="95"/>
      <c r="F202" s="95"/>
      <c r="G202" s="95"/>
      <c r="H202" s="95"/>
      <c r="I202" s="95"/>
      <c r="J202" s="95"/>
      <c r="K202" s="95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</row>
    <row r="203" spans="1:43" s="96" customFormat="1" ht="12.75" outlineLevel="2">
      <c r="A203" s="93"/>
      <c r="B203" s="106" t="s">
        <v>417</v>
      </c>
      <c r="C203" s="95"/>
      <c r="D203" s="95">
        <v>-141</v>
      </c>
      <c r="E203" s="95">
        <v>-34</v>
      </c>
      <c r="F203" s="95">
        <v>-2</v>
      </c>
      <c r="G203" s="95"/>
      <c r="H203" s="95"/>
      <c r="I203" s="95"/>
      <c r="J203" s="95"/>
      <c r="K203" s="95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</row>
    <row r="204" spans="1:43" s="96" customFormat="1" ht="12.75" outlineLevel="1">
      <c r="A204" s="93"/>
      <c r="B204" s="106"/>
      <c r="C204" s="95"/>
      <c r="D204" s="95"/>
      <c r="E204" s="95"/>
      <c r="F204" s="95"/>
      <c r="G204" s="95"/>
      <c r="H204" s="95"/>
      <c r="I204" s="95"/>
      <c r="J204" s="95"/>
      <c r="K204" s="95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</row>
    <row r="205" spans="1:43" s="96" customFormat="1" ht="15.75">
      <c r="A205" s="93"/>
      <c r="B205" s="100" t="s">
        <v>264</v>
      </c>
      <c r="C205" s="110">
        <f t="shared" ref="C205:K205" si="34">+C192+C194</f>
        <v>-1884</v>
      </c>
      <c r="D205" s="110">
        <f t="shared" si="34"/>
        <v>131100</v>
      </c>
      <c r="E205" s="110">
        <f t="shared" si="34"/>
        <v>174958</v>
      </c>
      <c r="F205" s="110">
        <f t="shared" ref="F205" si="35">+F192+F194</f>
        <v>115788</v>
      </c>
      <c r="G205" s="277"/>
      <c r="H205" s="110">
        <f t="shared" si="34"/>
        <v>158562</v>
      </c>
      <c r="I205" s="110">
        <f t="shared" si="34"/>
        <v>182665</v>
      </c>
      <c r="J205" s="110">
        <f t="shared" si="34"/>
        <v>183899</v>
      </c>
      <c r="K205" s="110">
        <f t="shared" si="34"/>
        <v>198118</v>
      </c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</row>
    <row r="206" spans="1:43" s="96" customFormat="1" ht="16.5" thickBot="1">
      <c r="A206" s="93"/>
      <c r="B206" s="101" t="s">
        <v>106</v>
      </c>
      <c r="C206" s="102">
        <f>+C205/C20</f>
        <v>-1.9141556074396035E-3</v>
      </c>
      <c r="D206" s="102">
        <f t="shared" ref="D206:K206" si="36">+D205/D20</f>
        <v>7.5944527475583057E-2</v>
      </c>
      <c r="E206" s="102">
        <f t="shared" si="36"/>
        <v>0.13492651680315509</v>
      </c>
      <c r="F206" s="102">
        <f t="shared" ref="F206" si="37">+F205/F20</f>
        <v>8.491284164827187E-2</v>
      </c>
      <c r="G206" s="276"/>
      <c r="H206" s="102">
        <f t="shared" si="36"/>
        <v>0.11627209497585639</v>
      </c>
      <c r="I206" s="102">
        <f t="shared" si="36"/>
        <v>0.13132023330162929</v>
      </c>
      <c r="J206" s="102">
        <f t="shared" si="36"/>
        <v>0.12961505036971149</v>
      </c>
      <c r="K206" s="102">
        <f t="shared" si="36"/>
        <v>0.13689887609393409</v>
      </c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</row>
    <row r="207" spans="1:43" ht="15.75">
      <c r="A207" s="83"/>
      <c r="B207" s="97" t="s">
        <v>30</v>
      </c>
      <c r="C207" s="89">
        <f t="shared" ref="C207:K207" si="38">C208+C211</f>
        <v>0</v>
      </c>
      <c r="D207" s="89">
        <f t="shared" si="38"/>
        <v>2548</v>
      </c>
      <c r="E207" s="89">
        <f t="shared" si="38"/>
        <v>-877</v>
      </c>
      <c r="F207" s="89">
        <f t="shared" ref="F207" si="39">F208+F211</f>
        <v>0</v>
      </c>
      <c r="G207" s="89"/>
      <c r="H207" s="89">
        <f t="shared" si="38"/>
        <v>0</v>
      </c>
      <c r="I207" s="89">
        <f t="shared" si="38"/>
        <v>0</v>
      </c>
      <c r="J207" s="89">
        <f t="shared" si="38"/>
        <v>0</v>
      </c>
      <c r="K207" s="89">
        <f t="shared" si="38"/>
        <v>0</v>
      </c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</row>
    <row r="208" spans="1:43" ht="15.75" outlineLevel="1">
      <c r="A208" s="83"/>
      <c r="B208" s="105" t="s">
        <v>186</v>
      </c>
      <c r="C208" s="91">
        <f>C209</f>
        <v>0</v>
      </c>
      <c r="D208" s="91">
        <f>D209</f>
        <v>2548</v>
      </c>
      <c r="E208" s="91">
        <f>E209</f>
        <v>0</v>
      </c>
      <c r="F208" s="91">
        <f>F209</f>
        <v>0</v>
      </c>
      <c r="G208" s="91"/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s="96" customFormat="1" ht="12.75" outlineLevel="2">
      <c r="A209" s="93"/>
      <c r="B209" s="106" t="s">
        <v>535</v>
      </c>
      <c r="C209" s="95"/>
      <c r="D209" s="95">
        <v>2548</v>
      </c>
      <c r="E209" s="95"/>
      <c r="F209" s="95"/>
      <c r="G209" s="95"/>
      <c r="H209" s="95"/>
      <c r="I209" s="95"/>
      <c r="J209" s="95"/>
      <c r="K209" s="95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</row>
    <row r="210" spans="1:43" s="96" customFormat="1" ht="12.75" outlineLevel="2">
      <c r="A210" s="93"/>
      <c r="B210" s="106"/>
      <c r="C210" s="95"/>
      <c r="D210" s="95"/>
      <c r="E210" s="95"/>
      <c r="F210" s="95"/>
      <c r="G210" s="95"/>
      <c r="H210" s="95"/>
      <c r="I210" s="95"/>
      <c r="J210" s="95"/>
      <c r="K210" s="95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</row>
    <row r="211" spans="1:43" ht="15.75" outlineLevel="1">
      <c r="A211" s="83"/>
      <c r="B211" s="105" t="s">
        <v>187</v>
      </c>
      <c r="C211" s="91">
        <f>C212</f>
        <v>0</v>
      </c>
      <c r="D211" s="91">
        <f>D212</f>
        <v>0</v>
      </c>
      <c r="E211" s="91">
        <f>E212</f>
        <v>-877</v>
      </c>
      <c r="F211" s="91">
        <f>F212</f>
        <v>0</v>
      </c>
      <c r="G211" s="91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s="96" customFormat="1" ht="12.75" outlineLevel="2">
      <c r="A212" s="93"/>
      <c r="B212" s="106" t="s">
        <v>536</v>
      </c>
      <c r="C212" s="95"/>
      <c r="D212" s="95"/>
      <c r="E212" s="95">
        <v>-877</v>
      </c>
      <c r="F212" s="95"/>
      <c r="G212" s="95"/>
      <c r="H212" s="95"/>
      <c r="I212" s="95"/>
      <c r="J212" s="95"/>
      <c r="K212" s="95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</row>
    <row r="213" spans="1:43" s="96" customFormat="1" ht="12.75" outlineLevel="1">
      <c r="A213" s="93"/>
      <c r="B213" s="106"/>
      <c r="C213" s="95"/>
      <c r="D213" s="95"/>
      <c r="E213" s="95"/>
      <c r="F213" s="95"/>
      <c r="G213" s="95"/>
      <c r="H213" s="95"/>
      <c r="I213" s="95"/>
      <c r="J213" s="95"/>
      <c r="K213" s="95"/>
      <c r="L213" s="93"/>
      <c r="M213" s="95"/>
      <c r="N213" s="95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</row>
    <row r="214" spans="1:43" ht="15.75">
      <c r="A214" s="83"/>
      <c r="B214" s="83" t="s">
        <v>259</v>
      </c>
      <c r="C214" s="89">
        <f>SUM(C215:C217)</f>
        <v>0</v>
      </c>
      <c r="D214" s="89">
        <f>SUM(D215:D217)</f>
        <v>-28374</v>
      </c>
      <c r="E214" s="89">
        <f>SUM(E215:E217)</f>
        <v>-43013</v>
      </c>
      <c r="F214" s="89">
        <f>SUM(F215:F217)</f>
        <v>-24801</v>
      </c>
      <c r="G214" s="89"/>
      <c r="H214" s="89">
        <v>-35391</v>
      </c>
      <c r="I214" s="89">
        <v>-41416</v>
      </c>
      <c r="J214" s="89">
        <v>-41725</v>
      </c>
      <c r="K214" s="89">
        <v>-45279</v>
      </c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</row>
    <row r="215" spans="1:43" ht="15.75" outlineLevel="1">
      <c r="A215" s="83"/>
      <c r="B215" s="183" t="s">
        <v>258</v>
      </c>
      <c r="C215" s="95"/>
      <c r="D215" s="95">
        <v>-28374</v>
      </c>
      <c r="E215" s="95">
        <v>-43913</v>
      </c>
      <c r="F215" s="95">
        <v>-24801</v>
      </c>
      <c r="G215" s="95"/>
      <c r="H215" s="95"/>
      <c r="I215" s="95"/>
      <c r="J215" s="95"/>
      <c r="K215" s="95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</row>
    <row r="216" spans="1:43" ht="15.75" outlineLevel="1">
      <c r="A216" s="83"/>
      <c r="B216" s="183" t="s">
        <v>537</v>
      </c>
      <c r="C216" s="95"/>
      <c r="D216" s="95"/>
      <c r="E216" s="95">
        <v>900</v>
      </c>
      <c r="F216" s="95"/>
      <c r="G216" s="95"/>
      <c r="H216" s="95"/>
      <c r="I216" s="95"/>
      <c r="J216" s="95"/>
      <c r="K216" s="95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</row>
    <row r="217" spans="1:43" ht="15.75" outlineLevel="1">
      <c r="A217" s="83"/>
      <c r="B217" s="83"/>
      <c r="C217" s="89"/>
      <c r="D217" s="89"/>
      <c r="E217" s="89"/>
      <c r="F217" s="89"/>
      <c r="G217" s="89"/>
      <c r="H217" s="89"/>
      <c r="I217" s="89"/>
      <c r="J217" s="89"/>
      <c r="K217" s="89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</row>
    <row r="218" spans="1:43" ht="15.75" outlineLevel="1">
      <c r="A218" s="83"/>
      <c r="B218" s="212" t="s">
        <v>265</v>
      </c>
      <c r="C218" s="89">
        <v>-4</v>
      </c>
      <c r="D218" s="89">
        <v>-1</v>
      </c>
      <c r="E218" s="89">
        <v>-3</v>
      </c>
      <c r="F218" s="89">
        <v>12</v>
      </c>
      <c r="G218" s="89"/>
      <c r="H218" s="89"/>
      <c r="I218" s="89"/>
      <c r="J218" s="89"/>
      <c r="K218" s="89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</row>
    <row r="219" spans="1:43" ht="15.75" outlineLevel="1">
      <c r="A219" s="83"/>
      <c r="B219" s="83"/>
      <c r="C219" s="89"/>
      <c r="D219" s="89"/>
      <c r="E219" s="89"/>
      <c r="F219" s="89"/>
      <c r="G219" s="89"/>
      <c r="H219" s="89"/>
      <c r="I219" s="89"/>
      <c r="J219" s="89"/>
      <c r="K219" s="89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</row>
    <row r="220" spans="1:43" ht="15.75">
      <c r="A220" s="83"/>
      <c r="B220" s="100" t="s">
        <v>32</v>
      </c>
      <c r="C220" s="110">
        <f t="shared" ref="C220:K220" si="40">C192+C194+C207+C214+C218</f>
        <v>-1888</v>
      </c>
      <c r="D220" s="110">
        <f t="shared" si="40"/>
        <v>105273</v>
      </c>
      <c r="E220" s="110">
        <f t="shared" si="40"/>
        <v>131065</v>
      </c>
      <c r="F220" s="110">
        <f t="shared" ref="F220" si="41">F192+F194+F207+F214+F218</f>
        <v>90999</v>
      </c>
      <c r="G220" s="277"/>
      <c r="H220" s="110">
        <f t="shared" si="40"/>
        <v>123171</v>
      </c>
      <c r="I220" s="110">
        <f t="shared" si="40"/>
        <v>141249</v>
      </c>
      <c r="J220" s="110">
        <f t="shared" si="40"/>
        <v>142174</v>
      </c>
      <c r="K220" s="110">
        <f t="shared" si="40"/>
        <v>152839</v>
      </c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</row>
    <row r="221" spans="1:43" ht="16.5" thickBot="1">
      <c r="A221" s="83"/>
      <c r="B221" s="101" t="s">
        <v>106</v>
      </c>
      <c r="C221" s="102">
        <f>C220/C20</f>
        <v>-1.9182196320838489E-3</v>
      </c>
      <c r="D221" s="102">
        <f t="shared" ref="D221:K221" si="42">D220/D20</f>
        <v>6.0983281776789126E-2</v>
      </c>
      <c r="E221" s="102">
        <f t="shared" si="42"/>
        <v>0.10107650936113538</v>
      </c>
      <c r="F221" s="329">
        <f t="shared" ref="F221" si="43">F220/F20</f>
        <v>6.6733890188543643E-2</v>
      </c>
      <c r="G221" s="276"/>
      <c r="H221" s="102">
        <f t="shared" si="42"/>
        <v>9.0320191535621444E-2</v>
      </c>
      <c r="I221" s="102">
        <f t="shared" si="42"/>
        <v>0.10154573472543636</v>
      </c>
      <c r="J221" s="102">
        <f t="shared" si="42"/>
        <v>0.10020658171748276</v>
      </c>
      <c r="K221" s="102">
        <f t="shared" si="42"/>
        <v>0.10561123836966248</v>
      </c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</row>
    <row r="222" spans="1:43" ht="15.7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</row>
    <row r="223" spans="1:43" ht="15.75">
      <c r="A223" s="83"/>
      <c r="B223" s="112" t="s">
        <v>189</v>
      </c>
      <c r="C223" s="113"/>
      <c r="D223" s="113"/>
      <c r="E223" s="113"/>
      <c r="F223" s="113"/>
      <c r="G223" s="278"/>
      <c r="H223" s="113"/>
      <c r="I223" s="113"/>
      <c r="J223" s="113"/>
      <c r="K223" s="11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</row>
    <row r="224" spans="1:43" ht="15.75">
      <c r="A224" s="83"/>
      <c r="B224" s="114" t="s">
        <v>34</v>
      </c>
      <c r="C224" s="115" t="str">
        <f>IFERROR(C15/#REF!-1,"na ")</f>
        <v xml:space="preserve">na </v>
      </c>
      <c r="D224" s="115">
        <f>IFERROR(D15/C15-1,"na ")</f>
        <v>0.71705530555784036</v>
      </c>
      <c r="E224" s="115">
        <f>IFERROR(E15/D15-1,"na ")</f>
        <v>-0.22756230688385837</v>
      </c>
      <c r="F224" s="115">
        <f>IFERROR(F15/E15-1,"na ")</f>
        <v>6.2879858176196901E-3</v>
      </c>
      <c r="G224" s="279"/>
      <c r="H224" s="115" t="str">
        <f>IFERROR(H15/#REF!-1,"na ")</f>
        <v xml:space="preserve">na </v>
      </c>
      <c r="I224" s="115">
        <f>IFERROR(I15/H15-1,"na ")</f>
        <v>1.9999780012685875E-2</v>
      </c>
      <c r="J224" s="115">
        <f>IFERROR(J15/I15-1,"na ")</f>
        <v>2.0000158160848214E-2</v>
      </c>
      <c r="K224" s="115">
        <f>IFERROR(K15/J15-1,"na ")</f>
        <v>1.9999873133029089E-2</v>
      </c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</row>
    <row r="225" spans="1:42" ht="15.75">
      <c r="A225" s="83"/>
      <c r="B225" s="114" t="s">
        <v>16</v>
      </c>
      <c r="C225" s="115">
        <f t="shared" ref="C225:E225" si="44">C35/C15</f>
        <v>0.75297673382833552</v>
      </c>
      <c r="D225" s="115">
        <f t="shared" si="44"/>
        <v>0.71349670420960332</v>
      </c>
      <c r="E225" s="115">
        <f t="shared" si="44"/>
        <v>0.65078989323886482</v>
      </c>
      <c r="F225" s="115">
        <f t="shared" ref="F225" si="45">F35/F15</f>
        <v>0.70727491097452266</v>
      </c>
      <c r="G225" s="279"/>
      <c r="H225" s="115">
        <f>H35/H15</f>
        <v>0.69999963335447657</v>
      </c>
      <c r="I225" s="115">
        <f>I35/I15</f>
        <v>0.6999997843261162</v>
      </c>
      <c r="J225" s="115">
        <f>J35/J15</f>
        <v>0.69999978855504863</v>
      </c>
      <c r="K225" s="115">
        <f>K35/K15</f>
        <v>0.70000034549832957</v>
      </c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</row>
    <row r="226" spans="1:42" ht="15.75">
      <c r="A226" s="83"/>
      <c r="B226" s="114" t="s">
        <v>24</v>
      </c>
      <c r="C226" s="115">
        <f t="shared" ref="C226:E226" si="46">C170/C15</f>
        <v>1.7273582653390819E-3</v>
      </c>
      <c r="D226" s="115">
        <f t="shared" si="46"/>
        <v>8.5251812640902855E-2</v>
      </c>
      <c r="E226" s="115">
        <f t="shared" si="46"/>
        <v>0.13059785025608756</v>
      </c>
      <c r="F226" s="115">
        <f t="shared" ref="F226" si="47">F170/F15</f>
        <v>8.7360712143691399E-2</v>
      </c>
      <c r="G226" s="279"/>
      <c r="H226" s="115">
        <f>H170/H15</f>
        <v>0.12221468561979593</v>
      </c>
      <c r="I226" s="115">
        <f>I170/I15</f>
        <v>0.13635262392441636</v>
      </c>
      <c r="J226" s="115">
        <f>J170/J15</f>
        <v>0.13404693655030381</v>
      </c>
      <c r="K226" s="115">
        <f>K170/K15</f>
        <v>0.13905685866008838</v>
      </c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</row>
    <row r="227" spans="1:42" ht="15.75">
      <c r="A227" s="83"/>
      <c r="B227" s="114" t="s">
        <v>26</v>
      </c>
      <c r="C227" s="115">
        <f t="shared" ref="C227:E227" si="48">C192/C15</f>
        <v>-8.7270713754065109E-4</v>
      </c>
      <c r="D227" s="115">
        <f t="shared" si="48"/>
        <v>7.6152825593303608E-2</v>
      </c>
      <c r="E227" s="115">
        <f t="shared" si="48"/>
        <v>0.12952993637895513</v>
      </c>
      <c r="F227" s="115">
        <f t="shared" ref="F227" si="49">F192/F15</f>
        <v>7.8331897802209366E-2</v>
      </c>
      <c r="G227" s="279"/>
      <c r="H227" s="115">
        <f>H192/H15</f>
        <v>0.11113905764767565</v>
      </c>
      <c r="I227" s="115">
        <f>I192/I15</f>
        <v>0.12628784267884219</v>
      </c>
      <c r="J227" s="115">
        <f>J192/J15</f>
        <v>0.12468133483788163</v>
      </c>
      <c r="K227" s="115">
        <f>K192/K15</f>
        <v>0.13206189948071601</v>
      </c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</row>
    <row r="228" spans="1:42" ht="15.75">
      <c r="A228" s="83"/>
      <c r="B228" s="116" t="s">
        <v>35</v>
      </c>
      <c r="C228" s="117">
        <f t="shared" ref="C228:E228" si="50">C220/C15</f>
        <v>-1.8938747996284475E-3</v>
      </c>
      <c r="D228" s="117">
        <f t="shared" si="50"/>
        <v>6.1500973577008976E-2</v>
      </c>
      <c r="E228" s="117">
        <f t="shared" si="50"/>
        <v>9.9126156024335124E-2</v>
      </c>
      <c r="F228" s="117">
        <f t="shared" ref="F228" si="51">F220/F15</f>
        <v>6.8393663219888795E-2</v>
      </c>
      <c r="G228" s="279"/>
      <c r="H228" s="117">
        <f>H220/H15</f>
        <v>9.0320191535621444E-2</v>
      </c>
      <c r="I228" s="117">
        <f>I220/I15</f>
        <v>0.10154573472543636</v>
      </c>
      <c r="J228" s="117">
        <f>J220/J15</f>
        <v>0.10020658171748276</v>
      </c>
      <c r="K228" s="117">
        <f>K220/K15</f>
        <v>0.10561123836966248</v>
      </c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</row>
    <row r="229" spans="1:42" ht="15.75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</row>
    <row r="230" spans="1:42" ht="15.7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</row>
    <row r="231" spans="1:42" ht="15.75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</row>
    <row r="232" spans="1:42" ht="15.75">
      <c r="A232" s="107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9"/>
      <c r="O232" s="109"/>
      <c r="P232" s="109"/>
      <c r="Q232" s="109"/>
      <c r="R232" s="109"/>
      <c r="S232" s="109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</row>
    <row r="233" spans="1:42" ht="15.75">
      <c r="A233" s="107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9"/>
      <c r="O233" s="109"/>
      <c r="P233" s="109"/>
      <c r="Q233" s="109"/>
      <c r="R233" s="109"/>
      <c r="S233" s="109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</row>
    <row r="234" spans="1:42" ht="15.75">
      <c r="A234" s="107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9"/>
      <c r="O234" s="109"/>
      <c r="P234" s="109"/>
      <c r="Q234" s="109"/>
      <c r="R234" s="109"/>
      <c r="S234" s="109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</row>
    <row r="235" spans="1:42" ht="15.75">
      <c r="A235" s="107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9"/>
      <c r="O235" s="109"/>
      <c r="P235" s="109"/>
      <c r="Q235" s="109"/>
      <c r="R235" s="109"/>
      <c r="S235" s="109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</row>
    <row r="236" spans="1:42" ht="15.75">
      <c r="A236" s="107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9"/>
      <c r="O236" s="109"/>
      <c r="P236" s="109"/>
      <c r="Q236" s="109"/>
      <c r="R236" s="109"/>
      <c r="S236" s="109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</row>
    <row r="237" spans="1:42" ht="15.75">
      <c r="A237" s="107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9"/>
      <c r="O237" s="109"/>
      <c r="P237" s="109"/>
      <c r="Q237" s="109"/>
      <c r="R237" s="109"/>
      <c r="S237" s="109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</row>
    <row r="238" spans="1:42" ht="15.75">
      <c r="A238" s="107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9"/>
      <c r="O238" s="109"/>
      <c r="P238" s="109"/>
      <c r="Q238" s="109"/>
      <c r="R238" s="109"/>
      <c r="S238" s="109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</row>
    <row r="239" spans="1:42" ht="15.75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</row>
    <row r="240" spans="1:42" ht="15.75">
      <c r="A240" s="107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9"/>
      <c r="O240" s="109"/>
      <c r="P240" s="109"/>
      <c r="Q240" s="109"/>
      <c r="R240" s="109"/>
      <c r="S240" s="109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</row>
    <row r="241" spans="1:42" ht="15.75">
      <c r="A241" s="107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9"/>
      <c r="O241" s="109"/>
      <c r="P241" s="109"/>
      <c r="Q241" s="109"/>
      <c r="R241" s="109"/>
      <c r="S241" s="109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</row>
    <row r="242" spans="1:42" ht="15.75">
      <c r="A242" s="107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9"/>
      <c r="O242" s="109"/>
      <c r="P242" s="109"/>
      <c r="Q242" s="109"/>
      <c r="R242" s="109"/>
      <c r="S242" s="109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</row>
    <row r="243" spans="1:42" ht="15.75">
      <c r="A243" s="107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9"/>
      <c r="O243" s="109"/>
      <c r="P243" s="109"/>
      <c r="Q243" s="109"/>
      <c r="R243" s="109"/>
      <c r="S243" s="109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</row>
    <row r="244" spans="1:42" ht="15.75">
      <c r="A244" s="107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9"/>
      <c r="O244" s="109"/>
      <c r="P244" s="109"/>
      <c r="Q244" s="109"/>
      <c r="R244" s="109"/>
      <c r="S244" s="109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</row>
    <row r="245" spans="1:42" ht="15.7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</row>
    <row r="246" spans="1:42" ht="15.75">
      <c r="A246" s="107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9"/>
      <c r="O246" s="109"/>
      <c r="P246" s="109"/>
      <c r="Q246" s="109"/>
      <c r="R246" s="109"/>
      <c r="S246" s="109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  <row r="247" spans="1:42" ht="15.75">
      <c r="A247" s="107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9"/>
      <c r="O247" s="109"/>
      <c r="P247" s="109"/>
      <c r="Q247" s="109"/>
      <c r="R247" s="109"/>
      <c r="S247" s="109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</row>
    <row r="248" spans="1:42" ht="15.7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</row>
    <row r="249" spans="1:42" ht="15.75">
      <c r="A249" s="107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9"/>
      <c r="O249" s="109"/>
      <c r="P249" s="109"/>
      <c r="Q249" s="109"/>
      <c r="R249" s="109"/>
      <c r="S249" s="109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</row>
    <row r="250" spans="1:42" ht="15.75">
      <c r="A250" s="107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9"/>
      <c r="O250" s="109"/>
      <c r="P250" s="109"/>
      <c r="Q250" s="109"/>
      <c r="R250" s="109"/>
      <c r="S250" s="109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</row>
    <row r="251" spans="1:42" ht="15.75">
      <c r="A251" s="107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9"/>
      <c r="O251" s="109"/>
      <c r="P251" s="109"/>
      <c r="Q251" s="109"/>
      <c r="R251" s="109"/>
      <c r="S251" s="109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</row>
    <row r="252" spans="1:42" ht="15.75">
      <c r="A252" s="107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9"/>
      <c r="O252" s="109"/>
      <c r="P252" s="109"/>
      <c r="Q252" s="109"/>
      <c r="R252" s="109"/>
      <c r="S252" s="109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</row>
    <row r="253" spans="1:42" ht="15.75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</row>
    <row r="254" spans="1:42" ht="15.75">
      <c r="A254" s="107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9"/>
      <c r="O254" s="109"/>
      <c r="P254" s="109"/>
      <c r="Q254" s="109"/>
      <c r="R254" s="109"/>
      <c r="S254" s="109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</row>
    <row r="255" spans="1:42" ht="15.75">
      <c r="A255" s="107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9"/>
      <c r="O255" s="109"/>
      <c r="P255" s="109"/>
      <c r="Q255" s="109"/>
      <c r="R255" s="109"/>
      <c r="S255" s="109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</row>
    <row r="256" spans="1:42" ht="15.75">
      <c r="A256" s="107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9"/>
      <c r="O256" s="109"/>
      <c r="P256" s="109"/>
      <c r="Q256" s="109"/>
      <c r="R256" s="109"/>
      <c r="S256" s="109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</row>
    <row r="257" spans="1:42" ht="15.75">
      <c r="A257" s="107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9"/>
      <c r="O257" s="109"/>
      <c r="P257" s="109"/>
      <c r="Q257" s="109"/>
      <c r="R257" s="109"/>
      <c r="S257" s="109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</row>
    <row r="258" spans="1:42" ht="15.75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</row>
    <row r="259" spans="1:42" ht="15.75">
      <c r="A259" s="107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9"/>
      <c r="O259" s="109"/>
      <c r="P259" s="109"/>
      <c r="Q259" s="109"/>
      <c r="R259" s="109"/>
      <c r="S259" s="109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</row>
    <row r="260" spans="1:42" ht="15.75">
      <c r="A260" s="107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9"/>
      <c r="O260" s="109"/>
      <c r="P260" s="109"/>
      <c r="Q260" s="109"/>
      <c r="R260" s="109"/>
      <c r="S260" s="109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</row>
    <row r="261" spans="1:42" ht="15.75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</row>
    <row r="262" spans="1:42" ht="15.75">
      <c r="A262" s="107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9"/>
      <c r="O262" s="109"/>
      <c r="P262" s="109"/>
      <c r="Q262" s="109"/>
      <c r="R262" s="109"/>
      <c r="S262" s="109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</row>
    <row r="263" spans="1:42" ht="15.75">
      <c r="A263" s="107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9"/>
      <c r="O263" s="109"/>
      <c r="P263" s="109"/>
      <c r="Q263" s="109"/>
      <c r="R263" s="109"/>
      <c r="S263" s="109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</row>
    <row r="264" spans="1:42" ht="15.75">
      <c r="A264" s="107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9"/>
      <c r="O264" s="109"/>
      <c r="P264" s="109"/>
      <c r="Q264" s="109"/>
      <c r="R264" s="109"/>
      <c r="S264" s="109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</row>
    <row r="265" spans="1:42" ht="15.75">
      <c r="A265" s="107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9"/>
      <c r="O265" s="109"/>
      <c r="P265" s="109"/>
      <c r="Q265" s="109"/>
      <c r="R265" s="109"/>
      <c r="S265" s="109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</row>
    <row r="266" spans="1:42" ht="15.75">
      <c r="A266" s="107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9"/>
      <c r="O266" s="109"/>
      <c r="P266" s="109"/>
      <c r="Q266" s="109"/>
      <c r="R266" s="109"/>
      <c r="S266" s="109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</row>
    <row r="267" spans="1:42" ht="15.75">
      <c r="A267" s="107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9"/>
      <c r="O267" s="109"/>
      <c r="P267" s="109"/>
      <c r="Q267" s="109"/>
      <c r="R267" s="109"/>
      <c r="S267" s="109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</row>
    <row r="268" spans="1:42" ht="15.75">
      <c r="A268" s="107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9"/>
      <c r="O268" s="109"/>
      <c r="P268" s="109"/>
      <c r="Q268" s="109"/>
      <c r="R268" s="109"/>
      <c r="S268" s="109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</row>
    <row r="269" spans="1:42" ht="15.75">
      <c r="A269" s="107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9"/>
      <c r="O269" s="109"/>
      <c r="P269" s="109"/>
      <c r="Q269" s="109"/>
      <c r="R269" s="109"/>
      <c r="S269" s="109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</row>
    <row r="270" spans="1:42" ht="15.75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</row>
    <row r="271" spans="1:42" ht="15.75">
      <c r="A271" s="107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9"/>
      <c r="O271" s="109"/>
      <c r="P271" s="109"/>
      <c r="Q271" s="109"/>
      <c r="R271" s="109"/>
      <c r="S271" s="109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</row>
    <row r="272" spans="1:42" ht="15.75">
      <c r="A272" s="107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9"/>
      <c r="O272" s="109"/>
      <c r="P272" s="109"/>
      <c r="Q272" s="109"/>
      <c r="R272" s="109"/>
      <c r="S272" s="109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</row>
    <row r="273" spans="1:42" ht="15.75">
      <c r="A273" s="107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9"/>
      <c r="O273" s="109"/>
      <c r="P273" s="109"/>
      <c r="Q273" s="109"/>
      <c r="R273" s="109"/>
      <c r="S273" s="109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</row>
    <row r="274" spans="1:42" ht="15.75">
      <c r="A274" s="107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9"/>
      <c r="O274" s="109"/>
      <c r="P274" s="109"/>
      <c r="Q274" s="109"/>
      <c r="R274" s="109"/>
      <c r="S274" s="109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</row>
    <row r="275" spans="1:42" ht="15.7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</row>
    <row r="276" spans="1:42" ht="15.75">
      <c r="A276" s="107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9"/>
      <c r="O276" s="109"/>
      <c r="P276" s="109"/>
      <c r="Q276" s="109"/>
      <c r="R276" s="109"/>
      <c r="S276" s="109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</row>
    <row r="277" spans="1:42" ht="15.75">
      <c r="A277" s="107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9"/>
      <c r="O277" s="109"/>
      <c r="P277" s="109"/>
      <c r="Q277" s="109"/>
      <c r="R277" s="109"/>
      <c r="S277" s="109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</row>
    <row r="278" spans="1:42" ht="15.75">
      <c r="A278" s="107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</row>
    <row r="279" spans="1:42" ht="15.75">
      <c r="A279" s="107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</row>
    <row r="280" spans="1:42" ht="15.7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C2BDA-A594-4FE1-9C6C-ED7D8E69BBB9}">
  <sheetPr codeName="Feuil10">
    <tabColor theme="9" tint="0.79998168889431442"/>
  </sheetPr>
  <dimension ref="B2:P75"/>
  <sheetViews>
    <sheetView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11" sqref="D11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3" width="15.7109375" style="122" customWidth="1"/>
    <col min="14" max="16384" width="10.7109375" style="122"/>
  </cols>
  <sheetData>
    <row r="2" spans="2:12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/>
    </row>
    <row r="3" spans="2:12" ht="18" customHeight="1">
      <c r="B3" s="343"/>
      <c r="C3" s="248">
        <v>44286</v>
      </c>
      <c r="D3" s="248">
        <v>44804</v>
      </c>
      <c r="E3" s="248">
        <v>45169</v>
      </c>
      <c r="F3" s="248">
        <v>45535</v>
      </c>
      <c r="G3" s="248"/>
      <c r="H3" s="248">
        <v>45900</v>
      </c>
      <c r="I3" s="248">
        <v>46265</v>
      </c>
      <c r="J3" s="248">
        <v>46630</v>
      </c>
      <c r="K3" s="248">
        <v>46996</v>
      </c>
      <c r="L3" s="121"/>
    </row>
    <row r="4" spans="2:12" ht="20.100000000000001" customHeight="1">
      <c r="B4" s="343"/>
      <c r="C4" s="124" t="s">
        <v>3</v>
      </c>
      <c r="D4" s="124" t="s">
        <v>663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218"/>
    </row>
    <row r="5" spans="2:12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</row>
    <row r="6" spans="2:12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</row>
    <row r="7" spans="2:12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219"/>
    </row>
    <row r="8" spans="2:12">
      <c r="B8" s="151" t="s">
        <v>26</v>
      </c>
      <c r="C8" s="152"/>
      <c r="D8" s="152">
        <f>'SAS EMB - P&amp;L'!D192</f>
        <v>130353</v>
      </c>
      <c r="E8" s="152">
        <f>'SAS EMB - P&amp;L'!E192</f>
        <v>171265</v>
      </c>
      <c r="F8" s="152">
        <f>'SAS EMB - P&amp;L'!F192</f>
        <v>104222</v>
      </c>
      <c r="G8" s="152"/>
      <c r="H8" s="152">
        <v>151562</v>
      </c>
      <c r="I8" s="152">
        <f>'SAS EMB - P&amp;L'!I192</f>
        <v>175665</v>
      </c>
      <c r="J8" s="152">
        <f>'SAS EMB - P&amp;L'!J192</f>
        <v>176899</v>
      </c>
      <c r="K8" s="152">
        <f>'SAS EMB - P&amp;L'!K192</f>
        <v>191118</v>
      </c>
      <c r="L8" s="152"/>
    </row>
    <row r="9" spans="2:12">
      <c r="B9" s="148" t="s">
        <v>225</v>
      </c>
      <c r="C9" s="152"/>
      <c r="D9" s="152">
        <f>'SAS EMB - P&amp;L'!D211</f>
        <v>0</v>
      </c>
      <c r="E9" s="152">
        <f>'SAS EMB - P&amp;L'!E211</f>
        <v>-877</v>
      </c>
      <c r="F9" s="152">
        <f>'SAS EMB - P&amp;L'!F211</f>
        <v>0</v>
      </c>
      <c r="G9" s="152"/>
      <c r="H9" s="152"/>
      <c r="I9" s="152"/>
      <c r="J9" s="152"/>
      <c r="K9" s="152"/>
      <c r="L9" s="152"/>
    </row>
    <row r="10" spans="2:12">
      <c r="B10" s="148" t="s">
        <v>226</v>
      </c>
      <c r="C10" s="152"/>
      <c r="D10" s="152">
        <f>'SAS EMB - P&amp;L'!D208</f>
        <v>2548</v>
      </c>
      <c r="E10" s="152">
        <f>'SAS EMB - P&amp;L'!E208</f>
        <v>0</v>
      </c>
      <c r="F10" s="152">
        <f>'SAS EMB - P&amp;L'!F208</f>
        <v>0</v>
      </c>
      <c r="G10" s="152"/>
      <c r="H10" s="152"/>
      <c r="I10" s="152"/>
      <c r="J10" s="152"/>
      <c r="K10" s="152"/>
      <c r="L10" s="152"/>
    </row>
    <row r="11" spans="2:12">
      <c r="B11" s="148" t="s">
        <v>227</v>
      </c>
      <c r="C11" s="152"/>
      <c r="D11" s="152">
        <f>'SAS EMB - P&amp;L'!D214</f>
        <v>-28374</v>
      </c>
      <c r="E11" s="152">
        <f>'SAS EMB - P&amp;L'!E214</f>
        <v>-43013</v>
      </c>
      <c r="F11" s="152">
        <f>'SAS EMB - P&amp;L'!F214</f>
        <v>-24801</v>
      </c>
      <c r="G11" s="152"/>
      <c r="H11" s="152">
        <v>-35391</v>
      </c>
      <c r="I11" s="152">
        <f>'SAS EMB - P&amp;L'!I214</f>
        <v>-41416</v>
      </c>
      <c r="J11" s="152">
        <f>'SAS EMB - P&amp;L'!J214</f>
        <v>-41725</v>
      </c>
      <c r="K11" s="152">
        <f>'SAS EMB - P&amp;L'!K214</f>
        <v>-45279</v>
      </c>
      <c r="L11" s="152"/>
    </row>
    <row r="12" spans="2:12">
      <c r="B12" s="153" t="s">
        <v>228</v>
      </c>
      <c r="C12" s="154">
        <f t="shared" ref="C12" si="0">SUM(C8:C11)</f>
        <v>0</v>
      </c>
      <c r="D12" s="154">
        <f>SUM(D8:D11)</f>
        <v>104527</v>
      </c>
      <c r="E12" s="154">
        <f>SUM(E8:E11)</f>
        <v>127375</v>
      </c>
      <c r="F12" s="154">
        <f>SUM(F8:F11)</f>
        <v>79421</v>
      </c>
      <c r="G12" s="154"/>
      <c r="H12" s="154">
        <v>116171</v>
      </c>
      <c r="I12" s="154">
        <f t="shared" ref="I12:K12" si="1">SUM(I8:I11)</f>
        <v>134249</v>
      </c>
      <c r="J12" s="154">
        <f t="shared" si="1"/>
        <v>135174</v>
      </c>
      <c r="K12" s="154">
        <f t="shared" si="1"/>
        <v>145839</v>
      </c>
      <c r="L12" s="154"/>
    </row>
    <row r="13" spans="2:12">
      <c r="B13" s="148" t="s">
        <v>229</v>
      </c>
      <c r="C13" s="152"/>
      <c r="D13" s="152">
        <f>-'SAS EMB - P&amp;L'!D183</f>
        <v>26013</v>
      </c>
      <c r="E13" s="152">
        <f>-'SAS EMB - P&amp;L'!E183</f>
        <v>16028</v>
      </c>
      <c r="F13" s="152">
        <f>-'SAS EMB - P&amp;L'!F183</f>
        <v>16585</v>
      </c>
      <c r="G13" s="152"/>
      <c r="H13" s="152">
        <v>15104</v>
      </c>
      <c r="I13" s="152">
        <f>-'SAS EMB - P&amp;L'!I183</f>
        <v>14000</v>
      </c>
      <c r="J13" s="152">
        <f>-'SAS EMB - P&amp;L'!J183</f>
        <v>13288</v>
      </c>
      <c r="K13" s="152">
        <f>-'SAS EMB - P&amp;L'!K183</f>
        <v>10123</v>
      </c>
      <c r="L13" s="152"/>
    </row>
    <row r="14" spans="2:12">
      <c r="B14" s="148" t="s">
        <v>230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</row>
    <row r="15" spans="2:12">
      <c r="B15" s="153" t="s">
        <v>231</v>
      </c>
      <c r="C15" s="154">
        <f t="shared" ref="C15" si="2">SUM(C16:C26)</f>
        <v>0</v>
      </c>
      <c r="D15" s="154">
        <f t="shared" ref="D15" si="3">SUM(D16:D26)</f>
        <v>-151573</v>
      </c>
      <c r="E15" s="154">
        <f t="shared" ref="E15:F15" si="4">SUM(E16:E26)</f>
        <v>182803</v>
      </c>
      <c r="F15" s="154">
        <f t="shared" si="4"/>
        <v>-172806</v>
      </c>
      <c r="G15" s="154"/>
      <c r="H15" s="154">
        <v>-12792</v>
      </c>
      <c r="I15" s="154">
        <f t="shared" ref="I15:K15" si="5">SUM(I16:I26)</f>
        <v>-10704</v>
      </c>
      <c r="J15" s="154">
        <f t="shared" si="5"/>
        <v>-10789</v>
      </c>
      <c r="K15" s="154">
        <f t="shared" si="5"/>
        <v>-2728</v>
      </c>
      <c r="L15" s="154"/>
    </row>
    <row r="16" spans="2:12" s="145" customFormat="1" ht="15" outlineLevel="1">
      <c r="B16" s="155" t="s">
        <v>232</v>
      </c>
      <c r="C16" s="156"/>
      <c r="D16" s="156">
        <f>-('SAS EMB - Bilan'!D14-'SAS EMB - Bilan'!C14)</f>
        <v>-48984</v>
      </c>
      <c r="E16" s="156">
        <f>-('SAS EMB - Bilan'!E14-'SAS EMB - Bilan'!D14)</f>
        <v>106555</v>
      </c>
      <c r="F16" s="156">
        <f>-('SAS EMB - Bilan'!F14-'SAS EMB - Bilan'!E14)</f>
        <v>-70376</v>
      </c>
      <c r="G16" s="156"/>
      <c r="H16" s="156">
        <v>-1560</v>
      </c>
      <c r="I16" s="156">
        <f>-('SAS EMB - Bilan'!I14-'SAS EMB - Bilan'!H14)</f>
        <v>-1591</v>
      </c>
      <c r="J16" s="156">
        <f>-('SAS EMB - Bilan'!J14-'SAS EMB - Bilan'!I14)</f>
        <v>-1623</v>
      </c>
      <c r="K16" s="156">
        <f>-('SAS EMB - Bilan'!K14-'SAS EMB - Bilan'!J14)</f>
        <v>-1655</v>
      </c>
      <c r="L16" s="156"/>
    </row>
    <row r="17" spans="2:12" s="145" customFormat="1" ht="15" outlineLevel="1">
      <c r="B17" s="155" t="s">
        <v>233</v>
      </c>
      <c r="C17" s="156"/>
      <c r="D17" s="156">
        <f>-('SAS EMB - Bilan'!D15-'SAS EMB - Bilan'!C15)</f>
        <v>0</v>
      </c>
      <c r="E17" s="156">
        <f>-('SAS EMB - Bilan'!E15-'SAS EMB - Bilan'!D15)</f>
        <v>0</v>
      </c>
      <c r="F17" s="156">
        <f>-('SAS EMB - Bilan'!F15-'SAS EMB - Bilan'!E15)</f>
        <v>0</v>
      </c>
      <c r="G17" s="156"/>
      <c r="H17" s="156">
        <v>0</v>
      </c>
      <c r="I17" s="156">
        <f>-('SAS EMB - Bilan'!I15-'SAS EMB - Bilan'!H15)</f>
        <v>0</v>
      </c>
      <c r="J17" s="156">
        <f>-('SAS EMB - Bilan'!J15-'SAS EMB - Bilan'!I15)</f>
        <v>0</v>
      </c>
      <c r="K17" s="156">
        <f>-('SAS EMB - Bilan'!K15-'SAS EMB - Bilan'!J15)</f>
        <v>0</v>
      </c>
      <c r="L17" s="156"/>
    </row>
    <row r="18" spans="2:12" s="145" customFormat="1" ht="15" outlineLevel="1">
      <c r="B18" s="155" t="s">
        <v>234</v>
      </c>
      <c r="C18" s="156"/>
      <c r="D18" s="156">
        <f>-('SAS EMB - Bilan'!D16-'SAS EMB - Bilan'!C16)</f>
        <v>-24737</v>
      </c>
      <c r="E18" s="156">
        <f>-('SAS EMB - Bilan'!E16-'SAS EMB - Bilan'!D16)</f>
        <v>-2162</v>
      </c>
      <c r="F18" s="156">
        <f>-('SAS EMB - Bilan'!F16-'SAS EMB - Bilan'!E16)</f>
        <v>52208</v>
      </c>
      <c r="G18" s="156"/>
      <c r="H18" s="156">
        <v>-45128</v>
      </c>
      <c r="I18" s="156">
        <f>-('SAS EMB - Bilan'!I16-'SAS EMB - Bilan'!H16)</f>
        <v>-6816</v>
      </c>
      <c r="J18" s="156">
        <f>-('SAS EMB - Bilan'!J16-'SAS EMB - Bilan'!I16)</f>
        <v>-6960</v>
      </c>
      <c r="K18" s="156">
        <f>-('SAS EMB - Bilan'!K16-'SAS EMB - Bilan'!J16)</f>
        <v>-7092</v>
      </c>
      <c r="L18" s="156"/>
    </row>
    <row r="19" spans="2:12" s="145" customFormat="1" ht="15" outlineLevel="1">
      <c r="B19" s="155" t="s">
        <v>235</v>
      </c>
      <c r="C19" s="156"/>
      <c r="D19" s="156">
        <f>-('SAS EMB - Bilan'!D17-'SAS EMB - Bilan'!C17)</f>
        <v>-109050</v>
      </c>
      <c r="E19" s="156">
        <f>-('SAS EMB - Bilan'!E17-'SAS EMB - Bilan'!D17)</f>
        <v>70410</v>
      </c>
      <c r="F19" s="156">
        <f>-('SAS EMB - Bilan'!F17-'SAS EMB - Bilan'!E17)</f>
        <v>-175017</v>
      </c>
      <c r="G19" s="156"/>
      <c r="H19" s="156">
        <v>17576</v>
      </c>
      <c r="I19" s="156">
        <f>-('SAS EMB - Bilan'!I17-'SAS EMB - Bilan'!H17)</f>
        <v>0</v>
      </c>
      <c r="J19" s="156">
        <f>-('SAS EMB - Bilan'!J17-'SAS EMB - Bilan'!I17)</f>
        <v>0</v>
      </c>
      <c r="K19" s="156">
        <f>-('SAS EMB - Bilan'!K17-'SAS EMB - Bilan'!J17)</f>
        <v>0</v>
      </c>
      <c r="L19" s="156"/>
    </row>
    <row r="20" spans="2:12" s="145" customFormat="1" ht="15" outlineLevel="1">
      <c r="B20" s="155" t="s">
        <v>236</v>
      </c>
      <c r="C20" s="156"/>
      <c r="D20" s="156">
        <f>-('SAS EMB - Bilan'!D19-'SAS EMB - Bilan'!C19)</f>
        <v>-2042</v>
      </c>
      <c r="E20" s="156">
        <f>-('SAS EMB - Bilan'!E19-'SAS EMB - Bilan'!D19)</f>
        <v>1022</v>
      </c>
      <c r="F20" s="156">
        <f>-('SAS EMB - Bilan'!F19-'SAS EMB - Bilan'!E19)</f>
        <v>1424</v>
      </c>
      <c r="G20" s="156"/>
      <c r="H20" s="156">
        <v>0</v>
      </c>
      <c r="I20" s="156">
        <f>-('SAS EMB - Bilan'!I19-'SAS EMB - Bilan'!H19)</f>
        <v>0</v>
      </c>
      <c r="J20" s="156">
        <f>-('SAS EMB - Bilan'!J19-'SAS EMB - Bilan'!I19)</f>
        <v>0</v>
      </c>
      <c r="K20" s="156">
        <f>-('SAS EMB - Bilan'!K19-'SAS EMB - Bilan'!J19)</f>
        <v>0</v>
      </c>
      <c r="L20" s="156"/>
    </row>
    <row r="21" spans="2:12" s="145" customFormat="1" ht="15" outlineLevel="1">
      <c r="B21" s="155" t="s">
        <v>237</v>
      </c>
      <c r="C21" s="156"/>
      <c r="D21" s="156">
        <f>'SAS EMB - Bilan'!D46-'SAS EMB - Bilan'!C46</f>
        <v>0</v>
      </c>
      <c r="E21" s="156">
        <f>'SAS EMB - Bilan'!E46-'SAS EMB - Bilan'!D46</f>
        <v>0</v>
      </c>
      <c r="F21" s="156">
        <f>'SAS EMB - Bilan'!F46-'SAS EMB - Bilan'!E46</f>
        <v>0</v>
      </c>
      <c r="G21" s="156"/>
      <c r="H21" s="156">
        <v>0</v>
      </c>
      <c r="I21" s="156">
        <f>'SAS EMB - Bilan'!I46-'SAS EMB - Bilan'!H46</f>
        <v>0</v>
      </c>
      <c r="J21" s="156">
        <f>'SAS EMB - Bilan'!J46-'SAS EMB - Bilan'!I46</f>
        <v>0</v>
      </c>
      <c r="K21" s="156">
        <f>'SAS EMB - Bilan'!K46-'SAS EMB - Bilan'!J46</f>
        <v>0</v>
      </c>
      <c r="L21" s="156"/>
    </row>
    <row r="22" spans="2:12" s="145" customFormat="1" ht="15" outlineLevel="1">
      <c r="B22" s="155" t="s">
        <v>238</v>
      </c>
      <c r="C22" s="156"/>
      <c r="D22" s="156">
        <f>'SAS EMB - Bilan'!D47-'SAS EMB - Bilan'!C47</f>
        <v>50566</v>
      </c>
      <c r="E22" s="156">
        <f>'SAS EMB - Bilan'!E47-'SAS EMB - Bilan'!D47</f>
        <v>-14090</v>
      </c>
      <c r="F22" s="156">
        <f>'SAS EMB - Bilan'!F47-'SAS EMB - Bilan'!E47</f>
        <v>68924</v>
      </c>
      <c r="G22" s="156"/>
      <c r="H22" s="156">
        <v>8595</v>
      </c>
      <c r="I22" s="156">
        <f>'SAS EMB - Bilan'!I47-'SAS EMB - Bilan'!H47</f>
        <v>2345</v>
      </c>
      <c r="J22" s="156">
        <f>'SAS EMB - Bilan'!J47-'SAS EMB - Bilan'!I47</f>
        <v>2404</v>
      </c>
      <c r="K22" s="156">
        <f>'SAS EMB - Bilan'!K47-'SAS EMB - Bilan'!J47</f>
        <v>2440</v>
      </c>
      <c r="L22" s="156"/>
    </row>
    <row r="23" spans="2:12" s="145" customFormat="1" ht="15" outlineLevel="1">
      <c r="B23" s="155" t="s">
        <v>239</v>
      </c>
      <c r="C23" s="156"/>
      <c r="D23" s="156">
        <f>'SAS EMB - Bilan'!D48-'SAS EMB - Bilan'!C48</f>
        <v>-5751</v>
      </c>
      <c r="E23" s="156">
        <f>'SAS EMB - Bilan'!E48-'SAS EMB - Bilan'!D48</f>
        <v>21920</v>
      </c>
      <c r="F23" s="156">
        <f>'SAS EMB - Bilan'!F48-'SAS EMB - Bilan'!E48</f>
        <v>-49969</v>
      </c>
      <c r="G23" s="156"/>
      <c r="H23" s="156">
        <v>7725</v>
      </c>
      <c r="I23" s="156">
        <f>'SAS EMB - Bilan'!I48-'SAS EMB - Bilan'!H48</f>
        <v>-4642</v>
      </c>
      <c r="J23" s="156">
        <f>'SAS EMB - Bilan'!J48-'SAS EMB - Bilan'!I48</f>
        <v>-4610</v>
      </c>
      <c r="K23" s="156">
        <f>'SAS EMB - Bilan'!K48-'SAS EMB - Bilan'!J48</f>
        <v>3579</v>
      </c>
      <c r="L23" s="156"/>
    </row>
    <row r="24" spans="2:12" s="145" customFormat="1" ht="15" outlineLevel="1">
      <c r="B24" s="155" t="s">
        <v>251</v>
      </c>
      <c r="C24" s="156"/>
      <c r="D24" s="156">
        <f>'SAS EMB - Bilan'!D49-'SAS EMB - Bilan'!C49</f>
        <v>0</v>
      </c>
      <c r="E24" s="156">
        <f>'SAS EMB - Bilan'!E49-'SAS EMB - Bilan'!D49</f>
        <v>0</v>
      </c>
      <c r="F24" s="156">
        <f>'SAS EMB - Bilan'!F49-'SAS EMB - Bilan'!E49</f>
        <v>0</v>
      </c>
      <c r="G24" s="156"/>
      <c r="H24" s="156">
        <v>0</v>
      </c>
      <c r="I24" s="156">
        <f>'SAS EMB - Bilan'!I49-'SAS EMB - Bilan'!H49</f>
        <v>0</v>
      </c>
      <c r="J24" s="156">
        <f>'SAS EMB - Bilan'!J49-'SAS EMB - Bilan'!I49</f>
        <v>0</v>
      </c>
      <c r="K24" s="156">
        <f>'SAS EMB - Bilan'!K49-'SAS EMB - Bilan'!J49</f>
        <v>0</v>
      </c>
      <c r="L24" s="156"/>
    </row>
    <row r="25" spans="2:12" s="145" customFormat="1" ht="15" outlineLevel="1">
      <c r="B25" s="155" t="s">
        <v>240</v>
      </c>
      <c r="C25" s="156"/>
      <c r="D25" s="156">
        <f>'SAS EMB - Bilan'!D50-'SAS EMB - Bilan'!C50</f>
        <v>-4925</v>
      </c>
      <c r="E25" s="156">
        <f>'SAS EMB - Bilan'!E50-'SAS EMB - Bilan'!D50</f>
        <v>-852</v>
      </c>
      <c r="F25" s="156">
        <f>'SAS EMB - Bilan'!F50-'SAS EMB - Bilan'!E50</f>
        <v>0</v>
      </c>
      <c r="G25" s="156"/>
      <c r="H25" s="156">
        <v>0</v>
      </c>
      <c r="I25" s="156">
        <f>'SAS EMB - Bilan'!I50-'SAS EMB - Bilan'!H50</f>
        <v>0</v>
      </c>
      <c r="J25" s="156">
        <f>'SAS EMB - Bilan'!J50-'SAS EMB - Bilan'!I50</f>
        <v>0</v>
      </c>
      <c r="K25" s="156">
        <f>'SAS EMB - Bilan'!K50-'SAS EMB - Bilan'!J50</f>
        <v>0</v>
      </c>
      <c r="L25" s="156"/>
    </row>
    <row r="26" spans="2:12" s="145" customFormat="1" ht="15" outlineLevel="1">
      <c r="B26" s="157" t="s">
        <v>241</v>
      </c>
      <c r="C26" s="156"/>
      <c r="D26" s="156">
        <f>'SAS EMB - Bilan'!D51-'SAS EMB - Bilan'!C51</f>
        <v>-6650</v>
      </c>
      <c r="E26" s="156">
        <f>'SAS EMB - Bilan'!E51-'SAS EMB - Bilan'!D51</f>
        <v>0</v>
      </c>
      <c r="F26" s="156">
        <f>'SAS EMB - Bilan'!F51-'SAS EMB - Bilan'!E51</f>
        <v>0</v>
      </c>
      <c r="G26" s="156"/>
      <c r="H26" s="156">
        <v>0</v>
      </c>
      <c r="I26" s="156">
        <f>'SAS EMB - Bilan'!I51-'SAS EMB - Bilan'!H51</f>
        <v>0</v>
      </c>
      <c r="J26" s="156">
        <f>'SAS EMB - Bilan'!J51-'SAS EMB - Bilan'!I51</f>
        <v>0</v>
      </c>
      <c r="K26" s="156">
        <f>'SAS EMB - Bilan'!K51-'SAS EMB - Bilan'!J51</f>
        <v>0</v>
      </c>
      <c r="L26" s="156"/>
    </row>
    <row r="27" spans="2:12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</row>
    <row r="28" spans="2:12">
      <c r="B28" s="159" t="s">
        <v>242</v>
      </c>
      <c r="C28" s="160">
        <f t="shared" ref="C28" si="6">SUM(C12:C15)</f>
        <v>0</v>
      </c>
      <c r="D28" s="160">
        <f t="shared" ref="D28:I28" si="7">SUM(D12:D15)</f>
        <v>-21033</v>
      </c>
      <c r="E28" s="160">
        <f t="shared" si="7"/>
        <v>326206</v>
      </c>
      <c r="F28" s="160">
        <f t="shared" ref="F28" si="8">SUM(F12:F15)</f>
        <v>-76800</v>
      </c>
      <c r="G28" s="160"/>
      <c r="H28" s="160">
        <v>118483</v>
      </c>
      <c r="I28" s="160">
        <f t="shared" si="7"/>
        <v>137545</v>
      </c>
      <c r="J28" s="160">
        <f t="shared" ref="J28:K28" si="9">SUM(J12:J15)</f>
        <v>137673</v>
      </c>
      <c r="K28" s="160">
        <f t="shared" si="9"/>
        <v>153234</v>
      </c>
      <c r="L28" s="160"/>
    </row>
    <row r="29" spans="2:12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2:12">
      <c r="B30" s="149" t="s">
        <v>243</v>
      </c>
      <c r="C30" s="150"/>
      <c r="D30" s="150"/>
      <c r="E30" s="150"/>
      <c r="F30" s="150"/>
      <c r="G30" s="219"/>
      <c r="H30" s="150"/>
      <c r="I30" s="149"/>
      <c r="J30" s="149"/>
      <c r="K30" s="149"/>
      <c r="L30" s="220"/>
    </row>
    <row r="31" spans="2:12">
      <c r="B31" s="151" t="s">
        <v>195</v>
      </c>
      <c r="C31" s="158"/>
      <c r="D31" s="158">
        <f>-('SAS EMB - Bilan'!D9-'SAS EMB - Bilan'!C9-'SAS EMB - P&amp;L'!D184)</f>
        <v>0</v>
      </c>
      <c r="E31" s="158">
        <f>-('SAS EMB - Bilan'!E9-'SAS EMB - Bilan'!D9-'SAS EMB - P&amp;L'!E184)</f>
        <v>0</v>
      </c>
      <c r="F31" s="158">
        <f>-('SAS EMB - Bilan'!F9-'SAS EMB - Bilan'!E9-'SAS EMB - P&amp;L'!F184)</f>
        <v>0</v>
      </c>
      <c r="G31" s="158"/>
      <c r="H31" s="158"/>
      <c r="I31" s="158"/>
      <c r="J31" s="158"/>
      <c r="K31" s="158"/>
      <c r="L31" s="158"/>
    </row>
    <row r="32" spans="2:12">
      <c r="B32" s="151" t="s">
        <v>196</v>
      </c>
      <c r="C32" s="158"/>
      <c r="D32" s="158">
        <f>-('SAS EMB - Bilan'!D10-'SAS EMB - Bilan'!C10-'SAS EMB - P&amp;L'!D185)</f>
        <v>-8668</v>
      </c>
      <c r="E32" s="158">
        <f>-('SAS EMB - Bilan'!E10-'SAS EMB - Bilan'!D10-'SAS EMB - P&amp;L'!E185)</f>
        <v>-26020</v>
      </c>
      <c r="F32" s="158">
        <f>-('SAS EMB - Bilan'!F10-'SAS EMB - Bilan'!E10-'SAS EMB - P&amp;L'!F185)</f>
        <v>-16071</v>
      </c>
      <c r="G32" s="158"/>
      <c r="H32" s="158"/>
      <c r="I32" s="158"/>
      <c r="J32" s="158"/>
      <c r="K32" s="158"/>
      <c r="L32" s="158"/>
    </row>
    <row r="33" spans="2:16">
      <c r="B33" s="151" t="s">
        <v>197</v>
      </c>
      <c r="C33" s="158"/>
      <c r="D33" s="158">
        <f>-('SAS EMB - Bilan'!D11-'SAS EMB - Bilan'!C11-'SAS EMB - P&amp;L'!D186)</f>
        <v>0</v>
      </c>
      <c r="E33" s="158">
        <f>-('SAS EMB - Bilan'!E11-'SAS EMB - Bilan'!D11-'SAS EMB - P&amp;L'!E186)</f>
        <v>621</v>
      </c>
      <c r="F33" s="158">
        <f>-('SAS EMB - Bilan'!F11-'SAS EMB - Bilan'!E11-'SAS EMB - P&amp;L'!F186)</f>
        <v>0</v>
      </c>
      <c r="G33" s="158"/>
      <c r="H33" s="158"/>
      <c r="I33" s="158"/>
      <c r="J33" s="158"/>
      <c r="K33" s="158"/>
      <c r="L33" s="158"/>
    </row>
    <row r="34" spans="2:16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</row>
    <row r="35" spans="2:16">
      <c r="B35" s="159" t="s">
        <v>244</v>
      </c>
      <c r="C35" s="160">
        <f t="shared" ref="C35:E35" si="10">SUM(C31:C33)</f>
        <v>0</v>
      </c>
      <c r="D35" s="160">
        <f t="shared" si="10"/>
        <v>-8668</v>
      </c>
      <c r="E35" s="160">
        <f t="shared" si="10"/>
        <v>-25399</v>
      </c>
      <c r="F35" s="160">
        <f t="shared" ref="F35" si="11">SUM(F31:F33)</f>
        <v>-16071</v>
      </c>
      <c r="G35" s="160"/>
      <c r="H35" s="160">
        <v>0</v>
      </c>
      <c r="I35" s="160">
        <f t="shared" ref="I35:K35" si="12">SUM(I31:I33)</f>
        <v>0</v>
      </c>
      <c r="J35" s="160">
        <f t="shared" si="12"/>
        <v>0</v>
      </c>
      <c r="K35" s="160">
        <f t="shared" si="12"/>
        <v>0</v>
      </c>
      <c r="L35" s="160"/>
    </row>
    <row r="36" spans="2:16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</row>
    <row r="37" spans="2:16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220"/>
    </row>
    <row r="38" spans="2:16">
      <c r="B38" s="161" t="s">
        <v>27</v>
      </c>
      <c r="C38" s="134"/>
      <c r="D38" s="134">
        <f>SUM(D39:D42)</f>
        <v>1147</v>
      </c>
      <c r="E38" s="134">
        <f t="shared" ref="E38:F38" si="13">SUM(E39:E42)</f>
        <v>3751</v>
      </c>
      <c r="F38" s="134">
        <f t="shared" si="13"/>
        <v>11568</v>
      </c>
      <c r="G38" s="134"/>
      <c r="H38" s="134">
        <v>7000</v>
      </c>
      <c r="I38" s="134">
        <f>'SAS EMB - P&amp;L'!I194</f>
        <v>7000</v>
      </c>
      <c r="J38" s="134">
        <f>'SAS EMB - P&amp;L'!J194</f>
        <v>7000</v>
      </c>
      <c r="K38" s="134">
        <f>'SAS EMB - P&amp;L'!K194</f>
        <v>7000</v>
      </c>
      <c r="L38" s="134"/>
      <c r="M38" s="134"/>
      <c r="N38" s="134"/>
      <c r="O38" s="134"/>
      <c r="P38" s="134"/>
    </row>
    <row r="39" spans="2:16" s="137" customFormat="1" ht="12.75" outlineLevel="1">
      <c r="B39" s="164" t="str">
        <f>'SAS EMB - P&amp;L'!B196</f>
        <v>Intérêt C/C</v>
      </c>
      <c r="C39" s="133"/>
      <c r="D39" s="133">
        <f>'SAS EMB - P&amp;L'!D196</f>
        <v>863</v>
      </c>
      <c r="E39" s="133">
        <f>'SAS EMB - P&amp;L'!E196</f>
        <v>3127</v>
      </c>
      <c r="F39" s="133">
        <f>'SAS EMB - P&amp;L'!F196</f>
        <v>10479</v>
      </c>
      <c r="G39" s="133"/>
      <c r="H39" s="133"/>
      <c r="I39" s="133"/>
      <c r="J39" s="133"/>
      <c r="K39" s="133"/>
      <c r="L39" s="133"/>
      <c r="M39" s="138"/>
      <c r="N39" s="138"/>
      <c r="O39" s="138"/>
      <c r="P39" s="138"/>
    </row>
    <row r="40" spans="2:16" s="137" customFormat="1" ht="12.75" outlineLevel="1">
      <c r="B40" s="164" t="str">
        <f>'SAS EMB - P&amp;L'!B197</f>
        <v>Escompte obtenu</v>
      </c>
      <c r="C40" s="133"/>
      <c r="D40" s="133">
        <f>'SAS EMB - P&amp;L'!D197</f>
        <v>0</v>
      </c>
      <c r="E40" s="133">
        <f>'SAS EMB - P&amp;L'!E197</f>
        <v>366</v>
      </c>
      <c r="F40" s="133">
        <f>'SAS EMB - P&amp;L'!F197</f>
        <v>762</v>
      </c>
      <c r="G40" s="133"/>
      <c r="H40" s="133"/>
      <c r="I40" s="133"/>
      <c r="J40" s="133"/>
      <c r="K40" s="133"/>
      <c r="L40" s="133"/>
      <c r="M40" s="138"/>
      <c r="N40" s="138"/>
      <c r="O40" s="138"/>
      <c r="P40" s="138"/>
    </row>
    <row r="41" spans="2:16" s="137" customFormat="1" ht="12.75" outlineLevel="1">
      <c r="B41" s="164" t="str">
        <f>'SAS EMB - P&amp;L'!B198</f>
        <v>Autre produit financier</v>
      </c>
      <c r="C41" s="133"/>
      <c r="D41" s="133">
        <f>'SAS EMB - P&amp;L'!D198</f>
        <v>284</v>
      </c>
      <c r="E41" s="133">
        <f>'SAS EMB - P&amp;L'!E198</f>
        <v>258</v>
      </c>
      <c r="F41" s="133">
        <f>'SAS EMB - P&amp;L'!F198</f>
        <v>327</v>
      </c>
      <c r="G41" s="133"/>
      <c r="H41" s="133"/>
      <c r="I41" s="133"/>
      <c r="J41" s="133"/>
      <c r="K41" s="133"/>
      <c r="L41" s="133"/>
      <c r="M41" s="138"/>
      <c r="N41" s="138"/>
      <c r="O41" s="138"/>
      <c r="P41" s="138"/>
    </row>
    <row r="42" spans="2:16" s="137" customFormat="1" ht="12.75" outlineLevel="1">
      <c r="B42" s="164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8"/>
      <c r="N42" s="138"/>
      <c r="O42" s="138"/>
      <c r="P42" s="138"/>
    </row>
    <row r="43" spans="2:16">
      <c r="B43" s="161" t="s">
        <v>28</v>
      </c>
      <c r="C43" s="134"/>
      <c r="D43" s="134">
        <f>SUM(D44:D47)</f>
        <v>-400</v>
      </c>
      <c r="E43" s="134">
        <f t="shared" ref="E43:K43" si="14">SUM(E44:E47)</f>
        <v>-58</v>
      </c>
      <c r="F43" s="134">
        <f t="shared" ref="F43" si="15">SUM(F44:F47)</f>
        <v>-2</v>
      </c>
      <c r="G43" s="134"/>
      <c r="H43" s="134">
        <v>0</v>
      </c>
      <c r="I43" s="134">
        <f t="shared" si="14"/>
        <v>0</v>
      </c>
      <c r="J43" s="134">
        <f t="shared" si="14"/>
        <v>0</v>
      </c>
      <c r="K43" s="134">
        <f t="shared" si="14"/>
        <v>0</v>
      </c>
      <c r="L43" s="134"/>
      <c r="M43" s="134"/>
      <c r="N43" s="134"/>
      <c r="O43" s="134"/>
      <c r="P43" s="134"/>
    </row>
    <row r="44" spans="2:16" s="137" customFormat="1" ht="12.75" outlineLevel="1">
      <c r="B44" s="164" t="str">
        <f>'SAS EMB - P&amp;L'!B201</f>
        <v>Intérêt d'emprunt</v>
      </c>
      <c r="C44" s="133"/>
      <c r="D44" s="133">
        <f>'SAS EMB - P&amp;L'!D201</f>
        <v>-259</v>
      </c>
      <c r="E44" s="133">
        <f>'SAS EMB - P&amp;L'!E201</f>
        <v>-24</v>
      </c>
      <c r="F44" s="133">
        <f>'SAS EMB - P&amp;L'!F201</f>
        <v>0</v>
      </c>
      <c r="G44" s="133"/>
      <c r="H44" s="133"/>
      <c r="I44" s="133"/>
      <c r="J44" s="133"/>
      <c r="K44" s="133"/>
      <c r="L44" s="133"/>
      <c r="M44" s="138"/>
      <c r="N44" s="138"/>
      <c r="O44" s="138"/>
      <c r="P44" s="138"/>
    </row>
    <row r="45" spans="2:16" s="137" customFormat="1" ht="12.75" outlineLevel="1">
      <c r="B45" s="164" t="str">
        <f>'SAS EMB - P&amp;L'!B202</f>
        <v>Intérêt C/C</v>
      </c>
      <c r="C45" s="133"/>
      <c r="D45" s="133">
        <f>'SAS EMB - P&amp;L'!D202</f>
        <v>0</v>
      </c>
      <c r="E45" s="133">
        <f>'SAS EMB - P&amp;L'!E202</f>
        <v>0</v>
      </c>
      <c r="F45" s="133">
        <f>'SAS EMB - P&amp;L'!F202</f>
        <v>0</v>
      </c>
      <c r="G45" s="133"/>
      <c r="H45" s="133"/>
      <c r="I45" s="133"/>
      <c r="J45" s="133"/>
      <c r="K45" s="133"/>
      <c r="L45" s="133"/>
      <c r="M45" s="138"/>
      <c r="N45" s="138"/>
      <c r="O45" s="138"/>
      <c r="P45" s="138"/>
    </row>
    <row r="46" spans="2:16" s="137" customFormat="1" ht="12.75" outlineLevel="1">
      <c r="B46" s="164" t="str">
        <f>'SAS EMB - P&amp;L'!B203</f>
        <v>Escompte accordé</v>
      </c>
      <c r="C46" s="133"/>
      <c r="D46" s="133">
        <f>'SAS EMB - P&amp;L'!D203</f>
        <v>-141</v>
      </c>
      <c r="E46" s="133">
        <f>'SAS EMB - P&amp;L'!E203</f>
        <v>-34</v>
      </c>
      <c r="F46" s="133">
        <f>'SAS EMB - P&amp;L'!F203</f>
        <v>-2</v>
      </c>
      <c r="G46" s="133"/>
      <c r="H46" s="133"/>
      <c r="I46" s="133"/>
      <c r="J46" s="133"/>
      <c r="K46" s="133"/>
      <c r="L46" s="133"/>
      <c r="M46" s="138"/>
      <c r="N46" s="138"/>
      <c r="O46" s="138"/>
      <c r="P46" s="138"/>
    </row>
    <row r="47" spans="2:16" s="137" customFormat="1" ht="12.75" outlineLevel="1">
      <c r="B47" s="164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8"/>
      <c r="N47" s="138"/>
      <c r="O47" s="138"/>
      <c r="P47" s="138"/>
    </row>
    <row r="48" spans="2:16">
      <c r="B48" s="161" t="s">
        <v>213</v>
      </c>
      <c r="C48" s="152"/>
      <c r="D48" s="152">
        <f>SUM(D49:D51)</f>
        <v>-11577</v>
      </c>
      <c r="E48" s="152">
        <f t="shared" ref="E48:K48" si="16">SUM(E49:E51)</f>
        <v>-4850</v>
      </c>
      <c r="F48" s="152">
        <f t="shared" ref="F48" si="17">SUM(F49:F51)</f>
        <v>0</v>
      </c>
      <c r="G48" s="152"/>
      <c r="H48" s="152">
        <v>0</v>
      </c>
      <c r="I48" s="152">
        <f t="shared" si="16"/>
        <v>0</v>
      </c>
      <c r="J48" s="152">
        <f t="shared" si="16"/>
        <v>0</v>
      </c>
      <c r="K48" s="152">
        <f t="shared" si="16"/>
        <v>0</v>
      </c>
      <c r="L48" s="134"/>
      <c r="M48" s="134"/>
      <c r="N48" s="134"/>
      <c r="O48" s="134"/>
      <c r="P48" s="134"/>
    </row>
    <row r="49" spans="2:16" s="137" customFormat="1" ht="12.75" outlineLevel="1">
      <c r="B49" s="164" t="str">
        <f>'SAS EMB - Bilan'!B39</f>
        <v>Emprunt NUGER 19-101</v>
      </c>
      <c r="C49" s="133"/>
      <c r="D49" s="133">
        <f>'SAS EMB - Bilan'!D39-'SAS EMB - Bilan'!C39</f>
        <v>-11568</v>
      </c>
      <c r="E49" s="133">
        <f>'SAS EMB - Bilan'!E39-'SAS EMB - Bilan'!D39</f>
        <v>-4846</v>
      </c>
      <c r="F49" s="133">
        <f>'SAS EMB - Bilan'!F39-'SAS EMB - Bilan'!E39</f>
        <v>0</v>
      </c>
      <c r="G49" s="133"/>
      <c r="H49" s="133"/>
      <c r="I49" s="133"/>
      <c r="J49" s="133"/>
      <c r="K49" s="133"/>
      <c r="L49" s="133"/>
      <c r="M49" s="138"/>
      <c r="N49" s="138"/>
      <c r="O49" s="138"/>
      <c r="P49" s="138"/>
    </row>
    <row r="50" spans="2:16" s="137" customFormat="1" ht="12.75" outlineLevel="1">
      <c r="B50" s="164" t="str">
        <f>'SAS EMB - Bilan'!B40</f>
        <v>Intérêt courus sur emprunt</v>
      </c>
      <c r="C50" s="133"/>
      <c r="D50" s="133">
        <f>'SAS EMB - Bilan'!D40-'SAS EMB - Bilan'!C40</f>
        <v>-9</v>
      </c>
      <c r="E50" s="133">
        <f>'SAS EMB - Bilan'!E40-'SAS EMB - Bilan'!D40</f>
        <v>-4</v>
      </c>
      <c r="F50" s="133">
        <f>'SAS EMB - Bilan'!F40-'SAS EMB - Bilan'!E40</f>
        <v>0</v>
      </c>
      <c r="G50" s="133"/>
      <c r="H50" s="133"/>
      <c r="I50" s="133"/>
      <c r="J50" s="133"/>
      <c r="K50" s="133"/>
      <c r="L50" s="133"/>
      <c r="M50" s="138"/>
      <c r="N50" s="138"/>
      <c r="O50" s="138"/>
      <c r="P50" s="138"/>
    </row>
    <row r="51" spans="2:16" s="137" customFormat="1" ht="12.75" outlineLevel="1">
      <c r="B51" s="164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8"/>
      <c r="N51" s="138"/>
      <c r="O51" s="138"/>
      <c r="P51" s="138"/>
    </row>
    <row r="52" spans="2:16">
      <c r="B52" s="161" t="s">
        <v>214</v>
      </c>
      <c r="C52" s="152"/>
      <c r="D52" s="152">
        <f>D53</f>
        <v>-30205</v>
      </c>
      <c r="E52" s="152">
        <f t="shared" ref="E52:K52" si="18">E53</f>
        <v>-40389</v>
      </c>
      <c r="F52" s="152">
        <f t="shared" si="18"/>
        <v>0</v>
      </c>
      <c r="G52" s="152"/>
      <c r="H52" s="152">
        <v>0</v>
      </c>
      <c r="I52" s="152">
        <f t="shared" si="18"/>
        <v>0</v>
      </c>
      <c r="J52" s="152">
        <f t="shared" si="18"/>
        <v>0</v>
      </c>
      <c r="K52" s="152">
        <f t="shared" si="18"/>
        <v>0</v>
      </c>
      <c r="L52" s="134"/>
      <c r="M52" s="134"/>
      <c r="N52" s="134"/>
      <c r="O52" s="134"/>
      <c r="P52" s="134"/>
    </row>
    <row r="53" spans="2:16" s="137" customFormat="1" ht="12.75" outlineLevel="1">
      <c r="B53" s="164" t="str">
        <f>'SAS EMB - Bilan'!B43</f>
        <v>C/C SC SEBALI</v>
      </c>
      <c r="C53" s="133"/>
      <c r="D53" s="133">
        <f>'SAS EMB - Bilan'!D43-'SAS EMB - Bilan'!C43</f>
        <v>-30205</v>
      </c>
      <c r="E53" s="133">
        <f>'SAS EMB - Bilan'!E43-'SAS EMB - Bilan'!D43</f>
        <v>-40389</v>
      </c>
      <c r="F53" s="133">
        <f>'SAS EMB - Bilan'!F43-'SAS EMB - Bilan'!E43</f>
        <v>0</v>
      </c>
      <c r="G53" s="133"/>
      <c r="H53" s="133"/>
      <c r="I53" s="133"/>
      <c r="J53" s="133"/>
      <c r="K53" s="133"/>
      <c r="L53" s="133"/>
      <c r="M53" s="138"/>
      <c r="N53" s="138"/>
      <c r="O53" s="138"/>
      <c r="P53" s="138"/>
    </row>
    <row r="54" spans="2:16" s="137" customFormat="1" ht="12.75" outlineLevel="1">
      <c r="B54" s="165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</row>
    <row r="55" spans="2:16">
      <c r="B55" s="161" t="s">
        <v>162</v>
      </c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</row>
    <row r="56" spans="2:16" s="137" customFormat="1" ht="12.75" outlineLevel="1">
      <c r="B56" s="162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</row>
    <row r="57" spans="2:16" s="137" customFormat="1">
      <c r="B57" s="161" t="s">
        <v>263</v>
      </c>
      <c r="C57" s="134"/>
      <c r="D57" s="134">
        <f>-('SAS EMB - Bilan'!C28+'SAS EMB - Bilan'!C29-'SAS EMB - Bilan'!D28)</f>
        <v>0</v>
      </c>
      <c r="E57" s="134">
        <f>-('SAS EMB - Bilan'!D28+'SAS EMB - Bilan'!D29-'SAS EMB - Bilan'!E28)</f>
        <v>-120000</v>
      </c>
      <c r="F57" s="134">
        <f>-('SAS EMB - Bilan'!E28+'SAS EMB - Bilan'!E29-'SAS EMB - Bilan'!F28)</f>
        <v>0</v>
      </c>
      <c r="G57" s="134"/>
      <c r="H57" s="134">
        <v>-50000</v>
      </c>
      <c r="I57" s="134">
        <f>-('SAS EMB - Bilan'!H28+'SAS EMB - Bilan'!H29-'SAS EMB - Bilan'!I28)</f>
        <v>-50000</v>
      </c>
      <c r="J57" s="134">
        <f>-('SAS EMB - Bilan'!I28+'SAS EMB - Bilan'!I29-'SAS EMB - Bilan'!J28)</f>
        <v>-50000</v>
      </c>
      <c r="K57" s="134">
        <f>-('SAS EMB - Bilan'!J28+'SAS EMB - Bilan'!J29-'SAS EMB - Bilan'!K28)</f>
        <v>-50000</v>
      </c>
      <c r="L57" s="138"/>
      <c r="M57" s="138"/>
      <c r="N57" s="138"/>
      <c r="O57" s="138"/>
      <c r="P57" s="138"/>
    </row>
    <row r="58" spans="2:16" s="137" customFormat="1" ht="12.75" outlineLevel="1">
      <c r="B58" s="162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</row>
    <row r="59" spans="2:16">
      <c r="B59" s="161" t="s">
        <v>252</v>
      </c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</row>
    <row r="60" spans="2:16" s="137" customFormat="1" ht="12.75" outlineLevel="1">
      <c r="B60" s="166" t="s">
        <v>101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</row>
    <row r="61" spans="2:16" s="137" customFormat="1" ht="12.75" outlineLevel="1">
      <c r="B61" s="166" t="s">
        <v>253</v>
      </c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</row>
    <row r="62" spans="2:16" s="137" customFormat="1" ht="12.75">
      <c r="B62" s="162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</row>
    <row r="63" spans="2:16">
      <c r="B63" s="159" t="s">
        <v>246</v>
      </c>
      <c r="C63" s="221"/>
      <c r="D63" s="221">
        <f t="shared" ref="D63:K63" si="19">D38+D43+D48+D52+D55+D57+D59</f>
        <v>-41035</v>
      </c>
      <c r="E63" s="221">
        <f t="shared" si="19"/>
        <v>-161546</v>
      </c>
      <c r="F63" s="221">
        <f t="shared" ref="F63" si="20">F38+F43+F48+F52+F55+F57+F59</f>
        <v>11566</v>
      </c>
      <c r="G63" s="221"/>
      <c r="H63" s="221">
        <v>-43000</v>
      </c>
      <c r="I63" s="221">
        <f t="shared" si="19"/>
        <v>-43000</v>
      </c>
      <c r="J63" s="221">
        <f t="shared" si="19"/>
        <v>-43000</v>
      </c>
      <c r="K63" s="221">
        <f t="shared" si="19"/>
        <v>-43000</v>
      </c>
      <c r="L63" s="221"/>
    </row>
    <row r="64" spans="2:16">
      <c r="B64" s="163"/>
      <c r="C64" s="163"/>
      <c r="D64" s="163"/>
      <c r="E64" s="163"/>
      <c r="F64" s="163"/>
      <c r="G64" s="151"/>
      <c r="H64" s="163"/>
      <c r="I64" s="163"/>
      <c r="J64" s="163"/>
      <c r="K64" s="163"/>
      <c r="L64" s="151"/>
    </row>
    <row r="65" spans="2:12">
      <c r="B65" s="162" t="s">
        <v>247</v>
      </c>
      <c r="C65" s="138"/>
      <c r="D65" s="138">
        <v>1</v>
      </c>
      <c r="E65" s="138">
        <v>-2</v>
      </c>
      <c r="F65" s="138">
        <v>11</v>
      </c>
      <c r="G65" s="138"/>
      <c r="H65" s="138"/>
      <c r="I65" s="138"/>
      <c r="J65" s="138"/>
      <c r="K65" s="138"/>
      <c r="L65" s="138"/>
    </row>
    <row r="66" spans="2:12">
      <c r="B66" s="159" t="s">
        <v>248</v>
      </c>
      <c r="C66" s="160"/>
      <c r="D66" s="160">
        <f t="shared" ref="D66:K66" si="21">D63+D65+D35+D28</f>
        <v>-70735</v>
      </c>
      <c r="E66" s="160">
        <f t="shared" si="21"/>
        <v>139259</v>
      </c>
      <c r="F66" s="160">
        <f t="shared" ref="F66" si="22">F63+F65+F35+F28</f>
        <v>-81294</v>
      </c>
      <c r="G66" s="160"/>
      <c r="H66" s="160">
        <v>75483</v>
      </c>
      <c r="I66" s="160">
        <f t="shared" si="21"/>
        <v>94545</v>
      </c>
      <c r="J66" s="160">
        <f t="shared" si="21"/>
        <v>94673</v>
      </c>
      <c r="K66" s="160">
        <f t="shared" si="21"/>
        <v>110234</v>
      </c>
      <c r="L66" s="160"/>
    </row>
    <row r="67" spans="2:12"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</row>
    <row r="68" spans="2:12">
      <c r="B68" s="151" t="s">
        <v>249</v>
      </c>
      <c r="C68" s="152"/>
      <c r="D68" s="152">
        <f>C69</f>
        <v>125296</v>
      </c>
      <c r="E68" s="152">
        <f>D69</f>
        <v>54561</v>
      </c>
      <c r="F68" s="152">
        <f>E69</f>
        <v>193820</v>
      </c>
      <c r="G68" s="152"/>
      <c r="H68" s="152">
        <v>172665</v>
      </c>
      <c r="I68" s="152">
        <f t="shared" ref="I68:K68" si="23">H69</f>
        <v>248148</v>
      </c>
      <c r="J68" s="152">
        <f t="shared" si="23"/>
        <v>342693</v>
      </c>
      <c r="K68" s="152">
        <f t="shared" si="23"/>
        <v>437366</v>
      </c>
      <c r="L68" s="152"/>
    </row>
    <row r="69" spans="2:12">
      <c r="B69" s="159" t="s">
        <v>250</v>
      </c>
      <c r="C69" s="160">
        <f>'SAS EMB - Bilan'!C18</f>
        <v>125296</v>
      </c>
      <c r="D69" s="160">
        <f t="shared" ref="D69:E69" si="24">D66+D68</f>
        <v>54561</v>
      </c>
      <c r="E69" s="160">
        <f t="shared" si="24"/>
        <v>193820</v>
      </c>
      <c r="F69" s="160">
        <f t="shared" ref="F69" si="25">F66+F68</f>
        <v>112526</v>
      </c>
      <c r="G69" s="160"/>
      <c r="H69" s="160">
        <v>248148</v>
      </c>
      <c r="I69" s="160">
        <f t="shared" ref="I69:K69" si="26">I66+I68</f>
        <v>342693</v>
      </c>
      <c r="J69" s="160">
        <f t="shared" si="26"/>
        <v>437366</v>
      </c>
      <c r="K69" s="160">
        <f t="shared" si="26"/>
        <v>547600</v>
      </c>
      <c r="L69" s="160"/>
    </row>
    <row r="70" spans="2:12">
      <c r="B70" s="159"/>
      <c r="C70" s="134"/>
      <c r="D70" s="134"/>
      <c r="E70" s="134"/>
      <c r="F70" s="134"/>
      <c r="G70" s="134"/>
      <c r="H70" s="134"/>
      <c r="I70" s="134"/>
      <c r="J70" s="134"/>
      <c r="K70" s="134"/>
      <c r="L70" s="134"/>
    </row>
    <row r="71" spans="2:12">
      <c r="B71" s="168" t="s">
        <v>221</v>
      </c>
      <c r="C71" s="167"/>
      <c r="D71" s="167" t="str">
        <f>IF(ABS(D69-'SAS EMB - Bilan'!D18)&lt;0.1,"Validé","Erreur")</f>
        <v>Validé</v>
      </c>
      <c r="E71" s="167" t="str">
        <f>IF(ABS(E69-'SAS EMB - Bilan'!E18)&lt;0.1,"Validé","Erreur")</f>
        <v>Validé</v>
      </c>
      <c r="F71" s="167" t="str">
        <f>IF(ABS(F69-'SAS EMB - Bilan'!F18)&lt;0.1,"Validé","Erreur")</f>
        <v>Validé</v>
      </c>
      <c r="G71" s="167"/>
      <c r="H71" s="167" t="s">
        <v>874</v>
      </c>
      <c r="I71" s="167" t="str">
        <f>IF(ABS(I69-'SAS EMB - Bilan'!I18)&lt;0.1,"Validé","Erreur")</f>
        <v>Validé</v>
      </c>
      <c r="J71" s="167" t="str">
        <f>IF(ABS(J69-'SAS EMB - Bilan'!J18)&lt;0.1,"Validé","Erreur")</f>
        <v>Validé</v>
      </c>
      <c r="K71" s="167" t="str">
        <f>IF(ABS(K69-'SAS EMB - Bilan'!K18)&lt;0.1,"Validé","Erreur")</f>
        <v>Validé</v>
      </c>
      <c r="L71" s="136"/>
    </row>
    <row r="72" spans="2:12">
      <c r="C72" s="151"/>
      <c r="D72" s="151"/>
      <c r="E72" s="151"/>
      <c r="F72" s="151"/>
      <c r="G72" s="151"/>
    </row>
    <row r="73" spans="2:12">
      <c r="C73" s="134"/>
      <c r="D73" s="134"/>
      <c r="E73" s="134"/>
      <c r="F73" s="134"/>
      <c r="G73" s="134"/>
      <c r="H73" s="134"/>
      <c r="I73" s="134"/>
      <c r="J73" s="134"/>
      <c r="K73" s="134"/>
    </row>
    <row r="74" spans="2:12">
      <c r="C74" s="136"/>
      <c r="D74" s="136"/>
      <c r="E74" s="136"/>
      <c r="F74" s="136"/>
      <c r="G74" s="136"/>
    </row>
    <row r="75" spans="2:12">
      <c r="C75" s="134"/>
      <c r="D75" s="134"/>
      <c r="E75" s="134"/>
      <c r="F75" s="134"/>
      <c r="G75" s="134"/>
      <c r="H75" s="134"/>
      <c r="I75" s="134"/>
      <c r="J75" s="134"/>
      <c r="K75" s="134"/>
    </row>
  </sheetData>
  <mergeCells count="1">
    <mergeCell ref="B2:B4"/>
  </mergeCells>
  <conditionalFormatting sqref="C71:K71">
    <cfRule type="containsText" dxfId="153" priority="1" operator="containsText" text="Validé">
      <formula>NOT(ISERROR(SEARCH("Validé",C71)))</formula>
    </cfRule>
    <cfRule type="containsText" dxfId="152" priority="2" operator="containsText" text="Erreur">
      <formula>NOT(ISERROR(SEARCH("Erreur",C71)))</formula>
    </cfRule>
  </conditionalFormatting>
  <conditionalFormatting sqref="C68:L68">
    <cfRule type="containsText" dxfId="151" priority="89" operator="containsText" text="Equilibré">
      <formula>NOT(ISERROR(SEARCH("Equilibré",C68)))</formula>
    </cfRule>
    <cfRule type="containsText" dxfId="150" priority="90" operator="containsText" text="Erreur">
      <formula>NOT(ISERROR(SEARCH("Erreur",C68)))</formula>
    </cfRule>
    <cfRule type="containsText" dxfId="149" priority="91" operator="containsText" text="Validé">
      <formula>NOT(ISERROR(SEARCH("Validé",C68)))</formula>
    </cfRule>
    <cfRule type="containsText" dxfId="148" priority="92" operator="containsText" text="Erreur">
      <formula>NOT(ISERROR(SEARCH("Erreur",C68)))</formula>
    </cfRule>
    <cfRule type="colorScale" priority="93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AFE7-7F5D-4323-9D92-86187EFE67EE}">
  <sheetPr codeName="Feuil13">
    <tabColor theme="9" tint="0.79998168889431442"/>
  </sheetPr>
  <dimension ref="A2:XFC69"/>
  <sheetViews>
    <sheetView zoomScale="85" zoomScaleNormal="85" workbookViewId="0">
      <pane xSplit="2" ySplit="4" topLeftCell="C26" activePane="bottomRight" state="frozen"/>
      <selection pane="topRight" activeCell="C1" sqref="C1"/>
      <selection pane="bottomLeft" activeCell="A5" sqref="A5"/>
      <selection pane="bottomRight" activeCell="D73" sqref="D73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1" width="15.7109375" style="145" customWidth="1"/>
    <col min="12" max="12" width="13.140625" style="122" bestFit="1" customWidth="1"/>
    <col min="13" max="13" width="13.42578125" style="122" bestFit="1" customWidth="1"/>
    <col min="14" max="16384" width="10.7109375" style="122"/>
  </cols>
  <sheetData>
    <row r="2" spans="2:13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</row>
    <row r="3" spans="2:13" s="214" customFormat="1" ht="42" customHeight="1">
      <c r="B3" s="344"/>
      <c r="C3" s="248">
        <v>44286</v>
      </c>
      <c r="D3" s="248">
        <v>44804</v>
      </c>
      <c r="E3" s="248">
        <v>45169</v>
      </c>
      <c r="F3" s="248">
        <v>45535</v>
      </c>
      <c r="G3" s="248"/>
      <c r="H3" s="248">
        <v>45900</v>
      </c>
      <c r="I3" s="248">
        <v>46265</v>
      </c>
      <c r="J3" s="248">
        <v>46630</v>
      </c>
      <c r="K3" s="248">
        <v>46996</v>
      </c>
    </row>
    <row r="4" spans="2:13" ht="15" customHeight="1">
      <c r="B4" s="344"/>
      <c r="C4" s="124" t="s">
        <v>3</v>
      </c>
      <c r="D4" s="124" t="s">
        <v>663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</row>
    <row r="5" spans="2:13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</row>
    <row r="6" spans="2:13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</row>
    <row r="7" spans="2:13">
      <c r="B7" s="127"/>
      <c r="C7" s="129"/>
      <c r="D7" s="129"/>
      <c r="E7" s="129"/>
      <c r="F7" s="129"/>
      <c r="G7" s="129"/>
      <c r="H7" s="129"/>
      <c r="I7" s="129"/>
      <c r="J7" s="129"/>
      <c r="K7" s="129"/>
    </row>
    <row r="8" spans="2:13">
      <c r="B8" s="130" t="s">
        <v>194</v>
      </c>
      <c r="C8" s="128">
        <f t="shared" ref="C8:D8" si="0">SUM(C9:C11)</f>
        <v>123835</v>
      </c>
      <c r="D8" s="128">
        <f t="shared" si="0"/>
        <v>106490</v>
      </c>
      <c r="E8" s="128">
        <f>SUM(E9:E11)</f>
        <v>115861</v>
      </c>
      <c r="F8" s="128">
        <f>SUM(F9:F11)</f>
        <v>115347</v>
      </c>
      <c r="G8" s="128"/>
      <c r="H8" s="128">
        <v>99586</v>
      </c>
      <c r="I8" s="128">
        <v>85586</v>
      </c>
      <c r="J8" s="128">
        <v>72298</v>
      </c>
      <c r="K8" s="128">
        <v>62175</v>
      </c>
    </row>
    <row r="9" spans="2:13">
      <c r="B9" s="131" t="s">
        <v>195</v>
      </c>
      <c r="C9" s="132">
        <f>45735+5313</f>
        <v>51048</v>
      </c>
      <c r="D9" s="132">
        <f>45735+2395</f>
        <v>48130</v>
      </c>
      <c r="E9" s="132">
        <f>45735+483</f>
        <v>46218</v>
      </c>
      <c r="F9" s="132">
        <v>45735</v>
      </c>
      <c r="G9" s="132"/>
      <c r="H9" s="132"/>
      <c r="I9" s="132"/>
      <c r="J9" s="132"/>
      <c r="K9" s="132"/>
      <c r="L9" s="211"/>
    </row>
    <row r="10" spans="2:13">
      <c r="B10" s="131" t="s">
        <v>196</v>
      </c>
      <c r="C10" s="132">
        <f>27912+31130</f>
        <v>59042</v>
      </c>
      <c r="D10" s="132">
        <f>15786+28829</f>
        <v>44615</v>
      </c>
      <c r="E10" s="132">
        <f>13156+43363</f>
        <v>56519</v>
      </c>
      <c r="F10" s="132">
        <f>9680+46808</f>
        <v>56488</v>
      </c>
      <c r="G10" s="132"/>
      <c r="H10" s="132"/>
      <c r="I10" s="132"/>
      <c r="J10" s="132"/>
      <c r="K10" s="132"/>
      <c r="L10" s="188"/>
      <c r="M10" s="188"/>
    </row>
    <row r="11" spans="2:13">
      <c r="B11" s="131" t="s">
        <v>197</v>
      </c>
      <c r="C11" s="132">
        <f>10708+3037</f>
        <v>13745</v>
      </c>
      <c r="D11" s="132">
        <f>10708+3037</f>
        <v>13745</v>
      </c>
      <c r="E11" s="132">
        <f>10964+2160</f>
        <v>13124</v>
      </c>
      <c r="F11" s="132">
        <f>10964+2160</f>
        <v>13124</v>
      </c>
      <c r="G11" s="132"/>
      <c r="H11" s="132"/>
      <c r="I11" s="132"/>
      <c r="J11" s="132"/>
      <c r="K11" s="132"/>
      <c r="L11" s="134"/>
      <c r="M11" s="134"/>
    </row>
    <row r="12" spans="2:13">
      <c r="B12" s="127"/>
      <c r="C12" s="129"/>
      <c r="D12" s="129"/>
      <c r="E12" s="129"/>
      <c r="F12" s="129"/>
      <c r="G12" s="129"/>
      <c r="H12" s="129"/>
      <c r="I12" s="129"/>
      <c r="J12" s="129"/>
      <c r="K12" s="129"/>
    </row>
    <row r="13" spans="2:13">
      <c r="B13" s="130" t="s">
        <v>198</v>
      </c>
      <c r="C13" s="128">
        <f t="shared" ref="C13:D13" si="1">SUM(C14:C16,C17:C19)</f>
        <v>550116</v>
      </c>
      <c r="D13" s="128">
        <f t="shared" si="1"/>
        <v>664194</v>
      </c>
      <c r="E13" s="128">
        <f>SUM(E14:E16,E17:E19)</f>
        <v>627628</v>
      </c>
      <c r="F13" s="128">
        <f>SUM(F14:F16,F17:F19)</f>
        <v>738095</v>
      </c>
      <c r="G13" s="128"/>
      <c r="H13" s="128">
        <v>733902</v>
      </c>
      <c r="I13" s="128">
        <f>SUM(I14:I20)</f>
        <v>836854</v>
      </c>
      <c r="J13" s="128">
        <f>SUM(J14:J20)</f>
        <v>940110</v>
      </c>
      <c r="K13" s="128">
        <f>SUM(K14:K20)</f>
        <v>1059091</v>
      </c>
      <c r="L13" s="186"/>
      <c r="M13" s="186"/>
    </row>
    <row r="14" spans="2:13">
      <c r="B14" s="131" t="s">
        <v>199</v>
      </c>
      <c r="C14" s="132">
        <f>75473+17742</f>
        <v>93215</v>
      </c>
      <c r="D14" s="132">
        <f>109926+32273</f>
        <v>142199</v>
      </c>
      <c r="E14" s="132">
        <f>28884+6760</f>
        <v>35644</v>
      </c>
      <c r="F14" s="132">
        <f>66168+39852</f>
        <v>106020</v>
      </c>
      <c r="G14" s="132"/>
      <c r="H14" s="132">
        <v>79550</v>
      </c>
      <c r="I14" s="132">
        <v>81141</v>
      </c>
      <c r="J14" s="132">
        <v>82764</v>
      </c>
      <c r="K14" s="132">
        <v>84419</v>
      </c>
      <c r="L14" s="132"/>
      <c r="M14" s="136"/>
    </row>
    <row r="15" spans="2:13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6"/>
      <c r="M15" s="136"/>
    </row>
    <row r="16" spans="2:13">
      <c r="B16" s="131" t="s">
        <v>201</v>
      </c>
      <c r="C16" s="132">
        <f>305224+488</f>
        <v>305712</v>
      </c>
      <c r="D16" s="132">
        <f>330107+342</f>
        <v>330449</v>
      </c>
      <c r="E16" s="132">
        <v>332611</v>
      </c>
      <c r="F16" s="132">
        <v>280403</v>
      </c>
      <c r="G16" s="132"/>
      <c r="H16" s="132">
        <v>340929</v>
      </c>
      <c r="I16" s="132">
        <v>347745</v>
      </c>
      <c r="J16" s="132">
        <v>354705</v>
      </c>
      <c r="K16" s="132">
        <v>361797</v>
      </c>
      <c r="L16" s="136"/>
      <c r="M16" s="136"/>
    </row>
    <row r="17" spans="2:13 16383:16383">
      <c r="B17" s="131" t="s">
        <v>202</v>
      </c>
      <c r="C17" s="132">
        <f>2774+11952+1792</f>
        <v>16518</v>
      </c>
      <c r="D17" s="132">
        <f>150+2662+925+120039+1792</f>
        <v>125568</v>
      </c>
      <c r="E17" s="132">
        <f>1603+2389+51166</f>
        <v>55158</v>
      </c>
      <c r="F17" s="132">
        <f>8556+221619</f>
        <v>230175</v>
      </c>
      <c r="G17" s="132"/>
      <c r="H17" s="132">
        <v>54880</v>
      </c>
      <c r="I17" s="132">
        <v>54880</v>
      </c>
      <c r="J17" s="132">
        <v>54880</v>
      </c>
      <c r="K17" s="132">
        <v>54880</v>
      </c>
      <c r="L17" s="136"/>
      <c r="M17" s="136"/>
    </row>
    <row r="18" spans="2:13 16383:16383">
      <c r="B18" s="131" t="s">
        <v>203</v>
      </c>
      <c r="C18" s="132">
        <v>125296</v>
      </c>
      <c r="D18" s="132">
        <v>54561</v>
      </c>
      <c r="E18" s="132">
        <v>193820</v>
      </c>
      <c r="F18" s="132">
        <v>112526</v>
      </c>
      <c r="G18" s="132"/>
      <c r="H18" s="132">
        <v>248148</v>
      </c>
      <c r="I18" s="132">
        <v>342693</v>
      </c>
      <c r="J18" s="132">
        <v>437366</v>
      </c>
      <c r="K18" s="132">
        <v>547600</v>
      </c>
      <c r="L18" s="136"/>
      <c r="M18" s="136"/>
    </row>
    <row r="19" spans="2:13 16383:16383">
      <c r="B19" s="131" t="s">
        <v>204</v>
      </c>
      <c r="C19" s="132">
        <v>9375</v>
      </c>
      <c r="D19" s="132">
        <v>11417</v>
      </c>
      <c r="E19" s="132">
        <v>10395</v>
      </c>
      <c r="F19" s="132">
        <v>8971</v>
      </c>
      <c r="G19" s="132"/>
      <c r="H19" s="132">
        <v>10395</v>
      </c>
      <c r="I19" s="132">
        <v>10395</v>
      </c>
      <c r="J19" s="132">
        <v>10395</v>
      </c>
      <c r="K19" s="132">
        <v>10395</v>
      </c>
      <c r="L19" s="136"/>
      <c r="M19" s="136"/>
      <c r="XFC19" s="132"/>
    </row>
    <row r="20" spans="2:13 16383:16383">
      <c r="B20" s="131"/>
      <c r="C20" s="132"/>
      <c r="D20" s="132"/>
      <c r="E20" s="132"/>
      <c r="F20" s="132"/>
      <c r="G20" s="132"/>
      <c r="H20" s="132"/>
      <c r="I20" s="132"/>
      <c r="J20" s="132"/>
      <c r="K20" s="132"/>
    </row>
    <row r="21" spans="2:13 16383:16383">
      <c r="B21" s="130" t="s">
        <v>188</v>
      </c>
      <c r="C21" s="132"/>
      <c r="D21" s="132">
        <v>-1</v>
      </c>
      <c r="E21" s="132">
        <v>-1</v>
      </c>
      <c r="F21" s="132">
        <v>-1</v>
      </c>
      <c r="G21" s="132"/>
      <c r="H21" s="132"/>
      <c r="I21" s="132"/>
      <c r="J21" s="132"/>
      <c r="K21" s="132"/>
    </row>
    <row r="22" spans="2:13 16383:16383">
      <c r="B22" s="131"/>
      <c r="C22" s="135"/>
      <c r="D22" s="135"/>
      <c r="E22" s="135"/>
      <c r="F22" s="135"/>
      <c r="G22" s="135"/>
      <c r="H22" s="135"/>
      <c r="I22" s="135"/>
      <c r="J22" s="135"/>
      <c r="K22" s="135"/>
    </row>
    <row r="23" spans="2:13 16383:16383">
      <c r="B23" s="139" t="s">
        <v>205</v>
      </c>
      <c r="C23" s="140">
        <f>+C6+C8+C13+C21</f>
        <v>673951</v>
      </c>
      <c r="D23" s="140">
        <f t="shared" ref="D23:K23" si="2">+D6+D8+D13+D21</f>
        <v>770683</v>
      </c>
      <c r="E23" s="140">
        <f t="shared" si="2"/>
        <v>743488</v>
      </c>
      <c r="F23" s="140">
        <f t="shared" ref="F23" si="3">+F6+F8+F13+F21</f>
        <v>853441</v>
      </c>
      <c r="G23" s="271"/>
      <c r="H23" s="140">
        <v>833488</v>
      </c>
      <c r="I23" s="140">
        <f t="shared" si="2"/>
        <v>922440</v>
      </c>
      <c r="J23" s="140">
        <f t="shared" si="2"/>
        <v>1012408</v>
      </c>
      <c r="K23" s="140">
        <f t="shared" si="2"/>
        <v>1121266</v>
      </c>
    </row>
    <row r="24" spans="2:13 16383:16383">
      <c r="B24" s="141"/>
      <c r="C24" s="135"/>
      <c r="D24" s="135"/>
      <c r="E24" s="135"/>
      <c r="F24" s="135"/>
      <c r="G24" s="135"/>
      <c r="H24" s="135"/>
      <c r="I24" s="135"/>
      <c r="J24" s="135"/>
      <c r="K24" s="135"/>
    </row>
    <row r="25" spans="2:13 16383:16383">
      <c r="B25" s="130" t="s">
        <v>111</v>
      </c>
      <c r="C25" s="128">
        <f t="shared" ref="C25:K25" si="4">SUM(C26:C31)</f>
        <v>385994</v>
      </c>
      <c r="D25" s="128">
        <f t="shared" si="4"/>
        <v>491267</v>
      </c>
      <c r="E25" s="128">
        <f t="shared" si="4"/>
        <v>502332</v>
      </c>
      <c r="F25" s="128">
        <f t="shared" ref="F25" si="5">SUM(F26:F31)</f>
        <v>593331</v>
      </c>
      <c r="G25" s="128"/>
      <c r="H25" s="128">
        <v>618810</v>
      </c>
      <c r="I25" s="128">
        <f t="shared" si="4"/>
        <v>710059</v>
      </c>
      <c r="J25" s="128">
        <f t="shared" si="4"/>
        <v>802233</v>
      </c>
      <c r="K25" s="128">
        <f t="shared" si="4"/>
        <v>905072</v>
      </c>
    </row>
    <row r="26" spans="2:13 16383:16383">
      <c r="B26" s="131" t="s">
        <v>206</v>
      </c>
      <c r="C26" s="132">
        <v>110000</v>
      </c>
      <c r="D26" s="132">
        <v>110000</v>
      </c>
      <c r="E26" s="132">
        <v>110000</v>
      </c>
      <c r="F26" s="132">
        <f>E26</f>
        <v>110000</v>
      </c>
      <c r="G26" s="132"/>
      <c r="H26" s="132">
        <v>110000</v>
      </c>
      <c r="I26" s="132">
        <v>110000</v>
      </c>
      <c r="J26" s="132">
        <v>110000</v>
      </c>
      <c r="K26" s="132">
        <v>110000</v>
      </c>
    </row>
    <row r="27" spans="2:13 16383:16383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</row>
    <row r="28" spans="2:13 16383:16383">
      <c r="B28" s="131" t="s">
        <v>65</v>
      </c>
      <c r="C28" s="132">
        <f>11000+266882</f>
        <v>277882</v>
      </c>
      <c r="D28" s="132">
        <f>C28+C29</f>
        <v>275994</v>
      </c>
      <c r="E28" s="132">
        <f>11000+250267</f>
        <v>261267</v>
      </c>
      <c r="F28" s="132">
        <f>E28+E29</f>
        <v>392332</v>
      </c>
      <c r="G28" s="132"/>
      <c r="H28" s="132">
        <v>385639</v>
      </c>
      <c r="I28" s="132">
        <v>458810</v>
      </c>
      <c r="J28" s="132">
        <v>550059</v>
      </c>
      <c r="K28" s="132">
        <v>642233</v>
      </c>
      <c r="M28" s="134"/>
    </row>
    <row r="29" spans="2:13 16383:16383">
      <c r="B29" s="131" t="s">
        <v>32</v>
      </c>
      <c r="C29" s="132">
        <f>'SAS EMB - P&amp;L'!C220</f>
        <v>-1888</v>
      </c>
      <c r="D29" s="132">
        <f>'SAS EMB - P&amp;L'!D220</f>
        <v>105273</v>
      </c>
      <c r="E29" s="132">
        <f>'SAS EMB - P&amp;L'!E220</f>
        <v>131065</v>
      </c>
      <c r="F29" s="132">
        <f>'SAS EMB - P&amp;L'!F220</f>
        <v>90999</v>
      </c>
      <c r="G29" s="132"/>
      <c r="H29" s="132">
        <v>123171</v>
      </c>
      <c r="I29" s="132">
        <f>'SAS EMB - P&amp;L'!I220</f>
        <v>141249</v>
      </c>
      <c r="J29" s="132">
        <f>'SAS EMB - P&amp;L'!J220</f>
        <v>142174</v>
      </c>
      <c r="K29" s="132">
        <f>'SAS EMB - P&amp;L'!K220</f>
        <v>152839</v>
      </c>
    </row>
    <row r="30" spans="2:13 16383:16383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</row>
    <row r="31" spans="2:13 16383:16383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</row>
    <row r="32" spans="2:13 16383:16383">
      <c r="B32" s="141"/>
      <c r="C32" s="132"/>
      <c r="D32" s="132"/>
      <c r="E32" s="132"/>
      <c r="F32" s="132"/>
      <c r="G32" s="132"/>
      <c r="H32" s="132"/>
      <c r="I32" s="132"/>
      <c r="J32" s="132"/>
      <c r="K32" s="132"/>
    </row>
    <row r="33" spans="2:16">
      <c r="B33" s="130" t="s">
        <v>51</v>
      </c>
      <c r="C33" s="128">
        <f t="shared" ref="C33:K33" si="6">SUM(C34:C36)</f>
        <v>0</v>
      </c>
      <c r="D33" s="128">
        <f t="shared" si="6"/>
        <v>0</v>
      </c>
      <c r="E33" s="128">
        <f t="shared" si="6"/>
        <v>0</v>
      </c>
      <c r="F33" s="128">
        <f t="shared" ref="F33" si="7">SUM(F34:F36)</f>
        <v>0</v>
      </c>
      <c r="G33" s="128"/>
      <c r="H33" s="128"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</row>
    <row r="34" spans="2:16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</row>
    <row r="35" spans="2:16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</row>
    <row r="36" spans="2:16">
      <c r="B36" s="141"/>
      <c r="C36" s="135"/>
      <c r="D36" s="135"/>
      <c r="E36" s="135"/>
      <c r="F36" s="135"/>
      <c r="G36" s="135"/>
      <c r="H36" s="135"/>
      <c r="I36" s="135"/>
      <c r="J36" s="135"/>
      <c r="K36" s="135"/>
    </row>
    <row r="37" spans="2:16">
      <c r="B37" s="130" t="s">
        <v>212</v>
      </c>
      <c r="C37" s="185">
        <f t="shared" ref="C37:K37" si="8">+C38+C42</f>
        <v>87021</v>
      </c>
      <c r="D37" s="185">
        <f t="shared" si="8"/>
        <v>45239</v>
      </c>
      <c r="E37" s="185">
        <f t="shared" si="8"/>
        <v>0</v>
      </c>
      <c r="F37" s="185">
        <f t="shared" ref="F37" si="9">+F38+F42</f>
        <v>0</v>
      </c>
      <c r="G37" s="185"/>
      <c r="H37" s="185">
        <v>0</v>
      </c>
      <c r="I37" s="185">
        <f t="shared" si="8"/>
        <v>0</v>
      </c>
      <c r="J37" s="185">
        <f t="shared" si="8"/>
        <v>0</v>
      </c>
      <c r="K37" s="185">
        <f t="shared" si="8"/>
        <v>0</v>
      </c>
      <c r="L37" s="190"/>
      <c r="M37" s="190"/>
    </row>
    <row r="38" spans="2:16">
      <c r="B38" s="131" t="s">
        <v>213</v>
      </c>
      <c r="C38" s="132">
        <f>SUM(C39:C41)</f>
        <v>16427</v>
      </c>
      <c r="D38" s="132">
        <f>SUM(D39:D41)</f>
        <v>4850</v>
      </c>
      <c r="E38" s="132">
        <f>SUM(E39:E41)</f>
        <v>0</v>
      </c>
      <c r="F38" s="132">
        <f>SUM(F39:F41)</f>
        <v>0</v>
      </c>
      <c r="G38" s="132"/>
      <c r="H38" s="132"/>
      <c r="I38" s="132"/>
      <c r="J38" s="132"/>
      <c r="K38" s="132"/>
      <c r="L38" s="189"/>
      <c r="M38" s="189"/>
      <c r="O38" s="134"/>
    </row>
    <row r="39" spans="2:16" s="192" customFormat="1" ht="12.75" outlineLevel="1">
      <c r="B39" s="147" t="s">
        <v>551</v>
      </c>
      <c r="C39" s="133">
        <v>16414</v>
      </c>
      <c r="D39" s="133">
        <v>4846</v>
      </c>
      <c r="E39" s="133"/>
      <c r="F39" s="133"/>
      <c r="G39" s="133"/>
      <c r="H39" s="133"/>
      <c r="I39" s="133"/>
      <c r="J39" s="133"/>
      <c r="K39" s="133"/>
      <c r="L39" s="133"/>
      <c r="M39" s="216"/>
      <c r="N39" s="216"/>
      <c r="P39" s="217"/>
    </row>
    <row r="40" spans="2:16" s="192" customFormat="1" ht="12.75" outlineLevel="1">
      <c r="B40" s="147" t="s">
        <v>552</v>
      </c>
      <c r="C40" s="133">
        <v>13</v>
      </c>
      <c r="D40" s="133">
        <v>4</v>
      </c>
      <c r="E40" s="133"/>
      <c r="F40" s="133"/>
      <c r="G40" s="133"/>
      <c r="H40" s="133"/>
      <c r="I40" s="133"/>
      <c r="J40" s="133"/>
      <c r="K40" s="133"/>
      <c r="L40" s="133"/>
      <c r="M40" s="216"/>
      <c r="N40" s="216"/>
      <c r="P40" s="217"/>
    </row>
    <row r="41" spans="2:16" s="192" customFormat="1" ht="12.75" outlineLevel="1">
      <c r="B41" s="147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P41" s="217"/>
    </row>
    <row r="42" spans="2:16">
      <c r="B42" s="131" t="s">
        <v>214</v>
      </c>
      <c r="C42" s="132">
        <f>C43</f>
        <v>70594</v>
      </c>
      <c r="D42" s="132">
        <f>D43</f>
        <v>40389</v>
      </c>
      <c r="E42" s="132">
        <f>E43</f>
        <v>0</v>
      </c>
      <c r="F42" s="132">
        <f>F43</f>
        <v>0</v>
      </c>
      <c r="G42" s="132"/>
      <c r="H42" s="132">
        <v>0</v>
      </c>
      <c r="I42" s="132">
        <v>0</v>
      </c>
      <c r="J42" s="132">
        <v>0</v>
      </c>
      <c r="K42" s="132">
        <v>0</v>
      </c>
      <c r="L42" s="189"/>
      <c r="M42" s="189"/>
    </row>
    <row r="43" spans="2:16" s="192" customFormat="1" ht="12.75" outlineLevel="1">
      <c r="B43" s="147" t="s">
        <v>553</v>
      </c>
      <c r="C43" s="133">
        <v>70594</v>
      </c>
      <c r="D43" s="133">
        <v>40389</v>
      </c>
      <c r="E43" s="133"/>
      <c r="F43" s="133"/>
      <c r="G43" s="133"/>
      <c r="H43" s="133"/>
      <c r="I43" s="133"/>
      <c r="J43" s="133"/>
      <c r="K43" s="133"/>
      <c r="L43" s="133"/>
      <c r="M43" s="216"/>
      <c r="N43" s="216"/>
      <c r="P43" s="217"/>
    </row>
    <row r="44" spans="2:16">
      <c r="B44" s="147"/>
      <c r="C44" s="133"/>
      <c r="D44" s="133"/>
      <c r="E44" s="133"/>
      <c r="F44" s="133"/>
      <c r="G44" s="133"/>
      <c r="H44" s="133"/>
      <c r="I44" s="133"/>
      <c r="J44" s="133"/>
      <c r="K44" s="133"/>
      <c r="L44" s="211"/>
    </row>
    <row r="45" spans="2:16">
      <c r="B45" s="130" t="s">
        <v>215</v>
      </c>
      <c r="C45" s="128">
        <f t="shared" ref="C45:K45" si="10">SUM(C46:C52)</f>
        <v>200937</v>
      </c>
      <c r="D45" s="128">
        <f t="shared" si="10"/>
        <v>234177</v>
      </c>
      <c r="E45" s="128">
        <f t="shared" si="10"/>
        <v>241155</v>
      </c>
      <c r="F45" s="128">
        <f t="shared" ref="F45" si="11">SUM(F46:F52)</f>
        <v>260110</v>
      </c>
      <c r="G45" s="128"/>
      <c r="H45" s="128">
        <v>214678</v>
      </c>
      <c r="I45" s="128">
        <f t="shared" si="10"/>
        <v>212381</v>
      </c>
      <c r="J45" s="128">
        <f t="shared" si="10"/>
        <v>210175</v>
      </c>
      <c r="K45" s="128">
        <f t="shared" si="10"/>
        <v>216194</v>
      </c>
      <c r="L45" s="187"/>
      <c r="M45" s="187"/>
    </row>
    <row r="46" spans="2:16">
      <c r="B46" s="131" t="s">
        <v>216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4"/>
      <c r="M46" s="134"/>
    </row>
    <row r="47" spans="2:16">
      <c r="B47" s="131" t="s">
        <v>44</v>
      </c>
      <c r="C47" s="132">
        <f>72695+1596</f>
        <v>74291</v>
      </c>
      <c r="D47" s="132">
        <f>113805+11052</f>
        <v>124857</v>
      </c>
      <c r="E47" s="132">
        <f>101588+9179</f>
        <v>110767</v>
      </c>
      <c r="F47" s="132">
        <f>177239+2452</f>
        <v>179691</v>
      </c>
      <c r="G47" s="132"/>
      <c r="H47" s="132">
        <v>121769</v>
      </c>
      <c r="I47" s="132">
        <v>124114</v>
      </c>
      <c r="J47" s="132">
        <v>126518</v>
      </c>
      <c r="K47" s="132">
        <v>128958</v>
      </c>
      <c r="L47" s="134"/>
      <c r="M47" s="134"/>
    </row>
    <row r="48" spans="2:16">
      <c r="B48" s="131" t="s">
        <v>217</v>
      </c>
      <c r="C48" s="132">
        <v>114219</v>
      </c>
      <c r="D48" s="132">
        <v>108468</v>
      </c>
      <c r="E48" s="132">
        <v>130388</v>
      </c>
      <c r="F48" s="132">
        <v>80419</v>
      </c>
      <c r="G48" s="132"/>
      <c r="H48" s="132">
        <v>92909</v>
      </c>
      <c r="I48" s="132">
        <v>88267</v>
      </c>
      <c r="J48" s="132">
        <v>83657</v>
      </c>
      <c r="K48" s="132">
        <v>87236</v>
      </c>
      <c r="L48" s="134"/>
      <c r="M48" s="134"/>
    </row>
    <row r="49" spans="1:40">
      <c r="B49" s="131" t="s">
        <v>222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4"/>
      <c r="M49" s="134"/>
    </row>
    <row r="50" spans="1:40">
      <c r="B50" s="131" t="s">
        <v>218</v>
      </c>
      <c r="C50" s="132">
        <v>5777</v>
      </c>
      <c r="D50" s="132">
        <v>852</v>
      </c>
      <c r="E50" s="132"/>
      <c r="F50" s="132"/>
      <c r="G50" s="132"/>
      <c r="H50" s="132"/>
      <c r="I50" s="132"/>
      <c r="J50" s="132"/>
      <c r="K50" s="132"/>
      <c r="L50" s="134"/>
      <c r="M50" s="134"/>
    </row>
    <row r="51" spans="1:40">
      <c r="B51" s="131" t="s">
        <v>219</v>
      </c>
      <c r="C51" s="132">
        <v>6650</v>
      </c>
      <c r="D51" s="132"/>
      <c r="E51" s="132"/>
      <c r="F51" s="132"/>
      <c r="G51" s="132"/>
      <c r="H51" s="132"/>
      <c r="I51" s="132"/>
      <c r="J51" s="132"/>
      <c r="K51" s="132"/>
      <c r="L51" s="134"/>
      <c r="M51" s="134"/>
    </row>
    <row r="52" spans="1:40">
      <c r="B52" s="131"/>
      <c r="C52" s="135"/>
      <c r="D52" s="135"/>
      <c r="E52" s="135"/>
      <c r="F52" s="135"/>
      <c r="G52" s="135"/>
      <c r="H52" s="135"/>
      <c r="I52" s="135"/>
      <c r="J52" s="135"/>
      <c r="K52" s="135"/>
    </row>
    <row r="53" spans="1:40">
      <c r="B53" s="130" t="s">
        <v>188</v>
      </c>
      <c r="C53" s="132">
        <v>-1</v>
      </c>
      <c r="D53" s="132"/>
      <c r="E53" s="132">
        <v>1</v>
      </c>
      <c r="F53" s="132"/>
      <c r="G53" s="132"/>
      <c r="H53" s="132"/>
      <c r="I53" s="132"/>
      <c r="J53" s="132"/>
      <c r="K53" s="132"/>
    </row>
    <row r="54" spans="1:40">
      <c r="B54" s="130"/>
      <c r="C54" s="135"/>
      <c r="D54" s="135"/>
      <c r="E54" s="135"/>
      <c r="F54" s="135"/>
      <c r="G54" s="135"/>
      <c r="H54" s="135"/>
      <c r="I54" s="135"/>
      <c r="J54" s="135"/>
      <c r="K54" s="135"/>
    </row>
    <row r="55" spans="1:40">
      <c r="B55" s="139" t="s">
        <v>220</v>
      </c>
      <c r="C55" s="140">
        <f t="shared" ref="C55:K55" si="12">+C25+C33+C37+C45+C53</f>
        <v>673951</v>
      </c>
      <c r="D55" s="140">
        <f t="shared" si="12"/>
        <v>770683</v>
      </c>
      <c r="E55" s="140">
        <f t="shared" si="12"/>
        <v>743488</v>
      </c>
      <c r="F55" s="140">
        <f t="shared" ref="F55" si="13">+F25+F33+F37+F45+F53</f>
        <v>853441</v>
      </c>
      <c r="G55" s="271"/>
      <c r="H55" s="140">
        <v>833488</v>
      </c>
      <c r="I55" s="140">
        <f t="shared" si="12"/>
        <v>922440</v>
      </c>
      <c r="J55" s="140">
        <f t="shared" si="12"/>
        <v>1012408</v>
      </c>
      <c r="K55" s="140">
        <f t="shared" si="12"/>
        <v>1121266</v>
      </c>
    </row>
    <row r="56" spans="1:40">
      <c r="B56" s="141"/>
      <c r="C56" s="135"/>
      <c r="D56" s="135"/>
      <c r="E56" s="135"/>
      <c r="F56" s="135"/>
      <c r="G56" s="135"/>
      <c r="H56" s="135"/>
      <c r="I56" s="135"/>
      <c r="J56" s="135"/>
      <c r="K56" s="135"/>
    </row>
    <row r="57" spans="1:40">
      <c r="B57" s="143" t="s">
        <v>221</v>
      </c>
      <c r="C57" s="144" t="str">
        <f t="shared" ref="C57:K57" si="14">IF(ABS(C55-C23)&lt;2,"Equilibré","Erreur")</f>
        <v>Equilibré</v>
      </c>
      <c r="D57" s="144" t="str">
        <f t="shared" si="14"/>
        <v>Equilibré</v>
      </c>
      <c r="E57" s="144" t="str">
        <f t="shared" si="14"/>
        <v>Equilibré</v>
      </c>
      <c r="F57" s="144" t="str">
        <f t="shared" ref="F57" si="15">IF(ABS(F55-F23)&lt;2,"Equilibré","Erreur")</f>
        <v>Equilibré</v>
      </c>
      <c r="G57" s="252"/>
      <c r="H57" s="144" t="s">
        <v>873</v>
      </c>
      <c r="I57" s="144" t="str">
        <f t="shared" si="14"/>
        <v>Equilibré</v>
      </c>
      <c r="J57" s="144" t="str">
        <f t="shared" si="14"/>
        <v>Equilibré</v>
      </c>
      <c r="K57" s="144" t="str">
        <f t="shared" si="14"/>
        <v>Equilibré</v>
      </c>
    </row>
    <row r="59" spans="1:40" s="32" customFormat="1">
      <c r="A59" s="83"/>
      <c r="B59" s="13" t="s">
        <v>68</v>
      </c>
      <c r="C59" s="14"/>
      <c r="D59" s="14"/>
      <c r="E59" s="14"/>
      <c r="F59" s="14"/>
      <c r="G59" s="52"/>
      <c r="H59" s="14"/>
      <c r="I59" s="14"/>
      <c r="J59" s="14"/>
      <c r="K59" s="14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</row>
    <row r="60" spans="1:40" s="32" customFormat="1">
      <c r="A60" s="83"/>
      <c r="B60" s="15" t="s">
        <v>42</v>
      </c>
      <c r="C60" s="23">
        <f>C14/('SAS EMB - P&amp;L'!C15/365)</f>
        <v>34.129344225788394</v>
      </c>
      <c r="D60" s="23">
        <f>D14/('SAS EMB - P&amp;L'!D15/365)</f>
        <v>30.321759460755761</v>
      </c>
      <c r="E60" s="23">
        <f>E14/('SAS EMB - P&amp;L'!E15/365)</f>
        <v>9.8396767821001898</v>
      </c>
      <c r="F60" s="23">
        <f>F14/('SAS EMB - P&amp;L'!F15/365)</f>
        <v>29.084386682480059</v>
      </c>
      <c r="G60" s="272"/>
      <c r="H60" s="23">
        <f>H14/('SAS EMB - P&amp;L'!H15/365)</f>
        <v>21.291655514531993</v>
      </c>
      <c r="I60" s="23">
        <f>I14/('SAS EMB - P&amp;L'!I15/365)</f>
        <v>21.291660106586033</v>
      </c>
      <c r="J60" s="23">
        <f>J14/('SAS EMB - P&amp;L'!J15/365)</f>
        <v>21.291703111553421</v>
      </c>
      <c r="K60" s="23">
        <f>K14/('SAS EMB - P&amp;L'!K15/365)</f>
        <v>21.291635139944098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</row>
    <row r="61" spans="1:40" s="32" customFormat="1">
      <c r="A61" s="83"/>
      <c r="B61" s="15" t="s">
        <v>69</v>
      </c>
      <c r="C61" s="23">
        <f>C16/('SAS EMB - P&amp;L'!C15/365)</f>
        <v>111.93209335358281</v>
      </c>
      <c r="D61" s="23">
        <f>D16/('SAS EMB - P&amp;L'!D15/365)</f>
        <v>70.463189558627562</v>
      </c>
      <c r="E61" s="23">
        <f>E16/('SAS EMB - P&amp;L'!E15/365)</f>
        <v>91.81867170270246</v>
      </c>
      <c r="F61" s="23">
        <f>F16/('SAS EMB - P&amp;L'!F15/365)</f>
        <v>76.922743623160301</v>
      </c>
      <c r="G61" s="272"/>
      <c r="H61" s="23">
        <f>H16/('SAS EMB - P&amp;L'!H15/365)</f>
        <v>91.250066912808023</v>
      </c>
      <c r="I61" s="23">
        <f>I16/('SAS EMB - P&amp;L'!I15/365)</f>
        <v>91.249409592743007</v>
      </c>
      <c r="J61" s="23">
        <f>J16/('SAS EMB - P&amp;L'!J15/365)</f>
        <v>91.250707459566442</v>
      </c>
      <c r="K61" s="23">
        <f>K16/('SAS EMB - P&amp;L'!K15/365)</f>
        <v>91.25018916033541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</row>
    <row r="62" spans="1:40" s="32" customFormat="1">
      <c r="A62" s="83"/>
      <c r="B62" s="15" t="s">
        <v>70</v>
      </c>
      <c r="C62" s="23">
        <f>C47/('SAS EMB - P&amp;L'!C15/365)</f>
        <v>27.200591234007895</v>
      </c>
      <c r="D62" s="23">
        <f>D47/('SAS EMB - P&amp;L'!D15/365)</f>
        <v>26.623843493917551</v>
      </c>
      <c r="E62" s="23">
        <f>E47/('SAS EMB - P&amp;L'!E15/365)</f>
        <v>30.577698297690826</v>
      </c>
      <c r="F62" s="23">
        <f>F47/('SAS EMB - P&amp;L'!F15/365)</f>
        <v>49.294496579527674</v>
      </c>
      <c r="G62" s="272"/>
      <c r="H62" s="23">
        <f>H47/('SAS EMB - P&amp;L'!H15/365)</f>
        <v>32.591622883080404</v>
      </c>
      <c r="I62" s="23">
        <f>I47/('SAS EMB - P&amp;L'!I15/365)</f>
        <v>32.567913908736877</v>
      </c>
      <c r="J62" s="23">
        <f>J47/('SAS EMB - P&amp;L'!J15/365)</f>
        <v>32.547770700636939</v>
      </c>
      <c r="K62" s="23">
        <f>K47/('SAS EMB - P&amp;L'!K15/365)</f>
        <v>32.52498471169892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</row>
    <row r="63" spans="1:40" s="168" customFormat="1">
      <c r="B63" s="24" t="s">
        <v>71</v>
      </c>
      <c r="C63" s="310">
        <f>(C14+C16-C47)/('SAS EMB - P&amp;L'!C15/365)</f>
        <v>118.86084634536333</v>
      </c>
      <c r="D63" s="310">
        <f>(D14+D16-D47)/('SAS EMB - P&amp;L'!D15/365)</f>
        <v>74.161105525465771</v>
      </c>
      <c r="E63" s="310">
        <f>(E14+E16-E47)/('SAS EMB - P&amp;L'!E15/365)</f>
        <v>71.080650187111829</v>
      </c>
      <c r="F63" s="310">
        <f>(F14+F16-F47)/('SAS EMB - P&amp;L'!F15/365)</f>
        <v>56.712633726112685</v>
      </c>
      <c r="G63" s="280"/>
      <c r="H63" s="310">
        <f>(H14+H16-H47)/('SAS EMB - P&amp;L'!H15/365)</f>
        <v>79.950099544259615</v>
      </c>
      <c r="I63" s="310">
        <f>(I14+I16-I47)/('SAS EMB - P&amp;L'!I15/365)</f>
        <v>79.973155790592159</v>
      </c>
      <c r="J63" s="310">
        <f>(J14+J16-J47)/('SAS EMB - P&amp;L'!J15/365)</f>
        <v>79.994639870482914</v>
      </c>
      <c r="K63" s="310">
        <f>(K14+K16-K47)/('SAS EMB - P&amp;L'!K15/365)</f>
        <v>80.016839588580595</v>
      </c>
    </row>
    <row r="64" spans="1:40">
      <c r="B64" s="25" t="s">
        <v>50</v>
      </c>
      <c r="C64" s="26">
        <f>(SUM(C14:C17,C19)-SUM(C46:C51))/('SAS EMB - P&amp;L'!C15/365)</f>
        <v>81.971570812660872</v>
      </c>
      <c r="D64" s="26">
        <f>(SUM(D14:D17,D19)-SUM(D46:D51))/('SAS EMB - P&amp;L'!D15/365)</f>
        <v>80.060243181017555</v>
      </c>
      <c r="E64" s="26">
        <f>(SUM(E14:E17,E19)-SUM(E46:E51))/('SAS EMB - P&amp;L'!E15/365)</f>
        <v>53.182674534338119</v>
      </c>
      <c r="F64" s="26">
        <f>(SUM(F14:F17,F19)-SUM(F46:F51))/('SAS EMB - P&amp;L'!F15/365)</f>
        <v>100.25609198823315</v>
      </c>
      <c r="G64" s="280"/>
      <c r="H64" s="26">
        <f>(SUM(H14:H17,H19)-SUM(H46:H51))/('SAS EMB - P&amp;L'!H15/365)</f>
        <v>72.553825396068817</v>
      </c>
      <c r="I64" s="26">
        <f>(SUM(I14:I17,I19)-SUM(I46:I51))/('SAS EMB - P&amp;L'!I15/365)</f>
        <v>73.939980833780851</v>
      </c>
      <c r="J64" s="26">
        <f>(SUM(J14:J17,J19)-SUM(J46:J51))/('SAS EMB - P&amp;L'!J15/365)</f>
        <v>75.265722870379307</v>
      </c>
      <c r="K64" s="26">
        <f>(SUM(K14:K17,K19)-SUM(K46:K51))/('SAS EMB - P&amp;L'!K15/365)</f>
        <v>74.47797275400174</v>
      </c>
    </row>
    <row r="65" spans="2:11">
      <c r="B65" s="25" t="s">
        <v>72</v>
      </c>
      <c r="C65" s="27">
        <f t="shared" ref="C65" si="16">C23</f>
        <v>673951</v>
      </c>
      <c r="D65" s="27">
        <f t="shared" ref="D65:F65" si="17">D23</f>
        <v>770683</v>
      </c>
      <c r="E65" s="27">
        <f t="shared" si="17"/>
        <v>743488</v>
      </c>
      <c r="F65" s="27">
        <f t="shared" si="17"/>
        <v>853441</v>
      </c>
      <c r="G65" s="281"/>
      <c r="H65" s="27">
        <f t="shared" ref="H65:K65" si="18">H23</f>
        <v>833488</v>
      </c>
      <c r="I65" s="27">
        <f t="shared" si="18"/>
        <v>922440</v>
      </c>
      <c r="J65" s="27">
        <f t="shared" si="18"/>
        <v>1012408</v>
      </c>
      <c r="K65" s="27">
        <f t="shared" si="18"/>
        <v>1121266</v>
      </c>
    </row>
    <row r="66" spans="2:11">
      <c r="B66" s="28" t="s">
        <v>73</v>
      </c>
      <c r="C66" s="29">
        <f t="shared" ref="C66" si="19">(C37-C18)/C25</f>
        <v>-9.9159572428586973E-2</v>
      </c>
      <c r="D66" s="29">
        <f t="shared" ref="D66:F66" si="20">(D37-D18)/D25</f>
        <v>-1.8975424769015627E-2</v>
      </c>
      <c r="E66" s="29">
        <f t="shared" si="20"/>
        <v>-0.385840440186968</v>
      </c>
      <c r="F66" s="29">
        <f t="shared" si="20"/>
        <v>-0.18965130761750187</v>
      </c>
      <c r="G66" s="282"/>
      <c r="H66" s="29">
        <f t="shared" ref="H66:K66" si="21">(H37-H18)/H25</f>
        <v>-0.40100838706549669</v>
      </c>
      <c r="I66" s="29">
        <f t="shared" si="21"/>
        <v>-0.48262609163463882</v>
      </c>
      <c r="J66" s="29">
        <f t="shared" si="21"/>
        <v>-0.54518575027454619</v>
      </c>
      <c r="K66" s="29">
        <f t="shared" si="21"/>
        <v>-0.60503473756783988</v>
      </c>
    </row>
    <row r="67" spans="2:11">
      <c r="B67" s="17" t="s">
        <v>74</v>
      </c>
      <c r="C67" s="30">
        <f>(C37-C18)/'SAS EMB - P&amp;L'!C170</f>
        <v>-22.227061556329851</v>
      </c>
      <c r="D67" s="30">
        <f>(D37-D18)/'SAS EMB - P&amp;L'!D170</f>
        <v>-6.3880817937613063E-2</v>
      </c>
      <c r="E67" s="30">
        <f>(E37-E18)/'SAS EMB - P&amp;L'!E170</f>
        <v>-1.1224424793110837</v>
      </c>
      <c r="F67" s="30">
        <f>(F37-F18)/'SAS EMB - P&amp;L'!F170</f>
        <v>-0.96809050630188842</v>
      </c>
      <c r="G67" s="282"/>
      <c r="H67" s="30">
        <f>(H37-H18)/'SAS EMB - P&amp;L'!H170</f>
        <v>-1.4888939555758223</v>
      </c>
      <c r="I67" s="30">
        <f>(I37-I18)/'SAS EMB - P&amp;L'!I170</f>
        <v>-1.8068331004666123</v>
      </c>
      <c r="J67" s="30">
        <f>(J37-J18)/'SAS EMB - P&amp;L'!J170</f>
        <v>-2.2996629632940211</v>
      </c>
      <c r="K67" s="30">
        <f>(K37-K18)/'SAS EMB - P&amp;L'!K170</f>
        <v>-2.7211154784561793</v>
      </c>
    </row>
    <row r="69" spans="2:11">
      <c r="H69" s="146"/>
    </row>
  </sheetData>
  <mergeCells count="1">
    <mergeCell ref="B2:B4"/>
  </mergeCells>
  <conditionalFormatting sqref="C57:K57">
    <cfRule type="containsText" dxfId="147" priority="44" operator="containsText" text="Equilibré">
      <formula>NOT(ISERROR(SEARCH("Equilibré",C57)))</formula>
    </cfRule>
    <cfRule type="containsText" dxfId="146" priority="45" operator="containsText" text="Erreur">
      <formula>NOT(ISERROR(SEARCH("Erreur",C57)))</formula>
    </cfRule>
    <cfRule type="containsText" dxfId="145" priority="46" operator="containsText" text="Validé">
      <formula>NOT(ISERROR(SEARCH("Validé",C57)))</formula>
    </cfRule>
    <cfRule type="containsText" dxfId="144" priority="47" operator="containsText" text="Erreur">
      <formula>NOT(ISERROR(SEARCH("Erreur",C57)))</formula>
    </cfRule>
    <cfRule type="colorScale" priority="48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9A83-7D37-5F44-814F-15FE8976A4F7}">
  <sheetPr codeName="Feuil21">
    <tabColor rgb="FF006C4C"/>
  </sheetPr>
  <dimension ref="A1:AQ298"/>
  <sheetViews>
    <sheetView showGridLines="0" zoomScale="85" zoomScaleNormal="85" workbookViewId="0">
      <pane xSplit="2" ySplit="5" topLeftCell="C210" activePane="bottomRight" state="frozen"/>
      <selection pane="topRight" activeCell="C1" sqref="C1"/>
      <selection pane="bottomLeft" activeCell="A5" sqref="A5"/>
      <selection pane="bottomRight" activeCell="G239" sqref="G239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84"/>
      <c r="H2" s="245"/>
      <c r="I2" s="84"/>
      <c r="J2" s="84"/>
      <c r="K2" s="84"/>
      <c r="L2" s="247" t="s">
        <v>759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181" t="s">
        <v>261</v>
      </c>
      <c r="H3" s="246"/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44074</v>
      </c>
      <c r="D4" s="54">
        <v>44439</v>
      </c>
      <c r="E4" s="54">
        <v>44804</v>
      </c>
      <c r="F4" s="54">
        <v>45169</v>
      </c>
      <c r="G4" s="54">
        <v>45535</v>
      </c>
      <c r="H4" s="54"/>
      <c r="I4" s="119" t="s">
        <v>755</v>
      </c>
      <c r="J4" s="119" t="s">
        <v>756</v>
      </c>
      <c r="K4" s="119" t="s">
        <v>757</v>
      </c>
      <c r="L4" s="119" t="s">
        <v>758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87" t="s">
        <v>3</v>
      </c>
      <c r="H5" s="274"/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>
        <f>SUM(C8:C50)</f>
        <v>816810</v>
      </c>
      <c r="D7" s="88">
        <f>SUM(D8:D50)</f>
        <v>846066</v>
      </c>
      <c r="E7" s="88">
        <f>SUM(E8:E50)</f>
        <v>1683182</v>
      </c>
      <c r="F7" s="88">
        <f>SUM(F8:F50)</f>
        <v>1886603</v>
      </c>
      <c r="G7" s="88">
        <f>SUM(G8:G50)</f>
        <v>2103918</v>
      </c>
      <c r="H7" s="88"/>
      <c r="I7" s="88">
        <v>2117163</v>
      </c>
      <c r="J7" s="88">
        <v>2328879</v>
      </c>
      <c r="K7" s="88">
        <v>2445323</v>
      </c>
      <c r="L7" s="88">
        <v>2567589</v>
      </c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 outlineLevel="1">
      <c r="A8" s="83"/>
      <c r="B8" s="106" t="s">
        <v>554</v>
      </c>
      <c r="C8" s="95">
        <v>28026</v>
      </c>
      <c r="D8" s="95"/>
      <c r="E8" s="95">
        <v>14748</v>
      </c>
      <c r="F8" s="95">
        <v>127524</v>
      </c>
      <c r="G8" s="95">
        <v>38435</v>
      </c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555</v>
      </c>
      <c r="C9" s="95">
        <v>32862</v>
      </c>
      <c r="D9" s="95">
        <v>2132</v>
      </c>
      <c r="E9" s="95">
        <v>24603</v>
      </c>
      <c r="F9" s="95">
        <v>60580</v>
      </c>
      <c r="G9" s="95">
        <v>96169</v>
      </c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656</v>
      </c>
      <c r="C10" s="95">
        <v>1463</v>
      </c>
      <c r="D10" s="95"/>
      <c r="E10" s="95"/>
      <c r="F10" s="95"/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851</v>
      </c>
      <c r="C11" s="95"/>
      <c r="D11" s="95"/>
      <c r="E11" s="95"/>
      <c r="F11" s="95"/>
      <c r="G11" s="95">
        <v>3099</v>
      </c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646</v>
      </c>
      <c r="C12" s="95">
        <v>71134</v>
      </c>
      <c r="D12" s="95">
        <v>833</v>
      </c>
      <c r="E12" s="95"/>
      <c r="F12" s="95"/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 t="s">
        <v>556</v>
      </c>
      <c r="C13" s="95"/>
      <c r="D13" s="95">
        <v>17487</v>
      </c>
      <c r="E13" s="95">
        <v>20202</v>
      </c>
      <c r="F13" s="95"/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1">
      <c r="A14" s="83"/>
      <c r="B14" s="106" t="s">
        <v>557</v>
      </c>
      <c r="C14" s="95">
        <v>45842</v>
      </c>
      <c r="D14" s="95">
        <v>54045</v>
      </c>
      <c r="E14" s="95">
        <v>131242</v>
      </c>
      <c r="F14" s="95">
        <v>239128</v>
      </c>
      <c r="G14" s="95">
        <f>177815+443</f>
        <v>178258</v>
      </c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 outlineLevel="1">
      <c r="A15" s="83"/>
      <c r="B15" s="106" t="s">
        <v>657</v>
      </c>
      <c r="C15" s="95">
        <v>2577</v>
      </c>
      <c r="D15" s="95"/>
      <c r="E15" s="95"/>
      <c r="F15" s="95"/>
      <c r="G15" s="95"/>
      <c r="H15" s="95"/>
      <c r="I15" s="95"/>
      <c r="J15" s="95"/>
      <c r="K15" s="95"/>
      <c r="L15" s="95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 outlineLevel="1">
      <c r="A16" s="83"/>
      <c r="B16" s="106" t="s">
        <v>647</v>
      </c>
      <c r="C16" s="95">
        <v>6728</v>
      </c>
      <c r="D16" s="95">
        <v>1223</v>
      </c>
      <c r="E16" s="95"/>
      <c r="F16" s="95"/>
      <c r="G16" s="95"/>
      <c r="H16" s="95"/>
      <c r="I16" s="95"/>
      <c r="J16" s="95"/>
      <c r="K16" s="95"/>
      <c r="L16" s="95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outlineLevel="1">
      <c r="A17" s="83"/>
      <c r="B17" s="106" t="s">
        <v>852</v>
      </c>
      <c r="C17" s="95">
        <v>6792</v>
      </c>
      <c r="D17" s="95">
        <v>10014</v>
      </c>
      <c r="E17" s="95">
        <v>41394</v>
      </c>
      <c r="F17" s="95">
        <v>28354</v>
      </c>
      <c r="G17" s="95">
        <v>27320</v>
      </c>
      <c r="H17" s="95"/>
      <c r="I17" s="95"/>
      <c r="J17" s="95"/>
      <c r="K17" s="95"/>
      <c r="L17" s="95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outlineLevel="1">
      <c r="A18" s="83"/>
      <c r="B18" s="106" t="s">
        <v>853</v>
      </c>
      <c r="C18" s="95"/>
      <c r="D18" s="95"/>
      <c r="E18" s="95">
        <v>49564</v>
      </c>
      <c r="F18" s="95">
        <v>19955</v>
      </c>
      <c r="G18" s="95">
        <v>35921</v>
      </c>
      <c r="H18" s="95"/>
      <c r="I18" s="95"/>
      <c r="J18" s="95"/>
      <c r="K18" s="95"/>
      <c r="L18" s="95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 outlineLevel="1">
      <c r="A19" s="83"/>
      <c r="B19" s="106" t="s">
        <v>558</v>
      </c>
      <c r="C19" s="95"/>
      <c r="D19" s="95"/>
      <c r="E19" s="95">
        <v>45376</v>
      </c>
      <c r="F19" s="95">
        <v>62550</v>
      </c>
      <c r="G19" s="95">
        <f>21759+26236</f>
        <v>47995</v>
      </c>
      <c r="H19" s="95"/>
      <c r="I19" s="95"/>
      <c r="J19" s="95"/>
      <c r="K19" s="95"/>
      <c r="L19" s="95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outlineLevel="1">
      <c r="A20" s="83"/>
      <c r="B20" s="243" t="s">
        <v>559</v>
      </c>
      <c r="C20" s="95"/>
      <c r="D20" s="95"/>
      <c r="E20" s="95"/>
      <c r="F20" s="95">
        <v>4869</v>
      </c>
      <c r="G20" s="95">
        <v>2674</v>
      </c>
      <c r="H20" s="95"/>
      <c r="I20" s="95"/>
      <c r="J20" s="95"/>
      <c r="K20" s="95"/>
      <c r="L20" s="95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 outlineLevel="1">
      <c r="A21" s="83"/>
      <c r="B21" s="243" t="s">
        <v>560</v>
      </c>
      <c r="C21" s="95"/>
      <c r="D21" s="95"/>
      <c r="E21" s="95"/>
      <c r="F21" s="95">
        <v>2008</v>
      </c>
      <c r="G21" s="95">
        <v>235</v>
      </c>
      <c r="H21" s="95"/>
      <c r="I21" s="95"/>
      <c r="J21" s="95"/>
      <c r="K21" s="95"/>
      <c r="L21" s="95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 outlineLevel="1">
      <c r="A22" s="83"/>
      <c r="B22" s="106" t="s">
        <v>561</v>
      </c>
      <c r="C22" s="95">
        <v>96691</v>
      </c>
      <c r="D22" s="95">
        <v>356045</v>
      </c>
      <c r="E22" s="95">
        <v>487066</v>
      </c>
      <c r="F22" s="95">
        <v>499937</v>
      </c>
      <c r="G22" s="95">
        <v>639416</v>
      </c>
      <c r="H22" s="95"/>
      <c r="I22" s="95"/>
      <c r="J22" s="95"/>
      <c r="K22" s="95"/>
      <c r="L22" s="95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 outlineLevel="1">
      <c r="A23" s="83"/>
      <c r="B23" s="106" t="s">
        <v>562</v>
      </c>
      <c r="C23" s="95">
        <v>14337</v>
      </c>
      <c r="D23" s="95">
        <v>35229</v>
      </c>
      <c r="E23" s="95">
        <v>39259</v>
      </c>
      <c r="F23" s="95">
        <v>20641</v>
      </c>
      <c r="G23" s="95">
        <v>245593</v>
      </c>
      <c r="H23" s="95"/>
      <c r="I23" s="95"/>
      <c r="J23" s="95"/>
      <c r="K23" s="95"/>
      <c r="L23" s="95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</row>
    <row r="24" spans="1:43" ht="15.75" outlineLevel="1">
      <c r="A24" s="83"/>
      <c r="B24" s="106" t="s">
        <v>562</v>
      </c>
      <c r="C24" s="95"/>
      <c r="D24" s="95"/>
      <c r="E24" s="95">
        <v>106648</v>
      </c>
      <c r="F24" s="95">
        <v>222941</v>
      </c>
      <c r="G24" s="95">
        <v>207060</v>
      </c>
      <c r="H24" s="95"/>
      <c r="I24" s="95"/>
      <c r="J24" s="95"/>
      <c r="K24" s="95"/>
      <c r="L24" s="95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5.75" outlineLevel="1">
      <c r="A25" s="83"/>
      <c r="B25" s="106" t="s">
        <v>563</v>
      </c>
      <c r="C25" s="95"/>
      <c r="D25" s="95"/>
      <c r="E25" s="95">
        <v>52291</v>
      </c>
      <c r="F25" s="95">
        <v>115940</v>
      </c>
      <c r="G25" s="95">
        <v>50800</v>
      </c>
      <c r="H25" s="95"/>
      <c r="I25" s="95"/>
      <c r="J25" s="95"/>
      <c r="K25" s="95"/>
      <c r="L25" s="95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</row>
    <row r="26" spans="1:43" ht="15.75" outlineLevel="1">
      <c r="A26" s="83"/>
      <c r="B26" s="243" t="s">
        <v>564</v>
      </c>
      <c r="C26" s="95"/>
      <c r="D26" s="95"/>
      <c r="E26" s="95">
        <v>7862</v>
      </c>
      <c r="F26" s="95">
        <v>2044</v>
      </c>
      <c r="G26" s="95"/>
      <c r="H26" s="95"/>
      <c r="I26" s="95"/>
      <c r="J26" s="95"/>
      <c r="K26" s="95"/>
      <c r="L26" s="95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</row>
    <row r="27" spans="1:43" ht="15.75" outlineLevel="1">
      <c r="A27" s="83"/>
      <c r="B27" s="243" t="s">
        <v>854</v>
      </c>
      <c r="C27" s="95"/>
      <c r="D27" s="95"/>
      <c r="E27" s="95"/>
      <c r="F27" s="95"/>
      <c r="G27" s="95">
        <v>4210</v>
      </c>
      <c r="H27" s="95"/>
      <c r="I27" s="95"/>
      <c r="J27" s="95"/>
      <c r="K27" s="95"/>
      <c r="L27" s="95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</row>
    <row r="28" spans="1:43" ht="15.75" outlineLevel="1">
      <c r="A28" s="83"/>
      <c r="B28" s="243" t="s">
        <v>855</v>
      </c>
      <c r="C28" s="95"/>
      <c r="D28" s="95"/>
      <c r="E28" s="95"/>
      <c r="F28" s="95"/>
      <c r="G28" s="95">
        <v>2855</v>
      </c>
      <c r="H28" s="95"/>
      <c r="I28" s="95"/>
      <c r="J28" s="95"/>
      <c r="K28" s="95"/>
      <c r="L28" s="95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</row>
    <row r="29" spans="1:43" ht="15.75" outlineLevel="1">
      <c r="A29" s="83"/>
      <c r="B29" s="106" t="s">
        <v>565</v>
      </c>
      <c r="C29" s="95">
        <v>82023</v>
      </c>
      <c r="D29" s="95">
        <v>101184</v>
      </c>
      <c r="E29" s="95">
        <v>357026</v>
      </c>
      <c r="F29" s="95">
        <v>103082</v>
      </c>
      <c r="G29" s="95">
        <v>113745</v>
      </c>
      <c r="H29" s="95"/>
      <c r="I29" s="95"/>
      <c r="J29" s="95"/>
      <c r="K29" s="95"/>
      <c r="L29" s="95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</row>
    <row r="30" spans="1:43" ht="15.75" outlineLevel="1">
      <c r="A30" s="83"/>
      <c r="B30" s="106" t="s">
        <v>566</v>
      </c>
      <c r="C30" s="95">
        <v>179826</v>
      </c>
      <c r="D30" s="95">
        <v>125619</v>
      </c>
      <c r="E30" s="95">
        <v>152769</v>
      </c>
      <c r="F30" s="95">
        <v>51774</v>
      </c>
      <c r="G30" s="95">
        <v>54969</v>
      </c>
      <c r="H30" s="95"/>
      <c r="I30" s="95"/>
      <c r="J30" s="95"/>
      <c r="K30" s="95"/>
      <c r="L30" s="95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</row>
    <row r="31" spans="1:43" ht="15.75" outlineLevel="1">
      <c r="A31" s="83"/>
      <c r="B31" s="106" t="s">
        <v>567</v>
      </c>
      <c r="C31" s="95"/>
      <c r="D31" s="95"/>
      <c r="E31" s="95"/>
      <c r="F31" s="95">
        <v>8406</v>
      </c>
      <c r="G31" s="95">
        <v>57377</v>
      </c>
      <c r="H31" s="95"/>
      <c r="I31" s="95"/>
      <c r="J31" s="95"/>
      <c r="K31" s="95"/>
      <c r="L31" s="95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</row>
    <row r="32" spans="1:43" ht="15.75" outlineLevel="1">
      <c r="A32" s="83"/>
      <c r="B32" s="106" t="s">
        <v>857</v>
      </c>
      <c r="C32" s="95"/>
      <c r="D32" s="95"/>
      <c r="E32" s="95"/>
      <c r="F32" s="95"/>
      <c r="G32" s="95">
        <v>8289</v>
      </c>
      <c r="H32" s="95"/>
      <c r="I32" s="95"/>
      <c r="J32" s="95"/>
      <c r="K32" s="95"/>
      <c r="L32" s="95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</row>
    <row r="33" spans="1:43" ht="15.75" outlineLevel="1">
      <c r="A33" s="83"/>
      <c r="B33" s="106" t="s">
        <v>856</v>
      </c>
      <c r="C33" s="95"/>
      <c r="D33" s="95"/>
      <c r="E33" s="95"/>
      <c r="F33" s="95"/>
      <c r="G33" s="95">
        <v>12500</v>
      </c>
      <c r="H33" s="95"/>
      <c r="I33" s="95"/>
      <c r="J33" s="95"/>
      <c r="K33" s="95"/>
      <c r="L33" s="95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 outlineLevel="1">
      <c r="A34" s="83"/>
      <c r="B34" s="106" t="s">
        <v>568</v>
      </c>
      <c r="C34" s="95"/>
      <c r="D34" s="95">
        <v>11983</v>
      </c>
      <c r="E34" s="95">
        <v>19794</v>
      </c>
      <c r="F34" s="95">
        <v>56025</v>
      </c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1">
      <c r="A35" s="83"/>
      <c r="B35" s="106" t="s">
        <v>648</v>
      </c>
      <c r="C35" s="95">
        <v>72612</v>
      </c>
      <c r="D35" s="95">
        <v>18397</v>
      </c>
      <c r="E35" s="95"/>
      <c r="F35" s="95"/>
      <c r="G35" s="95"/>
      <c r="H35" s="95"/>
      <c r="I35" s="95"/>
      <c r="J35" s="95"/>
      <c r="K35" s="95"/>
      <c r="L35" s="95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1">
      <c r="A36" s="83"/>
      <c r="B36" s="106" t="s">
        <v>649</v>
      </c>
      <c r="C36" s="95"/>
      <c r="D36" s="95">
        <v>13728</v>
      </c>
      <c r="E36" s="95"/>
      <c r="F36" s="95"/>
      <c r="G36" s="95">
        <v>1900</v>
      </c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1">
      <c r="A37" s="83"/>
      <c r="B37" s="106" t="s">
        <v>569</v>
      </c>
      <c r="C37" s="95"/>
      <c r="D37" s="95"/>
      <c r="E37" s="95">
        <v>9955</v>
      </c>
      <c r="F37" s="95">
        <v>16258</v>
      </c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ht="15.75" outlineLevel="1">
      <c r="A38" s="83"/>
      <c r="B38" s="106" t="s">
        <v>650</v>
      </c>
      <c r="C38" s="95">
        <v>34401</v>
      </c>
      <c r="D38" s="95">
        <v>7558</v>
      </c>
      <c r="E38" s="95"/>
      <c r="F38" s="95"/>
      <c r="G38" s="95"/>
      <c r="H38" s="95"/>
      <c r="I38" s="95"/>
      <c r="J38" s="95"/>
      <c r="K38" s="95"/>
      <c r="L38" s="95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</row>
    <row r="39" spans="1:43" ht="15.75" outlineLevel="1">
      <c r="A39" s="83"/>
      <c r="B39" s="106" t="s">
        <v>570</v>
      </c>
      <c r="C39" s="95">
        <v>55441</v>
      </c>
      <c r="D39" s="95">
        <v>49333</v>
      </c>
      <c r="E39" s="95">
        <v>43526</v>
      </c>
      <c r="F39" s="95">
        <v>27261</v>
      </c>
      <c r="G39" s="95"/>
      <c r="H39" s="95"/>
      <c r="I39" s="95"/>
      <c r="J39" s="95"/>
      <c r="K39" s="95"/>
      <c r="L39" s="95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</row>
    <row r="40" spans="1:43" ht="15.75" outlineLevel="1">
      <c r="A40" s="83"/>
      <c r="B40" s="106" t="s">
        <v>571</v>
      </c>
      <c r="C40" s="95">
        <v>72543</v>
      </c>
      <c r="D40" s="95">
        <v>21724</v>
      </c>
      <c r="E40" s="95">
        <v>33064</v>
      </c>
      <c r="F40" s="95">
        <v>115434</v>
      </c>
      <c r="G40" s="95">
        <v>121858</v>
      </c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1">
      <c r="A41" s="83"/>
      <c r="B41" s="106" t="s">
        <v>572</v>
      </c>
      <c r="C41" s="95">
        <v>3197</v>
      </c>
      <c r="D41" s="95">
        <v>3146</v>
      </c>
      <c r="E41" s="95">
        <v>8086</v>
      </c>
      <c r="F41" s="95">
        <v>16445</v>
      </c>
      <c r="G41" s="95">
        <v>27717</v>
      </c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1">
      <c r="A42" s="83"/>
      <c r="B42" s="106" t="s">
        <v>573</v>
      </c>
      <c r="C42" s="95"/>
      <c r="D42" s="95"/>
      <c r="E42" s="95">
        <v>22679</v>
      </c>
      <c r="F42" s="95">
        <v>68990</v>
      </c>
      <c r="G42" s="95">
        <v>104466</v>
      </c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1">
      <c r="A43" s="83"/>
      <c r="B43" s="106" t="s">
        <v>574</v>
      </c>
      <c r="C43" s="95">
        <v>185</v>
      </c>
      <c r="D43" s="95">
        <v>2983</v>
      </c>
      <c r="E43" s="95">
        <v>59</v>
      </c>
      <c r="F43" s="95">
        <v>140</v>
      </c>
      <c r="G43" s="95">
        <v>4351</v>
      </c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106" t="s">
        <v>858</v>
      </c>
      <c r="C44" s="95"/>
      <c r="D44" s="95"/>
      <c r="E44" s="95"/>
      <c r="F44" s="95"/>
      <c r="G44" s="95">
        <v>3418</v>
      </c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1">
      <c r="A45" s="83"/>
      <c r="B45" s="106" t="s">
        <v>575</v>
      </c>
      <c r="C45" s="95">
        <v>400</v>
      </c>
      <c r="D45" s="95">
        <v>295</v>
      </c>
      <c r="E45" s="95">
        <v>2100</v>
      </c>
      <c r="F45" s="95">
        <v>2870</v>
      </c>
      <c r="G45" s="95">
        <v>1020</v>
      </c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5.75" outlineLevel="1">
      <c r="A46" s="83"/>
      <c r="B46" s="106" t="s">
        <v>576</v>
      </c>
      <c r="C46" s="95">
        <v>9480</v>
      </c>
      <c r="D46" s="95">
        <v>10379</v>
      </c>
      <c r="E46" s="95">
        <v>12969</v>
      </c>
      <c r="F46" s="95">
        <v>13127</v>
      </c>
      <c r="G46" s="95">
        <v>12996</v>
      </c>
      <c r="H46" s="95"/>
      <c r="I46" s="95"/>
      <c r="J46" s="95"/>
      <c r="K46" s="95"/>
      <c r="L46" s="95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 outlineLevel="1">
      <c r="A47" s="83"/>
      <c r="B47" s="106" t="s">
        <v>577</v>
      </c>
      <c r="C47" s="95"/>
      <c r="D47" s="95"/>
      <c r="E47" s="95">
        <v>900</v>
      </c>
      <c r="F47" s="95"/>
      <c r="G47" s="95"/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1">
      <c r="A48" s="83"/>
      <c r="B48" s="106" t="s">
        <v>578</v>
      </c>
      <c r="C48" s="95">
        <v>250</v>
      </c>
      <c r="D48" s="95">
        <v>2729</v>
      </c>
      <c r="E48" s="95"/>
      <c r="F48" s="95">
        <v>320</v>
      </c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ht="15.75" outlineLevel="1">
      <c r="A49" s="83"/>
      <c r="B49" s="106" t="s">
        <v>859</v>
      </c>
      <c r="C49" s="95"/>
      <c r="D49" s="95"/>
      <c r="E49" s="95"/>
      <c r="F49" s="95"/>
      <c r="G49" s="95">
        <v>-728</v>
      </c>
      <c r="H49" s="95"/>
      <c r="I49" s="95"/>
      <c r="J49" s="95"/>
      <c r="K49" s="95"/>
      <c r="L49" s="95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>
      <c r="A51" s="83"/>
      <c r="B51" s="83" t="s">
        <v>166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/>
      <c r="I51" s="88"/>
      <c r="J51" s="88"/>
      <c r="K51" s="88"/>
      <c r="L51" s="88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>
      <c r="A52" s="83"/>
      <c r="B52" s="98" t="s">
        <v>7</v>
      </c>
      <c r="C52" s="99">
        <f>C6+C51+C7</f>
        <v>816810</v>
      </c>
      <c r="D52" s="99">
        <f>D6+D51+D7</f>
        <v>846066</v>
      </c>
      <c r="E52" s="99">
        <f>E6+E51+E7</f>
        <v>1683182</v>
      </c>
      <c r="F52" s="99">
        <f>F6+F51+F7</f>
        <v>1886603</v>
      </c>
      <c r="G52" s="99">
        <f>G6+G51+G7</f>
        <v>2103918</v>
      </c>
      <c r="H52" s="275"/>
      <c r="I52" s="99">
        <f t="shared" ref="I52:L52" si="0">I6+I51+I7</f>
        <v>2117163</v>
      </c>
      <c r="J52" s="99">
        <f t="shared" si="0"/>
        <v>2328879</v>
      </c>
      <c r="K52" s="99">
        <f t="shared" si="0"/>
        <v>2445323</v>
      </c>
      <c r="L52" s="99">
        <f t="shared" si="0"/>
        <v>2567589</v>
      </c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>
      <c r="A53" s="83"/>
      <c r="B53" s="97" t="s">
        <v>8</v>
      </c>
      <c r="C53" s="89">
        <f>C54</f>
        <v>39885</v>
      </c>
      <c r="D53" s="89">
        <f t="shared" ref="D53:G53" si="1">D54</f>
        <v>6671</v>
      </c>
      <c r="E53" s="89">
        <f t="shared" si="1"/>
        <v>-70178</v>
      </c>
      <c r="F53" s="89">
        <f t="shared" si="1"/>
        <v>72664</v>
      </c>
      <c r="G53" s="89">
        <f t="shared" si="1"/>
        <v>-48043</v>
      </c>
      <c r="H53" s="89"/>
      <c r="I53" s="89"/>
      <c r="J53" s="89"/>
      <c r="K53" s="89"/>
      <c r="L53" s="89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106" t="s">
        <v>579</v>
      </c>
      <c r="C54" s="95">
        <v>39885</v>
      </c>
      <c r="D54" s="95">
        <v>6671</v>
      </c>
      <c r="E54" s="95">
        <v>-70178</v>
      </c>
      <c r="F54" s="95">
        <v>72664</v>
      </c>
      <c r="G54" s="95">
        <v>-48043</v>
      </c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 outlineLevel="1">
      <c r="A55" s="83"/>
      <c r="B55" s="106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>
      <c r="A56" s="83"/>
      <c r="B56" s="97" t="s">
        <v>9</v>
      </c>
      <c r="C56" s="169">
        <f>'Probois 43'!C10</f>
        <v>0</v>
      </c>
      <c r="D56" s="169">
        <f>'Probois 43'!D10</f>
        <v>0</v>
      </c>
      <c r="E56" s="169">
        <f>'Probois 43'!E10</f>
        <v>0</v>
      </c>
      <c r="F56" s="169">
        <f>'Probois 43'!F10</f>
        <v>0</v>
      </c>
      <c r="G56" s="169">
        <f>'Probois 43'!G10</f>
        <v>0</v>
      </c>
      <c r="H56" s="169"/>
      <c r="I56" s="169"/>
      <c r="J56" s="169"/>
      <c r="K56" s="169"/>
      <c r="L56" s="169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>
      <c r="A57" s="83"/>
      <c r="B57" s="100" t="s">
        <v>14</v>
      </c>
      <c r="C57" s="99">
        <f>C52+C53+C56</f>
        <v>856695</v>
      </c>
      <c r="D57" s="99">
        <f>D52+D53+D56</f>
        <v>852737</v>
      </c>
      <c r="E57" s="99">
        <f>E52+E53+E56</f>
        <v>1613004</v>
      </c>
      <c r="F57" s="99">
        <f>F52+F53+F56</f>
        <v>1959267</v>
      </c>
      <c r="G57" s="99">
        <f>G52+G53+G56</f>
        <v>2055875</v>
      </c>
      <c r="H57" s="275"/>
      <c r="I57" s="99">
        <f t="shared" ref="I57:L57" si="2">I52+I53+I56</f>
        <v>2117163</v>
      </c>
      <c r="J57" s="99">
        <f t="shared" si="2"/>
        <v>2328879</v>
      </c>
      <c r="K57" s="99">
        <f t="shared" si="2"/>
        <v>2445323</v>
      </c>
      <c r="L57" s="99">
        <f t="shared" si="2"/>
        <v>2567589</v>
      </c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6.5" thickBot="1">
      <c r="A58" s="83"/>
      <c r="B58" s="101" t="s">
        <v>106</v>
      </c>
      <c r="C58" s="102">
        <f>C57/C57</f>
        <v>1</v>
      </c>
      <c r="D58" s="102">
        <f t="shared" ref="D58:F58" si="3">D57/D57</f>
        <v>1</v>
      </c>
      <c r="E58" s="102">
        <f t="shared" si="3"/>
        <v>1</v>
      </c>
      <c r="F58" s="102">
        <f t="shared" si="3"/>
        <v>1</v>
      </c>
      <c r="G58" s="102">
        <f t="shared" ref="G58" si="4">G57/G57</f>
        <v>1</v>
      </c>
      <c r="H58" s="276"/>
      <c r="I58" s="102">
        <f t="shared" ref="I58:L58" si="5">I57/I57</f>
        <v>1</v>
      </c>
      <c r="J58" s="102">
        <f t="shared" si="5"/>
        <v>1</v>
      </c>
      <c r="K58" s="102">
        <f t="shared" si="5"/>
        <v>1</v>
      </c>
      <c r="L58" s="102">
        <f t="shared" si="5"/>
        <v>1</v>
      </c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 collapsed="1">
      <c r="A59" s="83"/>
      <c r="B59" s="103" t="s">
        <v>167</v>
      </c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>
      <c r="A60" s="83"/>
      <c r="B60" s="103" t="s">
        <v>168</v>
      </c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83"/>
      <c r="B61" s="83" t="s">
        <v>190</v>
      </c>
      <c r="C61" s="89">
        <f>SUM(C62:C72)</f>
        <v>-528615</v>
      </c>
      <c r="D61" s="89">
        <f>SUM(D62:D72)</f>
        <v>-549612</v>
      </c>
      <c r="E61" s="89">
        <f>SUM(E62:E72)</f>
        <v>-1280501</v>
      </c>
      <c r="F61" s="89">
        <f>SUM(F62:F72)</f>
        <v>-1317168</v>
      </c>
      <c r="G61" s="89">
        <f>SUM(G62:G72)</f>
        <v>-1345707</v>
      </c>
      <c r="H61" s="89"/>
      <c r="I61" s="89">
        <v>-1333813</v>
      </c>
      <c r="J61" s="89">
        <v>-1467194</v>
      </c>
      <c r="K61" s="89">
        <v>-1540553</v>
      </c>
      <c r="L61" s="89">
        <v>-1617581</v>
      </c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 outlineLevel="1">
      <c r="A62" s="83"/>
      <c r="B62" s="106" t="s">
        <v>582</v>
      </c>
      <c r="C62" s="95">
        <v>-208538</v>
      </c>
      <c r="D62" s="95">
        <v>-352150</v>
      </c>
      <c r="E62" s="95">
        <v>-915325</v>
      </c>
      <c r="F62" s="95">
        <v>-754566</v>
      </c>
      <c r="G62" s="95">
        <v>-832686</v>
      </c>
      <c r="H62" s="95"/>
      <c r="I62" s="95"/>
      <c r="J62" s="95"/>
      <c r="K62" s="95"/>
      <c r="L62" s="95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583</v>
      </c>
      <c r="C63" s="95">
        <v>-129346</v>
      </c>
      <c r="D63" s="95">
        <v>-60500</v>
      </c>
      <c r="E63" s="95">
        <v>-108920</v>
      </c>
      <c r="F63" s="95">
        <v>-303615</v>
      </c>
      <c r="G63" s="95">
        <v>-145694</v>
      </c>
      <c r="H63" s="95"/>
      <c r="I63" s="95"/>
      <c r="J63" s="95"/>
      <c r="K63" s="95"/>
      <c r="L63" s="95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 t="s">
        <v>584</v>
      </c>
      <c r="C64" s="95">
        <v>-88358</v>
      </c>
      <c r="D64" s="95">
        <v>-47092</v>
      </c>
      <c r="E64" s="95">
        <v>-67440</v>
      </c>
      <c r="F64" s="95">
        <v>-24095</v>
      </c>
      <c r="G64" s="95">
        <v>-129906</v>
      </c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 outlineLevel="1">
      <c r="A65" s="83"/>
      <c r="B65" s="106" t="s">
        <v>585</v>
      </c>
      <c r="C65" s="95"/>
      <c r="D65" s="95"/>
      <c r="E65" s="95">
        <v>-11720</v>
      </c>
      <c r="F65" s="95"/>
      <c r="G65" s="95"/>
      <c r="H65" s="95"/>
      <c r="I65" s="95"/>
      <c r="J65" s="95"/>
      <c r="K65" s="95"/>
      <c r="L65" s="95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1">
      <c r="A66" s="83"/>
      <c r="B66" s="106" t="s">
        <v>586</v>
      </c>
      <c r="C66" s="95"/>
      <c r="D66" s="95"/>
      <c r="E66" s="95">
        <v>-26034</v>
      </c>
      <c r="F66" s="95"/>
      <c r="G66" s="95"/>
      <c r="H66" s="95"/>
      <c r="I66" s="95"/>
      <c r="J66" s="95"/>
      <c r="K66" s="95"/>
      <c r="L66" s="95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1">
      <c r="A67" s="83"/>
      <c r="B67" s="106" t="s">
        <v>587</v>
      </c>
      <c r="C67" s="95">
        <v>-529</v>
      </c>
      <c r="D67" s="95">
        <v>-2143</v>
      </c>
      <c r="E67" s="95">
        <v>-4378</v>
      </c>
      <c r="F67" s="95">
        <v>-2879</v>
      </c>
      <c r="G67" s="95">
        <v>-3553</v>
      </c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5.75" outlineLevel="1">
      <c r="A68" s="83"/>
      <c r="B68" s="106" t="s">
        <v>588</v>
      </c>
      <c r="C68" s="95">
        <v>-5164</v>
      </c>
      <c r="D68" s="95">
        <v>-6296</v>
      </c>
      <c r="E68" s="95">
        <v>-11225</v>
      </c>
      <c r="F68" s="95">
        <v>-23845</v>
      </c>
      <c r="G68" s="95">
        <v>-20770</v>
      </c>
      <c r="H68" s="95"/>
      <c r="I68" s="95"/>
      <c r="J68" s="95"/>
      <c r="K68" s="95"/>
      <c r="L68" s="95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15.75" outlineLevel="1">
      <c r="A69" s="83"/>
      <c r="B69" s="106" t="s">
        <v>589</v>
      </c>
      <c r="C69" s="95">
        <v>-7035</v>
      </c>
      <c r="D69" s="95">
        <v>-22802</v>
      </c>
      <c r="E69" s="95">
        <v>-1776</v>
      </c>
      <c r="F69" s="95">
        <v>-12036</v>
      </c>
      <c r="G69" s="95">
        <f>-6996-841</f>
        <v>-7837</v>
      </c>
      <c r="H69" s="95"/>
      <c r="I69" s="95"/>
      <c r="J69" s="95"/>
      <c r="K69" s="95"/>
      <c r="L69" s="95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ht="15.75" outlineLevel="1">
      <c r="A70" s="83"/>
      <c r="B70" s="106" t="s">
        <v>590</v>
      </c>
      <c r="C70" s="95">
        <v>-51649</v>
      </c>
      <c r="D70" s="95">
        <v>-51982</v>
      </c>
      <c r="E70" s="95">
        <v>-118976</v>
      </c>
      <c r="F70" s="95">
        <v>-146436</v>
      </c>
      <c r="G70" s="95">
        <v>-153181</v>
      </c>
      <c r="H70" s="95"/>
      <c r="I70" s="95"/>
      <c r="J70" s="95"/>
      <c r="K70" s="95"/>
      <c r="L70" s="95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 outlineLevel="1">
      <c r="A71" s="83"/>
      <c r="B71" s="106" t="s">
        <v>591</v>
      </c>
      <c r="C71" s="95">
        <v>-37996</v>
      </c>
      <c r="D71" s="95">
        <v>-6647</v>
      </c>
      <c r="E71" s="95">
        <v>-14707</v>
      </c>
      <c r="F71" s="95">
        <v>-49696</v>
      </c>
      <c r="G71" s="95">
        <v>-52080</v>
      </c>
      <c r="H71" s="95"/>
      <c r="I71" s="95"/>
      <c r="J71" s="95"/>
      <c r="K71" s="95"/>
      <c r="L71" s="95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5.75" outlineLevel="1">
      <c r="A72" s="83"/>
      <c r="B72" s="106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>
      <c r="A73" s="107"/>
      <c r="B73" s="108" t="s">
        <v>169</v>
      </c>
      <c r="C73" s="104">
        <f>SUM(C74:C76)</f>
        <v>-36202</v>
      </c>
      <c r="D73" s="104">
        <f>SUM(D74:D76)</f>
        <v>51949</v>
      </c>
      <c r="E73" s="104">
        <f>SUM(E74:E76)</f>
        <v>304214</v>
      </c>
      <c r="F73" s="104">
        <f>SUM(F74:F76)</f>
        <v>-10155</v>
      </c>
      <c r="G73" s="104">
        <f>SUM(G74:G76)</f>
        <v>52512</v>
      </c>
      <c r="H73" s="104"/>
      <c r="I73" s="104"/>
      <c r="J73" s="104"/>
      <c r="K73" s="104"/>
      <c r="L73" s="104"/>
      <c r="M73" s="108"/>
      <c r="N73" s="108"/>
      <c r="O73" s="109"/>
      <c r="P73" s="109"/>
      <c r="Q73" s="109"/>
      <c r="R73" s="109"/>
      <c r="S73" s="109"/>
      <c r="T73" s="109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</row>
    <row r="74" spans="1:43" ht="15.75" outlineLevel="1">
      <c r="A74" s="83"/>
      <c r="B74" s="106" t="s">
        <v>592</v>
      </c>
      <c r="C74" s="95">
        <v>-36809</v>
      </c>
      <c r="D74" s="95">
        <v>33808</v>
      </c>
      <c r="E74" s="95">
        <v>315089</v>
      </c>
      <c r="F74" s="95">
        <v>-19904</v>
      </c>
      <c r="G74" s="95">
        <v>53961</v>
      </c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1">
      <c r="A75" s="83"/>
      <c r="B75" s="106" t="s">
        <v>593</v>
      </c>
      <c r="C75" s="95">
        <v>607</v>
      </c>
      <c r="D75" s="95">
        <v>18141</v>
      </c>
      <c r="E75" s="95">
        <v>-10875</v>
      </c>
      <c r="F75" s="95">
        <v>9749</v>
      </c>
      <c r="G75" s="95">
        <v>-1449</v>
      </c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1">
      <c r="A76" s="83"/>
      <c r="B76" s="10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>
      <c r="A77" s="83"/>
      <c r="B77" s="100" t="s">
        <v>16</v>
      </c>
      <c r="C77" s="99">
        <f>C57+C59+C60+C61+C73</f>
        <v>291878</v>
      </c>
      <c r="D77" s="99">
        <f>D57+D59+D60+D61+D73</f>
        <v>355074</v>
      </c>
      <c r="E77" s="99">
        <f>E57+E59+E60+E61+E73</f>
        <v>636717</v>
      </c>
      <c r="F77" s="99">
        <f>F57+F59+F60+F61+F73</f>
        <v>631944</v>
      </c>
      <c r="G77" s="99">
        <f>G57+G59+G60+G61+G73</f>
        <v>762680</v>
      </c>
      <c r="H77" s="275"/>
      <c r="I77" s="99">
        <f t="shared" ref="I77:L77" si="6">I57+I59+I60+I61+I73</f>
        <v>783350</v>
      </c>
      <c r="J77" s="99">
        <f t="shared" si="6"/>
        <v>861685</v>
      </c>
      <c r="K77" s="99">
        <f t="shared" si="6"/>
        <v>904770</v>
      </c>
      <c r="L77" s="99">
        <f t="shared" si="6"/>
        <v>950008</v>
      </c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6.5" thickBot="1">
      <c r="A78" s="107"/>
      <c r="B78" s="101" t="s">
        <v>106</v>
      </c>
      <c r="C78" s="102">
        <f>C77/C57</f>
        <v>0.34070235031137103</v>
      </c>
      <c r="D78" s="102">
        <f t="shared" ref="D78:F78" si="7">D77/D57</f>
        <v>0.4163933311208497</v>
      </c>
      <c r="E78" s="102">
        <f t="shared" si="7"/>
        <v>0.39473987665250676</v>
      </c>
      <c r="F78" s="102">
        <f t="shared" si="7"/>
        <v>0.32254103192673589</v>
      </c>
      <c r="G78" s="102">
        <f t="shared" ref="G78" si="8">G77/G57</f>
        <v>0.37097586185930564</v>
      </c>
      <c r="H78" s="276"/>
      <c r="I78" s="102">
        <f t="shared" ref="I78:L78" si="9">I77/I57</f>
        <v>0.36999985357764142</v>
      </c>
      <c r="J78" s="102">
        <f t="shared" si="9"/>
        <v>0.36999990124003868</v>
      </c>
      <c r="K78" s="102">
        <f t="shared" si="9"/>
        <v>0.37000020038252618</v>
      </c>
      <c r="L78" s="102">
        <f t="shared" si="9"/>
        <v>0.3700000272629303</v>
      </c>
      <c r="M78" s="108"/>
      <c r="N78" s="108"/>
      <c r="O78" s="109"/>
      <c r="P78" s="109"/>
      <c r="Q78" s="109"/>
      <c r="R78" s="109"/>
      <c r="S78" s="109"/>
      <c r="T78" s="109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</row>
    <row r="79" spans="1:43" ht="15.75">
      <c r="A79" s="107"/>
      <c r="B79" s="108" t="s">
        <v>170</v>
      </c>
      <c r="C79" s="104">
        <f>C81+C89+C92+C99+C104+C110+C117+C120+C134+C142+C146+C139</f>
        <v>-95031</v>
      </c>
      <c r="D79" s="104">
        <f>D81+D89+D92+D99+D104+D110+D117+D120+D134+D142+D146+D139</f>
        <v>-164506</v>
      </c>
      <c r="E79" s="104">
        <f>E81+E89+E92+E99+E104+E110+E117+E120+E134+E142+E146+E139</f>
        <v>-308420</v>
      </c>
      <c r="F79" s="104">
        <f>F81+F89+F92+F99+F104+F110+F117+F120+F134+F142+F146+F139</f>
        <v>-333452</v>
      </c>
      <c r="G79" s="104">
        <f>G81+G89+G92+G99+G104+G110+G117+G120+G134+G142+G146+G139</f>
        <v>-443055</v>
      </c>
      <c r="H79" s="104"/>
      <c r="I79" s="104">
        <v>-329834</v>
      </c>
      <c r="J79" s="104">
        <v>-399666</v>
      </c>
      <c r="K79" s="104">
        <v>-425090</v>
      </c>
      <c r="L79" s="104">
        <v>-451786</v>
      </c>
      <c r="M79" s="108"/>
      <c r="N79" s="108"/>
      <c r="O79" s="109"/>
      <c r="P79" s="109"/>
      <c r="Q79" s="109"/>
      <c r="R79" s="109"/>
      <c r="S79" s="109"/>
      <c r="T79" s="109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</row>
    <row r="80" spans="1:43" outlineLevel="1"/>
    <row r="81" spans="1:43" s="92" customFormat="1" ht="12.75" outlineLevel="1">
      <c r="A81" s="90"/>
      <c r="B81" s="105" t="s">
        <v>171</v>
      </c>
      <c r="C81" s="91">
        <f>SUM(C82:C88)</f>
        <v>-25151</v>
      </c>
      <c r="D81" s="91">
        <f>SUM(D82:D88)</f>
        <v>-33201</v>
      </c>
      <c r="E81" s="91">
        <f>SUM(E82:E88)</f>
        <v>-36612</v>
      </c>
      <c r="F81" s="91">
        <f>SUM(F82:F88)</f>
        <v>-41955</v>
      </c>
      <c r="G81" s="91">
        <f>SUM(G82:G88)</f>
        <v>-54378</v>
      </c>
      <c r="H81" s="91"/>
      <c r="I81" s="91"/>
      <c r="J81" s="91"/>
      <c r="K81" s="91"/>
      <c r="L81" s="91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</row>
    <row r="82" spans="1:43" ht="15.75" outlineLevel="2">
      <c r="A82" s="83"/>
      <c r="B82" s="106" t="s">
        <v>462</v>
      </c>
      <c r="C82" s="95">
        <v>-20744</v>
      </c>
      <c r="D82" s="95">
        <v>-24097</v>
      </c>
      <c r="E82" s="95">
        <v>-29418</v>
      </c>
      <c r="F82" s="95">
        <v>-35940</v>
      </c>
      <c r="G82" s="95">
        <v>-45873</v>
      </c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 outlineLevel="2">
      <c r="A83" s="83"/>
      <c r="B83" s="106" t="s">
        <v>323</v>
      </c>
      <c r="C83" s="95">
        <v>-108</v>
      </c>
      <c r="D83" s="95">
        <v>-137</v>
      </c>
      <c r="E83" s="95">
        <v>-118</v>
      </c>
      <c r="F83" s="95">
        <v>-103</v>
      </c>
      <c r="G83" s="95">
        <v>-150</v>
      </c>
      <c r="H83" s="95"/>
      <c r="I83" s="95"/>
      <c r="J83" s="95"/>
      <c r="K83" s="95"/>
      <c r="L83" s="95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2">
      <c r="A84" s="83"/>
      <c r="B84" s="106" t="s">
        <v>594</v>
      </c>
      <c r="C84" s="95">
        <v>-2164</v>
      </c>
      <c r="D84" s="95">
        <v>-6443</v>
      </c>
      <c r="E84" s="95">
        <v>-793</v>
      </c>
      <c r="F84" s="95">
        <v>-100</v>
      </c>
      <c r="G84" s="95">
        <v>-2049</v>
      </c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ht="15.75" outlineLevel="2">
      <c r="A85" s="83"/>
      <c r="B85" s="106" t="s">
        <v>595</v>
      </c>
      <c r="C85" s="95">
        <v>-1512</v>
      </c>
      <c r="D85" s="95">
        <v>-1521</v>
      </c>
      <c r="E85" s="95">
        <v>-4018</v>
      </c>
      <c r="F85" s="95">
        <v>-3828</v>
      </c>
      <c r="G85" s="95">
        <v>-4556</v>
      </c>
      <c r="H85" s="95"/>
      <c r="I85" s="95"/>
      <c r="J85" s="95"/>
      <c r="K85" s="95"/>
      <c r="L85" s="95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2">
      <c r="A86" s="83"/>
      <c r="B86" s="106" t="s">
        <v>596</v>
      </c>
      <c r="C86" s="95">
        <v>-491</v>
      </c>
      <c r="D86" s="95">
        <v>-881</v>
      </c>
      <c r="E86" s="95">
        <v>-2062</v>
      </c>
      <c r="F86" s="95">
        <v>-1546</v>
      </c>
      <c r="G86" s="95">
        <v>-1264</v>
      </c>
      <c r="H86" s="95"/>
      <c r="I86" s="95"/>
      <c r="J86" s="95"/>
      <c r="K86" s="95"/>
      <c r="L86" s="95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597</v>
      </c>
      <c r="C87" s="32">
        <v>-132</v>
      </c>
      <c r="D87" s="32">
        <v>-122</v>
      </c>
      <c r="E87" s="95">
        <v>-203</v>
      </c>
      <c r="F87" s="95">
        <v>-438</v>
      </c>
      <c r="G87" s="95">
        <v>-486</v>
      </c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s="92" customFormat="1" ht="12.75" outlineLevel="1">
      <c r="A89" s="90"/>
      <c r="B89" s="105" t="s">
        <v>172</v>
      </c>
      <c r="C89" s="91">
        <f t="shared" ref="C89:D89" si="10">C90</f>
        <v>0</v>
      </c>
      <c r="D89" s="91">
        <f t="shared" si="10"/>
        <v>0</v>
      </c>
      <c r="E89" s="91">
        <f>E90</f>
        <v>0</v>
      </c>
      <c r="F89" s="91">
        <f>F90</f>
        <v>-1300</v>
      </c>
      <c r="G89" s="91">
        <f>G90</f>
        <v>-1424</v>
      </c>
      <c r="H89" s="91"/>
      <c r="I89" s="91"/>
      <c r="J89" s="91"/>
      <c r="K89" s="91"/>
      <c r="L89" s="91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</row>
    <row r="90" spans="1:43" ht="15.75" outlineLevel="2">
      <c r="A90" s="83"/>
      <c r="B90" s="106" t="s">
        <v>598</v>
      </c>
      <c r="C90" s="95"/>
      <c r="D90" s="95"/>
      <c r="E90" s="95"/>
      <c r="F90" s="95">
        <v>-1300</v>
      </c>
      <c r="G90" s="95">
        <v>-1424</v>
      </c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s="92" customFormat="1" ht="12.75" outlineLevel="1">
      <c r="A92" s="90"/>
      <c r="B92" s="105" t="s">
        <v>173</v>
      </c>
      <c r="C92" s="91">
        <f>SUM(C93:C97)</f>
        <v>-3523</v>
      </c>
      <c r="D92" s="91">
        <f>SUM(D93:D97)</f>
        <v>-38926</v>
      </c>
      <c r="E92" s="91">
        <f>SUM(E93:E97)</f>
        <v>-118988</v>
      </c>
      <c r="F92" s="91">
        <f>SUM(F93:F97)</f>
        <v>-122271</v>
      </c>
      <c r="G92" s="91">
        <f>SUM(G93:G97)</f>
        <v>-121336</v>
      </c>
      <c r="H92" s="91"/>
      <c r="I92" s="91"/>
      <c r="J92" s="91"/>
      <c r="K92" s="91"/>
      <c r="L92" s="91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</row>
    <row r="93" spans="1:43" ht="15.75" outlineLevel="2">
      <c r="A93" s="83"/>
      <c r="B93" s="106" t="s">
        <v>599</v>
      </c>
      <c r="C93" s="95">
        <v>-3523</v>
      </c>
      <c r="D93" s="95">
        <v>-11136</v>
      </c>
      <c r="E93" s="95">
        <v>-11307</v>
      </c>
      <c r="F93" s="95">
        <v>-7842</v>
      </c>
      <c r="G93" s="95"/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2">
      <c r="A94" s="83"/>
      <c r="B94" s="106" t="s">
        <v>600</v>
      </c>
      <c r="C94" s="95"/>
      <c r="D94" s="95"/>
      <c r="E94" s="95">
        <v>-2060</v>
      </c>
      <c r="F94" s="95">
        <v>-8808</v>
      </c>
      <c r="G94" s="95">
        <v>-8808</v>
      </c>
      <c r="H94" s="95"/>
      <c r="I94" s="95"/>
      <c r="J94" s="95"/>
      <c r="K94" s="95"/>
      <c r="L94" s="95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860</v>
      </c>
      <c r="C95" s="95"/>
      <c r="D95" s="95"/>
      <c r="E95" s="95"/>
      <c r="F95" s="95"/>
      <c r="G95" s="95">
        <v>-6907</v>
      </c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601</v>
      </c>
      <c r="C96" s="95"/>
      <c r="D96" s="95">
        <v>-14149</v>
      </c>
      <c r="E96" s="95">
        <v>-52857</v>
      </c>
      <c r="F96" s="95">
        <v>-52857</v>
      </c>
      <c r="G96" s="95">
        <v>-52857</v>
      </c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602</v>
      </c>
      <c r="C97" s="95"/>
      <c r="D97" s="95">
        <v>-13641</v>
      </c>
      <c r="E97" s="95">
        <v>-52764</v>
      </c>
      <c r="F97" s="95">
        <v>-52764</v>
      </c>
      <c r="G97" s="95">
        <v>-52764</v>
      </c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2">
      <c r="A98" s="83"/>
      <c r="B98" s="106"/>
      <c r="C98" s="95"/>
      <c r="E98" s="95"/>
      <c r="F98" s="95"/>
      <c r="G98" s="95"/>
      <c r="H98" s="95"/>
      <c r="I98" s="95"/>
      <c r="J98" s="95"/>
      <c r="K98" s="95"/>
      <c r="L98" s="95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s="92" customFormat="1" ht="12.75" outlineLevel="1">
      <c r="A99" s="90"/>
      <c r="B99" s="105" t="s">
        <v>174</v>
      </c>
      <c r="C99" s="91">
        <f>SUM(C100:C103)</f>
        <v>-20129</v>
      </c>
      <c r="D99" s="91">
        <f>SUM(D100:D103)</f>
        <v>-27038</v>
      </c>
      <c r="E99" s="91">
        <f>SUM(E100:E103)</f>
        <v>-25098</v>
      </c>
      <c r="F99" s="91">
        <f>SUM(F100:F103)</f>
        <v>-28779</v>
      </c>
      <c r="G99" s="91">
        <f>SUM(G100:G103)</f>
        <v>-31574</v>
      </c>
      <c r="H99" s="91"/>
      <c r="I99" s="91"/>
      <c r="J99" s="91"/>
      <c r="K99" s="91"/>
      <c r="L99" s="91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</row>
    <row r="100" spans="1:43" ht="15.75" outlineLevel="2">
      <c r="A100" s="83"/>
      <c r="B100" s="106" t="s">
        <v>603</v>
      </c>
      <c r="C100" s="95"/>
      <c r="D100" s="95">
        <v>-2983</v>
      </c>
      <c r="E100" s="95">
        <v>-743</v>
      </c>
      <c r="F100" s="95"/>
      <c r="G100" s="95">
        <v>-1640</v>
      </c>
      <c r="H100" s="95"/>
      <c r="I100" s="95"/>
      <c r="J100" s="95"/>
      <c r="K100" s="95"/>
      <c r="L100" s="95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ht="15.75" outlineLevel="2">
      <c r="A101" s="83"/>
      <c r="B101" s="106" t="s">
        <v>334</v>
      </c>
      <c r="C101" s="95">
        <v>-16500</v>
      </c>
      <c r="D101" s="95">
        <v>-19800</v>
      </c>
      <c r="E101" s="95">
        <v>-19800</v>
      </c>
      <c r="F101" s="95">
        <v>-21900</v>
      </c>
      <c r="G101" s="95">
        <v>-21900</v>
      </c>
      <c r="H101" s="95"/>
      <c r="I101" s="95"/>
      <c r="J101" s="95"/>
      <c r="K101" s="95"/>
      <c r="L101" s="95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</row>
    <row r="102" spans="1:43" ht="15.75" outlineLevel="2">
      <c r="A102" s="83"/>
      <c r="B102" s="106" t="s">
        <v>604</v>
      </c>
      <c r="C102" s="95">
        <v>-3629</v>
      </c>
      <c r="D102" s="95">
        <v>-4255</v>
      </c>
      <c r="E102" s="95">
        <v>-4555</v>
      </c>
      <c r="F102" s="95">
        <v>-6879</v>
      </c>
      <c r="G102" s="95">
        <v>-8034</v>
      </c>
      <c r="H102" s="95"/>
      <c r="I102" s="95"/>
      <c r="J102" s="95"/>
      <c r="K102" s="95"/>
      <c r="L102" s="95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</row>
    <row r="103" spans="1:43" ht="15.75" outlineLevel="2">
      <c r="A103" s="83"/>
      <c r="B103" s="106"/>
      <c r="C103" s="95"/>
      <c r="D103" s="95"/>
      <c r="F103" s="95"/>
      <c r="G103" s="95"/>
      <c r="H103" s="95"/>
      <c r="I103" s="95"/>
      <c r="J103" s="95"/>
      <c r="K103" s="95"/>
      <c r="L103" s="95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s="92" customFormat="1" ht="12.75" outlineLevel="1">
      <c r="A104" s="90"/>
      <c r="B104" s="105" t="s">
        <v>175</v>
      </c>
      <c r="C104" s="91">
        <f>SUM(C105:C109)</f>
        <v>-22328</v>
      </c>
      <c r="D104" s="91">
        <f t="shared" ref="D104:F104" si="11">SUM(D105:D109)</f>
        <v>-16532</v>
      </c>
      <c r="E104" s="91">
        <f t="shared" si="11"/>
        <v>-62037</v>
      </c>
      <c r="F104" s="91">
        <f t="shared" si="11"/>
        <v>-50467</v>
      </c>
      <c r="G104" s="91">
        <f>SUM(G105:G109)</f>
        <v>-36054</v>
      </c>
      <c r="H104" s="91"/>
      <c r="I104" s="91"/>
      <c r="J104" s="91"/>
      <c r="K104" s="91"/>
      <c r="L104" s="91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</row>
    <row r="105" spans="1:43" ht="15.75" outlineLevel="2">
      <c r="A105" s="83"/>
      <c r="B105" s="106" t="s">
        <v>475</v>
      </c>
      <c r="C105" s="95"/>
      <c r="D105" s="95"/>
      <c r="E105" s="95"/>
      <c r="F105" s="95"/>
      <c r="G105" s="95">
        <v>-1086</v>
      </c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ht="15.75" outlineLevel="2">
      <c r="A106" s="83"/>
      <c r="B106" s="106" t="s">
        <v>605</v>
      </c>
      <c r="C106" s="95">
        <v>-11263</v>
      </c>
      <c r="D106" s="95">
        <v>-6676</v>
      </c>
      <c r="E106" s="95">
        <v>-49186</v>
      </c>
      <c r="F106" s="95">
        <v>-30415</v>
      </c>
      <c r="G106" s="95">
        <v>-25131</v>
      </c>
      <c r="H106" s="95"/>
      <c r="I106" s="95"/>
      <c r="J106" s="95"/>
      <c r="K106" s="95"/>
      <c r="L106" s="95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 outlineLevel="2">
      <c r="A107" s="83"/>
      <c r="B107" s="106" t="s">
        <v>606</v>
      </c>
      <c r="C107" s="95">
        <v>-10581</v>
      </c>
      <c r="D107" s="95">
        <v>-9856</v>
      </c>
      <c r="E107" s="95">
        <v>-12851</v>
      </c>
      <c r="F107" s="95">
        <v>-20052</v>
      </c>
      <c r="G107" s="95">
        <v>-9837</v>
      </c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 outlineLevel="2">
      <c r="A108" s="83"/>
      <c r="B108" s="106" t="s">
        <v>658</v>
      </c>
      <c r="C108" s="95">
        <v>-484</v>
      </c>
      <c r="D108" s="95"/>
      <c r="E108" s="95"/>
      <c r="F108" s="95"/>
      <c r="G108" s="95"/>
      <c r="H108" s="95"/>
      <c r="I108" s="95"/>
      <c r="J108" s="95"/>
      <c r="K108" s="95"/>
      <c r="L108" s="95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</row>
    <row r="109" spans="1:43" ht="15.75" outlineLevel="2">
      <c r="A109" s="83"/>
      <c r="B109" s="106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</row>
    <row r="110" spans="1:43" s="92" customFormat="1" ht="12.75" outlineLevel="1">
      <c r="A110" s="90"/>
      <c r="B110" s="105" t="s">
        <v>176</v>
      </c>
      <c r="C110" s="91">
        <f>SUM(C111:C116)</f>
        <v>-6409</v>
      </c>
      <c r="D110" s="91">
        <f>SUM(D111:D116)</f>
        <v>-9033</v>
      </c>
      <c r="E110" s="91">
        <f>SUM(E111:E116)</f>
        <v>-15485</v>
      </c>
      <c r="F110" s="91">
        <f>SUM(F111:F116)</f>
        <v>-16866</v>
      </c>
      <c r="G110" s="91">
        <f>SUM(G111:G116)</f>
        <v>-18315</v>
      </c>
      <c r="H110" s="91"/>
      <c r="I110" s="91"/>
      <c r="J110" s="91"/>
      <c r="K110" s="91"/>
      <c r="L110" s="91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</row>
    <row r="111" spans="1:43" ht="15.75" outlineLevel="2">
      <c r="A111" s="83"/>
      <c r="B111" s="106" t="s">
        <v>607</v>
      </c>
      <c r="C111" s="95">
        <v>-148</v>
      </c>
      <c r="D111" s="95">
        <v>-374</v>
      </c>
      <c r="E111" s="95">
        <v>-261</v>
      </c>
      <c r="F111" s="95">
        <v>-261</v>
      </c>
      <c r="G111" s="95">
        <v>-151</v>
      </c>
      <c r="H111" s="95"/>
      <c r="I111" s="95"/>
      <c r="J111" s="95"/>
      <c r="K111" s="95"/>
      <c r="L111" s="95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2">
      <c r="A112" s="83"/>
      <c r="B112" s="106" t="s">
        <v>608</v>
      </c>
      <c r="C112" s="95">
        <v>-5664</v>
      </c>
      <c r="D112" s="95">
        <v>-6717</v>
      </c>
      <c r="E112" s="95">
        <v>-9728</v>
      </c>
      <c r="F112" s="95">
        <v>-10639</v>
      </c>
      <c r="G112" s="95">
        <v>-11437</v>
      </c>
      <c r="H112" s="95"/>
      <c r="I112" s="95"/>
      <c r="J112" s="95"/>
      <c r="K112" s="95"/>
      <c r="L112" s="95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2">
      <c r="A113" s="83"/>
      <c r="B113" s="106" t="s">
        <v>609</v>
      </c>
      <c r="C113" s="95">
        <v>-29</v>
      </c>
      <c r="D113" s="95">
        <v>-88</v>
      </c>
      <c r="E113" s="95">
        <v>-88</v>
      </c>
      <c r="F113" s="95">
        <v>-58</v>
      </c>
      <c r="G113" s="95"/>
      <c r="H113" s="95"/>
      <c r="I113" s="95"/>
      <c r="J113" s="95"/>
      <c r="K113" s="95"/>
      <c r="L113" s="95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 outlineLevel="2">
      <c r="A114" s="83"/>
      <c r="B114" s="106" t="s">
        <v>610</v>
      </c>
      <c r="C114" s="95"/>
      <c r="D114" s="95">
        <v>-1180</v>
      </c>
      <c r="E114" s="95">
        <v>-4718</v>
      </c>
      <c r="F114" s="95">
        <v>-4718</v>
      </c>
      <c r="G114" s="95">
        <v>-4718</v>
      </c>
      <c r="H114" s="95"/>
      <c r="I114" s="95"/>
      <c r="J114" s="95"/>
      <c r="K114" s="95"/>
      <c r="L114" s="95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 outlineLevel="2">
      <c r="A115" s="83"/>
      <c r="B115" s="106" t="s">
        <v>611</v>
      </c>
      <c r="C115" s="95">
        <v>-568</v>
      </c>
      <c r="D115" s="95">
        <v>-674</v>
      </c>
      <c r="E115" s="95">
        <v>-690</v>
      </c>
      <c r="F115" s="95">
        <v>-1190</v>
      </c>
      <c r="G115" s="95">
        <v>-2009</v>
      </c>
      <c r="H115" s="95"/>
      <c r="I115" s="95"/>
      <c r="J115" s="95"/>
      <c r="K115" s="95"/>
      <c r="L115" s="95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 outlineLevel="2">
      <c r="A116" s="83"/>
      <c r="B116" s="106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s="92" customFormat="1" ht="12.75" outlineLevel="1">
      <c r="A117" s="90"/>
      <c r="B117" s="105" t="s">
        <v>177</v>
      </c>
      <c r="C117" s="91">
        <f>C118</f>
        <v>0</v>
      </c>
      <c r="D117" s="91">
        <f t="shared" ref="D117:G117" si="12">D118</f>
        <v>0</v>
      </c>
      <c r="E117" s="91">
        <f t="shared" si="12"/>
        <v>-212</v>
      </c>
      <c r="F117" s="91">
        <f t="shared" si="12"/>
        <v>0</v>
      </c>
      <c r="G117" s="91">
        <f t="shared" si="12"/>
        <v>0</v>
      </c>
      <c r="H117" s="91"/>
      <c r="I117" s="91"/>
      <c r="J117" s="91"/>
      <c r="K117" s="91"/>
      <c r="L117" s="91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</row>
    <row r="118" spans="1:43" ht="15.75" outlineLevel="2">
      <c r="A118" s="83"/>
      <c r="B118" s="106" t="s">
        <v>612</v>
      </c>
      <c r="C118" s="95"/>
      <c r="D118" s="95"/>
      <c r="E118" s="95">
        <v>-212</v>
      </c>
      <c r="F118" s="95"/>
      <c r="G118" s="95"/>
      <c r="H118" s="95"/>
      <c r="I118" s="95"/>
      <c r="J118" s="95"/>
      <c r="K118" s="95"/>
      <c r="L118" s="95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ht="15.75" outlineLevel="2">
      <c r="A119" s="83"/>
      <c r="B119" s="106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</row>
    <row r="120" spans="1:43" s="92" customFormat="1" ht="12.75" outlineLevel="1">
      <c r="A120" s="90"/>
      <c r="B120" s="105" t="s">
        <v>143</v>
      </c>
      <c r="C120" s="91">
        <f>SUM(C121:C133)</f>
        <v>-8273</v>
      </c>
      <c r="D120" s="91">
        <f t="shared" ref="D120:F120" si="13">SUM(D121:D133)</f>
        <v>-18253</v>
      </c>
      <c r="E120" s="91">
        <f t="shared" si="13"/>
        <v>-22402</v>
      </c>
      <c r="F120" s="91">
        <f t="shared" si="13"/>
        <v>-36983</v>
      </c>
      <c r="G120" s="91">
        <f>SUM(G121:G133)</f>
        <v>-129980</v>
      </c>
      <c r="H120" s="91"/>
      <c r="I120" s="91"/>
      <c r="J120" s="91"/>
      <c r="K120" s="91"/>
      <c r="L120" s="91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</row>
    <row r="121" spans="1:43" ht="15.75" outlineLevel="2">
      <c r="A121" s="83"/>
      <c r="B121" s="106" t="s">
        <v>144</v>
      </c>
      <c r="C121" s="95">
        <v>-123</v>
      </c>
      <c r="D121" s="95">
        <v>-982</v>
      </c>
      <c r="E121" s="95"/>
      <c r="F121" s="95"/>
      <c r="G121" s="95">
        <v>-26158</v>
      </c>
      <c r="H121" s="95"/>
      <c r="I121" s="95"/>
      <c r="J121" s="95"/>
      <c r="K121" s="95"/>
      <c r="L121" s="95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 outlineLevel="2">
      <c r="A122" s="83"/>
      <c r="B122" s="106" t="s">
        <v>490</v>
      </c>
      <c r="C122" s="95"/>
      <c r="D122" s="95">
        <v>-5400</v>
      </c>
      <c r="E122" s="95">
        <v>-10800</v>
      </c>
      <c r="F122" s="95">
        <v>-10800</v>
      </c>
      <c r="G122" s="95">
        <v>-30000</v>
      </c>
      <c r="H122" s="95"/>
      <c r="I122" s="95"/>
      <c r="J122" s="95"/>
      <c r="K122" s="95"/>
      <c r="L122" s="95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</row>
    <row r="123" spans="1:43" ht="15.75" outlineLevel="2">
      <c r="A123" s="83"/>
      <c r="B123" s="106" t="s">
        <v>843</v>
      </c>
      <c r="C123" s="95"/>
      <c r="D123" s="95"/>
      <c r="E123" s="95"/>
      <c r="F123" s="95"/>
      <c r="G123" s="95">
        <v>-42200</v>
      </c>
      <c r="H123" s="95"/>
      <c r="I123" s="95"/>
      <c r="J123" s="95"/>
      <c r="K123" s="95"/>
      <c r="L123" s="95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 outlineLevel="2">
      <c r="A124" s="83"/>
      <c r="B124" s="106" t="s">
        <v>613</v>
      </c>
      <c r="C124" s="95">
        <v>-3405</v>
      </c>
      <c r="D124" s="95">
        <v>-2319</v>
      </c>
      <c r="E124" s="95">
        <v>-3119</v>
      </c>
      <c r="F124" s="95"/>
      <c r="G124" s="95"/>
      <c r="H124" s="95"/>
      <c r="I124" s="95"/>
      <c r="J124" s="95"/>
      <c r="K124" s="95"/>
      <c r="L124" s="95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 outlineLevel="2">
      <c r="A125" s="83"/>
      <c r="B125" s="106" t="s">
        <v>614</v>
      </c>
      <c r="C125" s="95"/>
      <c r="E125" s="95"/>
      <c r="F125" s="95">
        <v>-6577</v>
      </c>
      <c r="G125" s="95">
        <v>-14732</v>
      </c>
      <c r="H125" s="95"/>
      <c r="I125" s="95"/>
      <c r="J125" s="95"/>
      <c r="K125" s="95"/>
      <c r="L125" s="95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 outlineLevel="2">
      <c r="A126" s="83"/>
      <c r="B126" s="106" t="s">
        <v>615</v>
      </c>
      <c r="C126" s="95">
        <v>-4278</v>
      </c>
      <c r="D126" s="95">
        <v>-4721</v>
      </c>
      <c r="E126" s="95">
        <v>-5616</v>
      </c>
      <c r="F126" s="95">
        <v>-5611</v>
      </c>
      <c r="G126" s="95">
        <v>-5531</v>
      </c>
      <c r="H126" s="95"/>
      <c r="I126" s="95"/>
      <c r="J126" s="95"/>
      <c r="K126" s="95"/>
      <c r="L126" s="95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 outlineLevel="2">
      <c r="A127" s="83"/>
      <c r="B127" s="106" t="s">
        <v>863</v>
      </c>
      <c r="C127" s="95"/>
      <c r="D127" s="95"/>
      <c r="E127" s="95"/>
      <c r="F127" s="95"/>
      <c r="G127" s="95">
        <v>-6000</v>
      </c>
      <c r="H127" s="95"/>
      <c r="I127" s="95"/>
      <c r="J127" s="95"/>
      <c r="K127" s="95"/>
      <c r="L127" s="95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</row>
    <row r="128" spans="1:43" ht="15.75" outlineLevel="2">
      <c r="A128" s="83"/>
      <c r="B128" s="106" t="s">
        <v>861</v>
      </c>
      <c r="C128" s="95"/>
      <c r="D128" s="95"/>
      <c r="E128" s="95"/>
      <c r="F128" s="95"/>
      <c r="G128" s="95">
        <v>-500</v>
      </c>
      <c r="H128" s="95"/>
      <c r="I128" s="95"/>
      <c r="J128" s="95"/>
      <c r="K128" s="95"/>
      <c r="L128" s="95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</row>
    <row r="129" spans="1:43" ht="15.75" outlineLevel="2">
      <c r="A129" s="83"/>
      <c r="B129" s="106" t="s">
        <v>616</v>
      </c>
      <c r="C129" s="95"/>
      <c r="D129" s="95">
        <v>-4618</v>
      </c>
      <c r="E129" s="95">
        <v>-2200</v>
      </c>
      <c r="F129" s="95">
        <v>-11529</v>
      </c>
      <c r="G129" s="95">
        <v>-900</v>
      </c>
      <c r="H129" s="95"/>
      <c r="I129" s="95"/>
      <c r="J129" s="95"/>
      <c r="K129" s="95"/>
      <c r="L129" s="95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 outlineLevel="2">
      <c r="A130" s="83"/>
      <c r="B130" s="243" t="s">
        <v>617</v>
      </c>
      <c r="C130" s="95">
        <v>-420</v>
      </c>
      <c r="D130" s="95">
        <v>-210</v>
      </c>
      <c r="E130" s="95">
        <v>-579</v>
      </c>
      <c r="F130" s="95">
        <v>-2460</v>
      </c>
      <c r="G130" s="95">
        <v>-3141</v>
      </c>
      <c r="H130" s="95"/>
      <c r="I130" s="95"/>
      <c r="J130" s="95"/>
      <c r="K130" s="95"/>
      <c r="L130" s="95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</row>
    <row r="131" spans="1:43" ht="15.75" outlineLevel="2">
      <c r="A131" s="83"/>
      <c r="B131" s="106" t="s">
        <v>618</v>
      </c>
      <c r="C131" s="95">
        <v>-43</v>
      </c>
      <c r="D131" s="95">
        <v>-3</v>
      </c>
      <c r="E131" s="95">
        <v>-12</v>
      </c>
      <c r="F131" s="95">
        <v>-3</v>
      </c>
      <c r="G131" s="95">
        <v>-296</v>
      </c>
      <c r="H131" s="95"/>
      <c r="I131" s="95"/>
      <c r="J131" s="95"/>
      <c r="K131" s="95"/>
      <c r="L131" s="95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</row>
    <row r="132" spans="1:43" ht="15.75" outlineLevel="2">
      <c r="A132" s="83"/>
      <c r="B132" s="106" t="s">
        <v>619</v>
      </c>
      <c r="C132" s="95">
        <v>-4</v>
      </c>
      <c r="D132" s="95"/>
      <c r="E132" s="95">
        <v>-76</v>
      </c>
      <c r="F132" s="95">
        <v>-3</v>
      </c>
      <c r="G132" s="95">
        <v>-522</v>
      </c>
      <c r="H132" s="95"/>
      <c r="I132" s="95"/>
      <c r="J132" s="95"/>
      <c r="K132" s="95"/>
      <c r="L132" s="95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</row>
    <row r="133" spans="1:43" ht="15.75" outlineLevel="2">
      <c r="A133" s="83"/>
      <c r="B133" s="106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s="92" customFormat="1" ht="12.75" outlineLevel="1">
      <c r="A134" s="90"/>
      <c r="B134" s="105" t="s">
        <v>178</v>
      </c>
      <c r="C134" s="91">
        <f>SUM(C135:C138)</f>
        <v>-384</v>
      </c>
      <c r="D134" s="91">
        <f>SUM(D135:D138)</f>
        <v>-475</v>
      </c>
      <c r="E134" s="91">
        <f>SUM(E135:E138)</f>
        <v>-178</v>
      </c>
      <c r="F134" s="91">
        <f>SUM(F135:F138)</f>
        <v>-1480</v>
      </c>
      <c r="G134" s="91">
        <f>SUM(G135:G138)</f>
        <v>-541</v>
      </c>
      <c r="H134" s="91"/>
      <c r="I134" s="91"/>
      <c r="J134" s="91"/>
      <c r="K134" s="91"/>
      <c r="L134" s="91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</row>
    <row r="135" spans="1:43" ht="15.75" outlineLevel="2">
      <c r="A135" s="83"/>
      <c r="B135" s="106" t="s">
        <v>495</v>
      </c>
      <c r="C135" s="95">
        <v>-184</v>
      </c>
      <c r="D135" s="95">
        <v>-475</v>
      </c>
      <c r="E135" s="95">
        <v>-178</v>
      </c>
      <c r="F135" s="95">
        <v>-580</v>
      </c>
      <c r="G135" s="95">
        <v>-541</v>
      </c>
      <c r="H135" s="95"/>
      <c r="I135" s="95"/>
      <c r="J135" s="95"/>
      <c r="K135" s="95"/>
      <c r="L135" s="95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</row>
    <row r="136" spans="1:43" ht="15.75" outlineLevel="2">
      <c r="A136" s="83"/>
      <c r="B136" s="106" t="s">
        <v>496</v>
      </c>
      <c r="C136" s="95">
        <v>-200</v>
      </c>
      <c r="D136" s="95"/>
      <c r="E136" s="95"/>
      <c r="F136" s="95">
        <v>-500</v>
      </c>
      <c r="G136" s="95"/>
      <c r="H136" s="95"/>
      <c r="I136" s="95"/>
      <c r="J136" s="95"/>
      <c r="K136" s="95"/>
      <c r="L136" s="95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ht="15.75" outlineLevel="2">
      <c r="A137" s="83"/>
      <c r="B137" s="106" t="s">
        <v>620</v>
      </c>
      <c r="C137" s="95"/>
      <c r="D137" s="95"/>
      <c r="E137" s="95"/>
      <c r="F137" s="95">
        <v>-400</v>
      </c>
      <c r="G137" s="95"/>
      <c r="H137" s="95"/>
      <c r="I137" s="95"/>
      <c r="J137" s="95"/>
      <c r="K137" s="95"/>
      <c r="L137" s="95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</row>
    <row r="138" spans="1:43" ht="15.75" outlineLevel="2">
      <c r="A138" s="83"/>
      <c r="B138" s="106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s="92" customFormat="1" ht="12.75" outlineLevel="1">
      <c r="A139" s="90"/>
      <c r="B139" s="105" t="s">
        <v>590</v>
      </c>
      <c r="C139" s="91">
        <f>C140</f>
        <v>0</v>
      </c>
      <c r="D139" s="91">
        <f t="shared" ref="D139:G139" si="14">D140</f>
        <v>-8800</v>
      </c>
      <c r="E139" s="91">
        <f t="shared" si="14"/>
        <v>-13736</v>
      </c>
      <c r="F139" s="91">
        <f t="shared" si="14"/>
        <v>-17550</v>
      </c>
      <c r="G139" s="91">
        <f t="shared" si="14"/>
        <v>-31890</v>
      </c>
      <c r="H139" s="91"/>
      <c r="I139" s="91"/>
      <c r="J139" s="91"/>
      <c r="K139" s="91"/>
      <c r="L139" s="91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</row>
    <row r="140" spans="1:43" ht="15.75" outlineLevel="2">
      <c r="A140" s="83"/>
      <c r="B140" s="106" t="s">
        <v>498</v>
      </c>
      <c r="C140" s="95"/>
      <c r="D140" s="95">
        <v>-8800</v>
      </c>
      <c r="E140" s="95">
        <v>-13736</v>
      </c>
      <c r="F140" s="95">
        <v>-17550</v>
      </c>
      <c r="G140" s="95">
        <v>-31890</v>
      </c>
      <c r="H140" s="95"/>
      <c r="I140" s="95"/>
      <c r="J140" s="95"/>
      <c r="K140" s="95"/>
      <c r="L140" s="95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</row>
    <row r="141" spans="1:43" ht="15.75" outlineLevel="2">
      <c r="A141" s="83"/>
      <c r="B141" s="106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43" s="92" customFormat="1" ht="12.75" outlineLevel="1">
      <c r="A142" s="90"/>
      <c r="B142" s="105" t="s">
        <v>179</v>
      </c>
      <c r="C142" s="91">
        <f>SUM(C143:C145)</f>
        <v>-1939</v>
      </c>
      <c r="D142" s="91">
        <f>SUM(D143:D145)</f>
        <v>-2980</v>
      </c>
      <c r="E142" s="91">
        <f>SUM(E143:E145)</f>
        <v>-2019</v>
      </c>
      <c r="F142" s="91">
        <f>SUM(F143:F145)</f>
        <v>-2748</v>
      </c>
      <c r="G142" s="91">
        <f>SUM(G143:G145)</f>
        <v>-999</v>
      </c>
      <c r="H142" s="91"/>
      <c r="I142" s="91"/>
      <c r="J142" s="91"/>
      <c r="K142" s="91"/>
      <c r="L142" s="91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</row>
    <row r="143" spans="1:43" ht="15.75" outlineLevel="2">
      <c r="A143" s="83"/>
      <c r="B143" s="106" t="s">
        <v>621</v>
      </c>
      <c r="C143" s="95">
        <v>-1939</v>
      </c>
      <c r="D143" s="95">
        <v>-2980</v>
      </c>
      <c r="E143" s="95">
        <v>-283</v>
      </c>
      <c r="F143" s="95"/>
      <c r="G143" s="95"/>
      <c r="H143" s="95"/>
      <c r="I143" s="95"/>
      <c r="J143" s="95"/>
      <c r="K143" s="95"/>
      <c r="L143" s="95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ht="15.75" outlineLevel="2">
      <c r="A144" s="83"/>
      <c r="B144" s="106" t="s">
        <v>500</v>
      </c>
      <c r="C144" s="95"/>
      <c r="D144" s="95"/>
      <c r="E144" s="95">
        <v>-1736</v>
      </c>
      <c r="F144" s="95">
        <v>-2748</v>
      </c>
      <c r="G144" s="95">
        <v>-999</v>
      </c>
      <c r="H144" s="95"/>
      <c r="I144" s="95"/>
      <c r="J144" s="95"/>
      <c r="K144" s="95"/>
      <c r="L144" s="95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</row>
    <row r="145" spans="1:43" ht="15.75" outlineLevel="2">
      <c r="A145" s="83"/>
      <c r="B145" s="106"/>
      <c r="C145" s="95"/>
      <c r="D145" s="95"/>
      <c r="E145" s="95"/>
      <c r="I145" s="95"/>
      <c r="J145" s="95"/>
      <c r="K145" s="95"/>
      <c r="L145" s="95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</row>
    <row r="146" spans="1:43" s="92" customFormat="1" ht="12.75" outlineLevel="1">
      <c r="A146" s="90"/>
      <c r="B146" s="105" t="s">
        <v>180</v>
      </c>
      <c r="C146" s="91">
        <f>SUM(C147:C156)</f>
        <v>-6895</v>
      </c>
      <c r="D146" s="91">
        <f>SUM(D147:D156)</f>
        <v>-9268</v>
      </c>
      <c r="E146" s="91">
        <f>SUM(E147:E156)</f>
        <v>-11653</v>
      </c>
      <c r="F146" s="91">
        <f>SUM(F147:F156)</f>
        <v>-13053</v>
      </c>
      <c r="G146" s="91">
        <f>SUM(G147:G156)</f>
        <v>-16564</v>
      </c>
      <c r="H146" s="91"/>
      <c r="I146" s="91"/>
      <c r="J146" s="91"/>
      <c r="K146" s="91"/>
      <c r="L146" s="91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</row>
    <row r="147" spans="1:43" ht="15.75" outlineLevel="2">
      <c r="A147" s="83"/>
      <c r="B147" s="106" t="s">
        <v>145</v>
      </c>
      <c r="C147" s="95">
        <v>-26</v>
      </c>
      <c r="D147" s="95">
        <v>-21</v>
      </c>
      <c r="E147" s="95">
        <v>-12</v>
      </c>
      <c r="F147" s="95">
        <v>-7</v>
      </c>
      <c r="G147" s="95"/>
      <c r="H147" s="95"/>
      <c r="I147" s="95"/>
      <c r="J147" s="95"/>
      <c r="K147" s="95"/>
      <c r="L147" s="95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ht="15.75" outlineLevel="2">
      <c r="A148" s="83"/>
      <c r="B148" s="106" t="s">
        <v>622</v>
      </c>
      <c r="C148" s="95">
        <v>-550</v>
      </c>
      <c r="D148" s="95">
        <v>-476</v>
      </c>
      <c r="E148" s="95">
        <v>-538</v>
      </c>
      <c r="F148" s="95">
        <v>-493</v>
      </c>
      <c r="G148" s="95">
        <v>-417</v>
      </c>
      <c r="H148" s="95"/>
      <c r="I148" s="95"/>
      <c r="J148" s="95"/>
      <c r="K148" s="95"/>
      <c r="L148" s="95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  <row r="149" spans="1:43" ht="15.75" outlineLevel="2">
      <c r="A149" s="83"/>
      <c r="B149" s="106" t="s">
        <v>659</v>
      </c>
      <c r="C149" s="95">
        <v>-62</v>
      </c>
      <c r="D149" s="95"/>
      <c r="E149" s="95"/>
      <c r="F149" s="95"/>
      <c r="G149" s="95"/>
      <c r="H149" s="95"/>
      <c r="I149" s="95"/>
      <c r="J149" s="95"/>
      <c r="K149" s="95"/>
      <c r="L149" s="95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</row>
    <row r="150" spans="1:43" ht="15.75" outlineLevel="2">
      <c r="A150" s="83"/>
      <c r="B150" s="106" t="s">
        <v>623</v>
      </c>
      <c r="C150" s="95">
        <v>-610</v>
      </c>
      <c r="D150" s="95">
        <v>-1187</v>
      </c>
      <c r="E150" s="95">
        <v>-1157</v>
      </c>
      <c r="F150" s="95">
        <v>-993</v>
      </c>
      <c r="G150" s="95">
        <v>-814</v>
      </c>
      <c r="H150" s="95"/>
      <c r="I150" s="95"/>
      <c r="J150" s="95"/>
      <c r="K150" s="95"/>
      <c r="L150" s="95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</row>
    <row r="151" spans="1:43" ht="15.75" outlineLevel="2">
      <c r="A151" s="83"/>
      <c r="B151" s="106" t="s">
        <v>624</v>
      </c>
      <c r="C151" s="95">
        <v>-2045</v>
      </c>
      <c r="D151" s="95">
        <v>-3284</v>
      </c>
      <c r="E151" s="95">
        <v>-4351</v>
      </c>
      <c r="F151" s="95">
        <v>-3613</v>
      </c>
      <c r="G151" s="95">
        <v>-4846</v>
      </c>
      <c r="H151" s="95"/>
      <c r="I151" s="95"/>
      <c r="J151" s="95"/>
      <c r="K151" s="95"/>
      <c r="L151" s="95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</row>
    <row r="152" spans="1:43" ht="15.75" outlineLevel="2">
      <c r="A152" s="83"/>
      <c r="B152" s="243" t="s">
        <v>625</v>
      </c>
      <c r="C152" s="95">
        <v>-1148</v>
      </c>
      <c r="D152" s="95">
        <v>-738</v>
      </c>
      <c r="E152" s="95">
        <v>-1022</v>
      </c>
      <c r="F152" s="95">
        <v>-1018</v>
      </c>
      <c r="G152" s="95">
        <v>-864</v>
      </c>
      <c r="H152" s="95"/>
      <c r="I152" s="95"/>
      <c r="J152" s="95"/>
      <c r="K152" s="95"/>
      <c r="L152" s="95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 ht="15.75" outlineLevel="2">
      <c r="A153" s="83"/>
      <c r="B153" s="106" t="s">
        <v>626</v>
      </c>
      <c r="C153" s="95"/>
      <c r="D153" s="95">
        <v>-997</v>
      </c>
      <c r="E153" s="95">
        <v>-1445</v>
      </c>
      <c r="F153" s="95">
        <v>-2917</v>
      </c>
      <c r="G153" s="95">
        <v>-4059</v>
      </c>
      <c r="H153" s="95"/>
      <c r="I153" s="95"/>
      <c r="J153" s="95"/>
      <c r="K153" s="95"/>
      <c r="L153" s="95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</row>
    <row r="154" spans="1:43" ht="15.75" outlineLevel="2">
      <c r="A154" s="83"/>
      <c r="B154" s="106" t="s">
        <v>510</v>
      </c>
      <c r="C154" s="95">
        <v>-1772</v>
      </c>
      <c r="D154" s="95">
        <v>-1417</v>
      </c>
      <c r="E154" s="95">
        <v>-1639</v>
      </c>
      <c r="F154" s="95">
        <v>-1428</v>
      </c>
      <c r="G154" s="95">
        <v>-2340</v>
      </c>
      <c r="H154" s="95"/>
      <c r="I154" s="95"/>
      <c r="J154" s="95"/>
      <c r="K154" s="95"/>
      <c r="L154" s="95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</row>
    <row r="155" spans="1:43" ht="15.75" outlineLevel="2">
      <c r="A155" s="83"/>
      <c r="B155" s="106" t="s">
        <v>379</v>
      </c>
      <c r="C155" s="95">
        <v>-682</v>
      </c>
      <c r="D155" s="95">
        <v>-1148</v>
      </c>
      <c r="E155" s="95">
        <v>-1489</v>
      </c>
      <c r="F155" s="95">
        <v>-2584</v>
      </c>
      <c r="G155" s="95">
        <v>-3224</v>
      </c>
      <c r="H155" s="95"/>
      <c r="I155" s="95"/>
      <c r="J155" s="95"/>
      <c r="K155" s="95"/>
      <c r="L155" s="95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</row>
    <row r="156" spans="1:43" ht="15.75" outlineLevel="1">
      <c r="A156" s="83"/>
      <c r="B156" s="243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</row>
    <row r="157" spans="1:43" ht="15.75">
      <c r="A157" s="83"/>
      <c r="B157" s="100" t="s">
        <v>181</v>
      </c>
      <c r="C157" s="110">
        <f>C77+C79</f>
        <v>196847</v>
      </c>
      <c r="D157" s="110">
        <f>D77+D79</f>
        <v>190568</v>
      </c>
      <c r="E157" s="110">
        <f>E77+E79</f>
        <v>328297</v>
      </c>
      <c r="F157" s="110">
        <f>F77+F79</f>
        <v>298492</v>
      </c>
      <c r="G157" s="110">
        <f>G77+G79</f>
        <v>319625</v>
      </c>
      <c r="H157" s="277"/>
      <c r="I157" s="110">
        <f t="shared" ref="I157:L157" si="15">I77+I79</f>
        <v>453516</v>
      </c>
      <c r="J157" s="110">
        <f t="shared" si="15"/>
        <v>462019</v>
      </c>
      <c r="K157" s="110">
        <f t="shared" si="15"/>
        <v>479680</v>
      </c>
      <c r="L157" s="110">
        <f t="shared" si="15"/>
        <v>498222</v>
      </c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</row>
    <row r="158" spans="1:43" ht="16.5" thickBot="1">
      <c r="A158" s="83"/>
      <c r="B158" s="101" t="s">
        <v>106</v>
      </c>
      <c r="C158" s="102">
        <f>C157/C57</f>
        <v>0.22977489071373125</v>
      </c>
      <c r="D158" s="102">
        <f t="shared" ref="D158:F158" si="16">D157/D57</f>
        <v>0.22347804774508437</v>
      </c>
      <c r="E158" s="102">
        <f t="shared" si="16"/>
        <v>0.20353142335666868</v>
      </c>
      <c r="F158" s="102">
        <f t="shared" si="16"/>
        <v>0.15234881208125284</v>
      </c>
      <c r="G158" s="102">
        <f t="shared" ref="G158" si="17">G157/G57</f>
        <v>0.15546908250744818</v>
      </c>
      <c r="H158" s="276"/>
      <c r="I158" s="102">
        <f t="shared" ref="I158:L158" si="18">I157/I57</f>
        <v>0.21420929800870317</v>
      </c>
      <c r="J158" s="102">
        <f t="shared" si="18"/>
        <v>0.19838686337933401</v>
      </c>
      <c r="K158" s="102">
        <f t="shared" si="18"/>
        <v>0.19616222478584627</v>
      </c>
      <c r="L158" s="102">
        <f t="shared" si="18"/>
        <v>0.19404273814851208</v>
      </c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</row>
    <row r="159" spans="1:43" ht="15.75">
      <c r="A159" s="107"/>
      <c r="B159" s="83" t="s">
        <v>262</v>
      </c>
      <c r="C159" s="104">
        <f>C160</f>
        <v>0</v>
      </c>
      <c r="D159" s="104">
        <f t="shared" ref="D159:G159" si="19">D160</f>
        <v>18902</v>
      </c>
      <c r="E159" s="104">
        <f t="shared" si="19"/>
        <v>9378</v>
      </c>
      <c r="F159" s="104">
        <f t="shared" si="19"/>
        <v>50923</v>
      </c>
      <c r="G159" s="104">
        <f t="shared" si="19"/>
        <v>47154</v>
      </c>
      <c r="H159" s="104"/>
      <c r="I159" s="104">
        <v>27144</v>
      </c>
      <c r="J159" s="104">
        <v>27144</v>
      </c>
      <c r="K159" s="104">
        <v>27144</v>
      </c>
      <c r="L159" s="104">
        <v>27144</v>
      </c>
      <c r="M159" s="108"/>
      <c r="N159" s="108"/>
      <c r="O159" s="109"/>
      <c r="P159" s="109"/>
      <c r="Q159" s="109"/>
      <c r="R159" s="109"/>
      <c r="S159" s="109"/>
      <c r="T159" s="109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</row>
    <row r="160" spans="1:43" ht="15.75" outlineLevel="1">
      <c r="A160" s="83"/>
      <c r="B160" s="106" t="s">
        <v>262</v>
      </c>
      <c r="C160" s="95"/>
      <c r="D160" s="95">
        <v>18902</v>
      </c>
      <c r="E160" s="95">
        <v>9378</v>
      </c>
      <c r="F160" s="95">
        <v>50923</v>
      </c>
      <c r="G160" s="95">
        <v>47154</v>
      </c>
      <c r="H160" s="95"/>
      <c r="I160" s="95"/>
      <c r="J160" s="95"/>
      <c r="K160" s="95"/>
      <c r="L160" s="95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</row>
    <row r="161" spans="1:43" ht="15.75" outlineLevel="1">
      <c r="A161" s="83"/>
      <c r="B161" s="106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</row>
    <row r="162" spans="1:43" ht="15.75">
      <c r="A162" s="107"/>
      <c r="B162" s="97" t="s">
        <v>22</v>
      </c>
      <c r="C162" s="104">
        <f>SUM(C163:C168)</f>
        <v>-4125</v>
      </c>
      <c r="D162" s="104">
        <f>SUM(D163:D168)</f>
        <v>-4475</v>
      </c>
      <c r="E162" s="104">
        <f>SUM(E163:E168)</f>
        <v>-5351</v>
      </c>
      <c r="F162" s="104">
        <f>SUM(F163:F168)</f>
        <v>-4683</v>
      </c>
      <c r="G162" s="104">
        <f>SUM(G163:G168)</f>
        <v>-5030</v>
      </c>
      <c r="H162" s="104"/>
      <c r="I162" s="104">
        <v>-4507</v>
      </c>
      <c r="J162" s="104">
        <v>-4439</v>
      </c>
      <c r="K162" s="104">
        <v>-4347</v>
      </c>
      <c r="L162" s="104">
        <v>-4359</v>
      </c>
      <c r="M162" s="108"/>
      <c r="N162" s="108"/>
      <c r="O162" s="109"/>
      <c r="P162" s="109"/>
      <c r="Q162" s="109"/>
      <c r="R162" s="109"/>
      <c r="S162" s="109"/>
      <c r="T162" s="109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</row>
    <row r="163" spans="1:43" ht="15.75" outlineLevel="1">
      <c r="A163" s="83"/>
      <c r="B163" s="106" t="s">
        <v>126</v>
      </c>
      <c r="C163" s="95">
        <v>-413</v>
      </c>
      <c r="D163" s="95">
        <v>-684</v>
      </c>
      <c r="E163" s="95">
        <v>-1053</v>
      </c>
      <c r="F163" s="95">
        <v>-959</v>
      </c>
      <c r="G163" s="95">
        <v>-1035</v>
      </c>
      <c r="H163" s="95"/>
      <c r="I163" s="95"/>
      <c r="J163" s="95"/>
      <c r="K163" s="95"/>
      <c r="L163" s="95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</row>
    <row r="164" spans="1:43" ht="15.75" outlineLevel="1">
      <c r="A164" s="83"/>
      <c r="B164" s="106" t="s">
        <v>627</v>
      </c>
      <c r="C164" s="95">
        <v>-510</v>
      </c>
      <c r="D164" s="95">
        <v>-551</v>
      </c>
      <c r="E164" s="95">
        <v>-1184</v>
      </c>
      <c r="F164" s="95">
        <v>-940</v>
      </c>
      <c r="G164" s="95">
        <v>-880</v>
      </c>
      <c r="H164" s="95"/>
      <c r="I164" s="95"/>
      <c r="J164" s="95"/>
      <c r="K164" s="95"/>
      <c r="L164" s="95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</row>
    <row r="165" spans="1:43" ht="15.75" outlineLevel="1">
      <c r="A165" s="83"/>
      <c r="B165" s="106" t="s">
        <v>382</v>
      </c>
      <c r="C165" s="95">
        <v>-257</v>
      </c>
      <c r="D165" s="95">
        <v>-257</v>
      </c>
      <c r="E165" s="95">
        <v>-130</v>
      </c>
      <c r="F165" s="95">
        <v>-199</v>
      </c>
      <c r="G165" s="95">
        <v>-341</v>
      </c>
      <c r="H165" s="95"/>
      <c r="I165" s="95"/>
      <c r="J165" s="95"/>
      <c r="K165" s="95"/>
      <c r="L165" s="95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</row>
    <row r="166" spans="1:43" ht="15.75" outlineLevel="1">
      <c r="A166" s="83"/>
      <c r="B166" s="106" t="s">
        <v>514</v>
      </c>
      <c r="C166" s="95">
        <v>-2945</v>
      </c>
      <c r="D166" s="95">
        <v>-2983</v>
      </c>
      <c r="E166" s="95">
        <v>-2956</v>
      </c>
      <c r="F166" s="95">
        <v>-2585</v>
      </c>
      <c r="G166" s="95">
        <v>-2774</v>
      </c>
      <c r="H166" s="95"/>
      <c r="I166" s="95"/>
      <c r="J166" s="95"/>
      <c r="K166" s="95"/>
      <c r="L166" s="95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</row>
    <row r="167" spans="1:43" ht="15.75" outlineLevel="1">
      <c r="A167" s="83"/>
      <c r="B167" s="106" t="s">
        <v>628</v>
      </c>
      <c r="C167" s="95"/>
      <c r="D167" s="95"/>
      <c r="E167" s="95">
        <v>-28</v>
      </c>
      <c r="F167" s="95"/>
      <c r="G167" s="95"/>
      <c r="H167" s="95"/>
      <c r="I167" s="95"/>
      <c r="J167" s="95"/>
      <c r="K167" s="95"/>
      <c r="L167" s="95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</row>
    <row r="168" spans="1:43" ht="15.75" outlineLevel="1">
      <c r="A168" s="8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</row>
    <row r="169" spans="1:43" ht="15.75">
      <c r="A169" s="107"/>
      <c r="B169" s="97" t="s">
        <v>21</v>
      </c>
      <c r="C169" s="104">
        <f>C171+C179</f>
        <v>-124554</v>
      </c>
      <c r="D169" s="104">
        <f>D171+D179</f>
        <v>-132099</v>
      </c>
      <c r="E169" s="104">
        <f>E171+E179</f>
        <v>-193760</v>
      </c>
      <c r="F169" s="104">
        <f>F171+F179</f>
        <v>-194669</v>
      </c>
      <c r="G169" s="104">
        <f>G171+G179</f>
        <v>-191170</v>
      </c>
      <c r="H169" s="104"/>
      <c r="I169" s="104">
        <v>-204117</v>
      </c>
      <c r="J169" s="104">
        <v>-205117</v>
      </c>
      <c r="K169" s="104">
        <v>-206113</v>
      </c>
      <c r="L169" s="104">
        <v>-207113</v>
      </c>
      <c r="M169" s="108"/>
      <c r="N169" s="108"/>
      <c r="O169" s="109"/>
      <c r="P169" s="109"/>
      <c r="Q169" s="109"/>
      <c r="R169" s="109"/>
      <c r="S169" s="109"/>
      <c r="T169" s="109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</row>
    <row r="170" spans="1:43" s="96" customFormat="1" ht="12.75" outlineLevel="1">
      <c r="A170" s="93"/>
      <c r="B170" s="106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</row>
    <row r="171" spans="1:43" s="92" customFormat="1" ht="12.75" outlineLevel="1">
      <c r="A171" s="90"/>
      <c r="B171" s="105" t="s">
        <v>182</v>
      </c>
      <c r="C171" s="91">
        <f>SUM(C172:C178)</f>
        <v>-110130</v>
      </c>
      <c r="D171" s="91">
        <f>SUM(D172:D178)</f>
        <v>-115573</v>
      </c>
      <c r="E171" s="91">
        <f>SUM(E172:E178)</f>
        <v>-169693</v>
      </c>
      <c r="F171" s="91">
        <f>SUM(F172:F178)</f>
        <v>-172392</v>
      </c>
      <c r="G171" s="91">
        <f>SUM(G172:G178)</f>
        <v>-167095</v>
      </c>
      <c r="H171" s="91"/>
      <c r="I171" s="91"/>
      <c r="J171" s="91"/>
      <c r="K171" s="91"/>
      <c r="L171" s="91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</row>
    <row r="172" spans="1:43" ht="15.75" outlineLevel="2">
      <c r="A172" s="83"/>
      <c r="B172" s="106" t="s">
        <v>182</v>
      </c>
      <c r="C172" s="95">
        <v>-90470</v>
      </c>
      <c r="D172" s="95">
        <v>-99318</v>
      </c>
      <c r="E172" s="95">
        <v>-142924</v>
      </c>
      <c r="F172" s="95">
        <v>-141042</v>
      </c>
      <c r="G172" s="95">
        <v>-152182</v>
      </c>
      <c r="H172" s="95"/>
      <c r="I172" s="95"/>
      <c r="J172" s="95"/>
      <c r="K172" s="95"/>
      <c r="L172" s="95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</row>
    <row r="173" spans="1:43" ht="15.75" outlineLevel="2">
      <c r="A173" s="83"/>
      <c r="B173" s="106" t="s">
        <v>629</v>
      </c>
      <c r="C173" s="95">
        <v>-153</v>
      </c>
      <c r="D173" s="95">
        <v>-236</v>
      </c>
      <c r="E173" s="95">
        <v>-236</v>
      </c>
      <c r="F173" s="95">
        <v>-330</v>
      </c>
      <c r="G173" s="95"/>
      <c r="H173" s="95"/>
      <c r="I173" s="95"/>
      <c r="J173" s="95"/>
      <c r="K173" s="95"/>
      <c r="L173" s="95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</row>
    <row r="174" spans="1:43" ht="15.75" outlineLevel="2">
      <c r="A174" s="83"/>
      <c r="B174" s="106" t="s">
        <v>388</v>
      </c>
      <c r="C174" s="95">
        <v>-13500</v>
      </c>
      <c r="D174" s="95">
        <v>-13000</v>
      </c>
      <c r="E174" s="95">
        <v>-19200</v>
      </c>
      <c r="F174" s="95">
        <v>-23400</v>
      </c>
      <c r="G174" s="95"/>
      <c r="H174" s="95"/>
      <c r="I174" s="95"/>
      <c r="J174" s="95"/>
      <c r="K174" s="95"/>
      <c r="L174" s="95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</row>
    <row r="175" spans="1:43" ht="15.75" outlineLevel="2">
      <c r="A175" s="83"/>
      <c r="B175" s="106" t="s">
        <v>524</v>
      </c>
      <c r="C175" s="95">
        <v>-1398</v>
      </c>
      <c r="D175" s="95">
        <v>-271</v>
      </c>
      <c r="E175" s="95">
        <v>-3177</v>
      </c>
      <c r="F175" s="95">
        <v>207</v>
      </c>
      <c r="G175" s="95">
        <v>-245</v>
      </c>
      <c r="H175" s="95"/>
      <c r="I175" s="95"/>
      <c r="J175" s="95"/>
      <c r="K175" s="95"/>
      <c r="L175" s="95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</row>
    <row r="176" spans="1:43" ht="15.75" outlineLevel="2">
      <c r="A176" s="83"/>
      <c r="B176" s="106" t="s">
        <v>630</v>
      </c>
      <c r="C176" s="95">
        <v>-3802</v>
      </c>
      <c r="D176" s="95">
        <v>-748</v>
      </c>
      <c r="E176" s="95">
        <v>-264</v>
      </c>
      <c r="F176" s="95"/>
      <c r="G176" s="95"/>
      <c r="H176" s="95"/>
      <c r="I176" s="95"/>
      <c r="J176" s="95"/>
      <c r="K176" s="95"/>
      <c r="L176" s="95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  <row r="177" spans="1:43" ht="15.75" outlineLevel="2">
      <c r="A177" s="83"/>
      <c r="B177" s="106" t="s">
        <v>392</v>
      </c>
      <c r="C177" s="95">
        <v>-807</v>
      </c>
      <c r="D177" s="95">
        <v>-2000</v>
      </c>
      <c r="E177" s="95">
        <v>-3892</v>
      </c>
      <c r="F177" s="95">
        <v>-7827</v>
      </c>
      <c r="G177" s="95">
        <v>-14668</v>
      </c>
      <c r="H177" s="95"/>
      <c r="I177" s="95"/>
      <c r="J177" s="95"/>
      <c r="K177" s="95"/>
      <c r="L177" s="95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</row>
    <row r="178" spans="1:43" ht="15.75" outlineLevel="2">
      <c r="A178" s="83"/>
      <c r="B178" s="106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</row>
    <row r="179" spans="1:43" s="92" customFormat="1" ht="12.75" outlineLevel="1">
      <c r="A179" s="90"/>
      <c r="B179" s="105" t="s">
        <v>19</v>
      </c>
      <c r="C179" s="91">
        <f>SUM(C180:C186)</f>
        <v>-14424</v>
      </c>
      <c r="D179" s="91">
        <f>SUM(D180:D186)</f>
        <v>-16526</v>
      </c>
      <c r="E179" s="91">
        <f>SUM(E180:E186)</f>
        <v>-24067</v>
      </c>
      <c r="F179" s="91">
        <f>SUM(F180:F186)</f>
        <v>-22277</v>
      </c>
      <c r="G179" s="91">
        <f>SUM(G180:G186)</f>
        <v>-24075</v>
      </c>
      <c r="H179" s="91"/>
      <c r="I179" s="91"/>
      <c r="J179" s="91"/>
      <c r="K179" s="91"/>
      <c r="L179" s="91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</row>
    <row r="180" spans="1:43" ht="15.75" outlineLevel="2">
      <c r="A180" s="83"/>
      <c r="B180" s="106" t="s">
        <v>631</v>
      </c>
      <c r="C180" s="95">
        <v>-10529</v>
      </c>
      <c r="D180" s="95">
        <v>-12696</v>
      </c>
      <c r="E180" s="95">
        <v>-17879</v>
      </c>
      <c r="F180" s="95">
        <v>-17289</v>
      </c>
      <c r="G180" s="95">
        <v>-18395</v>
      </c>
      <c r="H180" s="95"/>
      <c r="I180" s="95"/>
      <c r="J180" s="95"/>
      <c r="K180" s="95"/>
      <c r="L180" s="95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</row>
    <row r="181" spans="1:43" ht="15.75" outlineLevel="2">
      <c r="A181" s="83"/>
      <c r="B181" s="106" t="s">
        <v>399</v>
      </c>
      <c r="C181" s="95">
        <v>-687</v>
      </c>
      <c r="D181" s="95">
        <v>-1201</v>
      </c>
      <c r="E181" s="95">
        <v>-2531</v>
      </c>
      <c r="F181" s="95">
        <v>-2289</v>
      </c>
      <c r="G181" s="95">
        <v>-2444</v>
      </c>
      <c r="H181" s="95"/>
      <c r="I181" s="95"/>
      <c r="J181" s="95"/>
      <c r="K181" s="95"/>
      <c r="L181" s="95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</row>
    <row r="182" spans="1:43" ht="15.75" outlineLevel="2">
      <c r="A182" s="83"/>
      <c r="B182" s="106" t="s">
        <v>652</v>
      </c>
      <c r="C182" s="95">
        <v>-1684</v>
      </c>
      <c r="D182" s="95">
        <v>-1806</v>
      </c>
      <c r="E182" s="95">
        <v>-2404</v>
      </c>
      <c r="F182" s="95">
        <v>-2239</v>
      </c>
      <c r="G182" s="95">
        <v>-2353</v>
      </c>
      <c r="H182" s="95"/>
      <c r="I182" s="95"/>
      <c r="J182" s="95"/>
      <c r="K182" s="95"/>
      <c r="L182" s="95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</row>
    <row r="183" spans="1:43" ht="15.75" outlineLevel="2">
      <c r="A183" s="83"/>
      <c r="B183" s="106" t="s">
        <v>651</v>
      </c>
      <c r="C183" s="95">
        <v>-1015</v>
      </c>
      <c r="D183" s="95">
        <v>-340</v>
      </c>
      <c r="E183" s="95"/>
      <c r="F183" s="95"/>
      <c r="G183" s="95"/>
      <c r="H183" s="95"/>
      <c r="I183" s="95"/>
      <c r="J183" s="95"/>
      <c r="K183" s="95"/>
      <c r="L183" s="95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</row>
    <row r="184" spans="1:43" ht="15.75" outlineLevel="2">
      <c r="A184" s="83"/>
      <c r="B184" s="106" t="s">
        <v>632</v>
      </c>
      <c r="C184" s="95">
        <v>-119</v>
      </c>
      <c r="D184" s="95">
        <v>-63</v>
      </c>
      <c r="E184" s="95">
        <v>-626</v>
      </c>
      <c r="F184" s="95">
        <v>132</v>
      </c>
      <c r="G184" s="95">
        <v>-244</v>
      </c>
      <c r="H184" s="95"/>
      <c r="I184" s="95"/>
      <c r="J184" s="95"/>
      <c r="K184" s="95"/>
      <c r="L184" s="95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</row>
    <row r="185" spans="1:43" ht="15.75" outlineLevel="2">
      <c r="A185" s="83"/>
      <c r="B185" s="106" t="s">
        <v>408</v>
      </c>
      <c r="C185" s="95">
        <v>-390</v>
      </c>
      <c r="D185" s="32">
        <v>-420</v>
      </c>
      <c r="E185" s="95">
        <v>-627</v>
      </c>
      <c r="F185" s="95">
        <v>-592</v>
      </c>
      <c r="G185" s="95">
        <v>-639</v>
      </c>
      <c r="H185" s="95"/>
      <c r="I185" s="95"/>
      <c r="J185" s="95"/>
      <c r="K185" s="95"/>
      <c r="L185" s="95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</row>
    <row r="186" spans="1:43" ht="15.75" outlineLevel="1">
      <c r="A186" s="83"/>
      <c r="B186" s="243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</row>
    <row r="187" spans="1:43" ht="15.75">
      <c r="A187" s="83"/>
      <c r="B187" s="97" t="s">
        <v>20</v>
      </c>
      <c r="C187" s="89">
        <v>0</v>
      </c>
      <c r="D187" s="89">
        <v>0</v>
      </c>
      <c r="E187" s="89">
        <v>0</v>
      </c>
      <c r="F187" s="89">
        <v>0</v>
      </c>
      <c r="G187" s="89">
        <v>0</v>
      </c>
      <c r="H187" s="89"/>
      <c r="I187" s="89"/>
      <c r="J187" s="89"/>
      <c r="K187" s="89"/>
      <c r="L187" s="89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</row>
    <row r="188" spans="1:43" ht="15.75">
      <c r="A188" s="83"/>
      <c r="B188" s="100" t="s">
        <v>24</v>
      </c>
      <c r="C188" s="110">
        <f>C157+C159+C162+C169+C187</f>
        <v>68168</v>
      </c>
      <c r="D188" s="110">
        <f>D157+D159+D162+D169+D187</f>
        <v>72896</v>
      </c>
      <c r="E188" s="110">
        <f>E157+E159+E162+E169+E187</f>
        <v>138564</v>
      </c>
      <c r="F188" s="110">
        <f>F157+F159+F162+F169+F187</f>
        <v>150063</v>
      </c>
      <c r="G188" s="110">
        <f>G157+G159+G162+G169+G187</f>
        <v>170579</v>
      </c>
      <c r="H188" s="277"/>
      <c r="I188" s="110">
        <f t="shared" ref="I188:L188" si="20">I157+I159+I162+I169+I187</f>
        <v>272036</v>
      </c>
      <c r="J188" s="110">
        <f t="shared" si="20"/>
        <v>279607</v>
      </c>
      <c r="K188" s="110">
        <f t="shared" si="20"/>
        <v>296364</v>
      </c>
      <c r="L188" s="110">
        <f t="shared" si="20"/>
        <v>313894</v>
      </c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</row>
    <row r="189" spans="1:43" ht="16.5" thickBot="1">
      <c r="A189" s="83"/>
      <c r="B189" s="101" t="s">
        <v>106</v>
      </c>
      <c r="C189" s="102">
        <f>C188/C57</f>
        <v>7.9570909133355516E-2</v>
      </c>
      <c r="D189" s="102">
        <f t="shared" ref="D189:F189" si="21">D188/D57</f>
        <v>8.5484739139969304E-2</v>
      </c>
      <c r="E189" s="102">
        <f t="shared" si="21"/>
        <v>8.5904312698542595E-2</v>
      </c>
      <c r="F189" s="102">
        <f t="shared" si="21"/>
        <v>7.6591398722073101E-2</v>
      </c>
      <c r="G189" s="102">
        <f t="shared" ref="G189" si="22">G188/G57</f>
        <v>8.297148416124521E-2</v>
      </c>
      <c r="H189" s="276"/>
      <c r="I189" s="102">
        <f t="shared" ref="I189:L189" si="23">I188/I57</f>
        <v>0.12849081530330919</v>
      </c>
      <c r="J189" s="102">
        <f t="shared" si="23"/>
        <v>0.12006076743360218</v>
      </c>
      <c r="K189" s="102">
        <f t="shared" si="23"/>
        <v>0.12119625914449747</v>
      </c>
      <c r="L189" s="102">
        <f t="shared" si="23"/>
        <v>0.12225243214548746</v>
      </c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</row>
    <row r="190" spans="1:43" ht="15.75">
      <c r="A190" s="83"/>
      <c r="B190" s="97" t="s">
        <v>183</v>
      </c>
      <c r="C190" s="89">
        <f>SUM(C191:C192)</f>
        <v>3751</v>
      </c>
      <c r="D190" s="89">
        <f>SUM(D191:D192)</f>
        <v>6</v>
      </c>
      <c r="E190" s="89">
        <f>SUM(E191:E192)</f>
        <v>3064</v>
      </c>
      <c r="F190" s="89">
        <f>SUM(F191:F192)</f>
        <v>1002</v>
      </c>
      <c r="G190" s="89">
        <f>SUM(G191:G192)</f>
        <v>285</v>
      </c>
      <c r="H190" s="89"/>
      <c r="I190" s="89"/>
      <c r="J190" s="89"/>
      <c r="K190" s="89"/>
      <c r="L190" s="89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</row>
    <row r="191" spans="1:43" ht="15.75" outlineLevel="1">
      <c r="A191" s="83"/>
      <c r="B191" s="106" t="s">
        <v>580</v>
      </c>
      <c r="C191" s="95">
        <v>3751</v>
      </c>
      <c r="D191" s="95">
        <v>6</v>
      </c>
      <c r="E191" s="95">
        <v>3064</v>
      </c>
      <c r="F191" s="95">
        <v>1002</v>
      </c>
      <c r="G191" s="95">
        <v>285</v>
      </c>
      <c r="H191" s="95"/>
      <c r="I191" s="95"/>
      <c r="J191" s="95"/>
      <c r="K191" s="95"/>
      <c r="L191" s="95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</row>
    <row r="192" spans="1:43" ht="15.75" outlineLevel="1">
      <c r="A192" s="83"/>
      <c r="B192" s="106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</row>
    <row r="193" spans="1:43" ht="15.75">
      <c r="A193" s="83"/>
      <c r="B193" s="97" t="s">
        <v>12</v>
      </c>
      <c r="C193" s="89">
        <f t="shared" ref="C193:G193" si="24">C194</f>
        <v>8</v>
      </c>
      <c r="D193" s="89">
        <f t="shared" si="24"/>
        <v>970</v>
      </c>
      <c r="E193" s="89">
        <f t="shared" si="24"/>
        <v>29</v>
      </c>
      <c r="F193" s="89">
        <f t="shared" si="24"/>
        <v>1256</v>
      </c>
      <c r="G193" s="89">
        <f t="shared" si="24"/>
        <v>76</v>
      </c>
      <c r="H193" s="89"/>
      <c r="I193" s="89"/>
      <c r="J193" s="89"/>
      <c r="K193" s="89"/>
      <c r="L193" s="89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</row>
    <row r="194" spans="1:43" ht="15.75" outlineLevel="1">
      <c r="A194" s="83"/>
      <c r="B194" s="106" t="s">
        <v>581</v>
      </c>
      <c r="C194" s="95">
        <v>8</v>
      </c>
      <c r="D194" s="95">
        <v>970</v>
      </c>
      <c r="E194" s="95">
        <v>29</v>
      </c>
      <c r="F194" s="95">
        <v>1256</v>
      </c>
      <c r="G194" s="95">
        <v>76</v>
      </c>
      <c r="H194" s="95"/>
      <c r="I194" s="95"/>
      <c r="J194" s="95"/>
      <c r="K194" s="95"/>
      <c r="L194" s="95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</row>
    <row r="195" spans="1:43" ht="15.75" outlineLevel="1">
      <c r="A195" s="83"/>
      <c r="B195" s="106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ht="15.75">
      <c r="A196" s="83"/>
      <c r="B196" s="97" t="s">
        <v>184</v>
      </c>
      <c r="C196" s="89">
        <f>SUM(C197:C199)</f>
        <v>-38169</v>
      </c>
      <c r="D196" s="89">
        <f>SUM(D197:D199)</f>
        <v>-39462</v>
      </c>
      <c r="E196" s="89">
        <f>SUM(E197:E199)</f>
        <v>-40701</v>
      </c>
      <c r="F196" s="89">
        <f>SUM(F197:F199)</f>
        <v>-40946</v>
      </c>
      <c r="G196" s="89">
        <f>SUM(G197:G199)</f>
        <v>-53892</v>
      </c>
      <c r="H196" s="89"/>
      <c r="I196" s="89">
        <v>-185006</v>
      </c>
      <c r="J196" s="89">
        <v>-230831</v>
      </c>
      <c r="K196" s="89">
        <v>-229584</v>
      </c>
      <c r="L196" s="89">
        <v>-228773</v>
      </c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</row>
    <row r="197" spans="1:43" ht="15.75" outlineLevel="1">
      <c r="A197" s="83"/>
      <c r="B197" s="106" t="s">
        <v>409</v>
      </c>
      <c r="C197" s="95">
        <v>-1392</v>
      </c>
      <c r="D197" s="95">
        <v>-1392</v>
      </c>
      <c r="E197" s="95">
        <v>-1270</v>
      </c>
      <c r="F197" s="95">
        <v>-169</v>
      </c>
      <c r="G197" s="95"/>
      <c r="H197" s="95"/>
      <c r="I197" s="95"/>
      <c r="J197" s="95"/>
      <c r="K197" s="95"/>
      <c r="L197" s="95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</row>
    <row r="198" spans="1:43" ht="15.75" outlineLevel="1">
      <c r="A198" s="83"/>
      <c r="B198" s="106" t="s">
        <v>410</v>
      </c>
      <c r="C198" s="95">
        <v>-36777</v>
      </c>
      <c r="D198" s="95">
        <v>-38070</v>
      </c>
      <c r="E198" s="95">
        <v>-39431</v>
      </c>
      <c r="F198" s="95">
        <v>-40777</v>
      </c>
      <c r="G198" s="95">
        <v>-53892</v>
      </c>
      <c r="H198" s="95"/>
      <c r="I198" s="95"/>
      <c r="J198" s="95"/>
      <c r="K198" s="95"/>
      <c r="L198" s="95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</row>
    <row r="199" spans="1:43" ht="15.75" outlineLevel="1">
      <c r="A199" s="83"/>
      <c r="B199" s="106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</row>
    <row r="200" spans="1:43" ht="15.75">
      <c r="A200" s="83"/>
      <c r="B200" s="97" t="s">
        <v>23</v>
      </c>
      <c r="C200" s="89">
        <f>SUM(C201:C202)</f>
        <v>-4</v>
      </c>
      <c r="D200" s="89">
        <f>SUM(D201:D202)</f>
        <v>-11</v>
      </c>
      <c r="E200" s="89">
        <f>SUM(E201:E202)</f>
        <v>-7</v>
      </c>
      <c r="F200" s="89">
        <f>SUM(F201:F202)</f>
        <v>-56</v>
      </c>
      <c r="G200" s="89">
        <f>G201</f>
        <v>-19</v>
      </c>
      <c r="H200" s="89"/>
      <c r="I200" s="89"/>
      <c r="J200" s="89"/>
      <c r="K200" s="89"/>
      <c r="L200" s="89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ht="15.75" outlineLevel="1">
      <c r="A201" s="83"/>
      <c r="B201" s="106" t="s">
        <v>633</v>
      </c>
      <c r="C201" s="95">
        <v>-4</v>
      </c>
      <c r="D201" s="95">
        <v>-11</v>
      </c>
      <c r="E201" s="95">
        <v>-7</v>
      </c>
      <c r="F201" s="95">
        <v>-56</v>
      </c>
      <c r="G201" s="95">
        <v>-19</v>
      </c>
      <c r="H201" s="95"/>
      <c r="I201" s="95"/>
      <c r="J201" s="95"/>
      <c r="K201" s="95"/>
      <c r="L201" s="95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</row>
    <row r="202" spans="1:43" ht="15.75" outlineLevel="1">
      <c r="A202" s="83"/>
      <c r="B202" s="106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</row>
    <row r="203" spans="1:43" ht="15.75">
      <c r="A203" s="83"/>
      <c r="B203" s="100" t="s">
        <v>26</v>
      </c>
      <c r="C203" s="110">
        <f>C188+C190+C193+C200+C196</f>
        <v>33754</v>
      </c>
      <c r="D203" s="110">
        <f>D188+D190+D193+D200+D196</f>
        <v>34399</v>
      </c>
      <c r="E203" s="110">
        <f>E188+E190+E193+E200+E196</f>
        <v>100949</v>
      </c>
      <c r="F203" s="110">
        <f>F188+F190+F193+F200+F196</f>
        <v>111319</v>
      </c>
      <c r="G203" s="110">
        <f>G188+G190+G193+G200+G196</f>
        <v>117029</v>
      </c>
      <c r="H203" s="277"/>
      <c r="I203" s="110">
        <f t="shared" ref="I203:L203" si="25">I188+I190+I193+I200+I196</f>
        <v>87030</v>
      </c>
      <c r="J203" s="110">
        <f t="shared" si="25"/>
        <v>48776</v>
      </c>
      <c r="K203" s="110">
        <f t="shared" si="25"/>
        <v>66780</v>
      </c>
      <c r="L203" s="110">
        <f t="shared" si="25"/>
        <v>85121</v>
      </c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</row>
    <row r="204" spans="1:43" ht="16.5" thickBot="1">
      <c r="A204" s="83"/>
      <c r="B204" s="101" t="s">
        <v>106</v>
      </c>
      <c r="C204" s="102">
        <f>C203/C57</f>
        <v>3.9400253299015399E-2</v>
      </c>
      <c r="D204" s="102">
        <f t="shared" ref="D204:F204" si="26">D203/D57</f>
        <v>4.0339518515087304E-2</v>
      </c>
      <c r="E204" s="102">
        <f t="shared" si="26"/>
        <v>6.2584469722331754E-2</v>
      </c>
      <c r="F204" s="102">
        <f t="shared" si="26"/>
        <v>5.6816656433247743E-2</v>
      </c>
      <c r="G204" s="102">
        <f t="shared" ref="G204" si="27">G203/G57</f>
        <v>5.6924180701647717E-2</v>
      </c>
      <c r="H204" s="276"/>
      <c r="I204" s="102">
        <f t="shared" ref="I204:L204" si="28">I203/I57</f>
        <v>4.110689635139099E-2</v>
      </c>
      <c r="J204" s="102">
        <f t="shared" si="28"/>
        <v>2.0943982061755892E-2</v>
      </c>
      <c r="K204" s="102">
        <f t="shared" si="28"/>
        <v>2.7309275707135622E-2</v>
      </c>
      <c r="L204" s="102">
        <f t="shared" si="28"/>
        <v>3.3152112740785229E-2</v>
      </c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</row>
    <row r="205" spans="1:43" s="111" customFormat="1" ht="15.75">
      <c r="A205" s="83"/>
      <c r="B205" s="97" t="s">
        <v>29</v>
      </c>
      <c r="C205" s="89">
        <f>C206+C207</f>
        <v>-5114</v>
      </c>
      <c r="D205" s="89">
        <f>D206+D207</f>
        <v>-7016</v>
      </c>
      <c r="E205" s="89">
        <f>E206+E207</f>
        <v>-5632</v>
      </c>
      <c r="F205" s="89">
        <f>F206+F207</f>
        <v>-19080</v>
      </c>
      <c r="G205" s="89">
        <f>G206+G207</f>
        <v>-33649</v>
      </c>
      <c r="H205" s="89"/>
      <c r="I205" s="89">
        <v>-18113</v>
      </c>
      <c r="J205" s="89">
        <v>-23519</v>
      </c>
      <c r="K205" s="89">
        <v>-19979</v>
      </c>
      <c r="L205" s="89">
        <v>-16455</v>
      </c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</row>
    <row r="206" spans="1:43" ht="15.75" outlineLevel="1">
      <c r="A206" s="83"/>
      <c r="B206" s="105" t="s">
        <v>27</v>
      </c>
      <c r="C206" s="91"/>
      <c r="D206" s="91"/>
      <c r="E206" s="91"/>
      <c r="F206" s="91"/>
      <c r="G206" s="91"/>
      <c r="H206" s="91"/>
      <c r="I206" s="95"/>
      <c r="J206" s="95"/>
      <c r="K206" s="95"/>
      <c r="L206" s="95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</row>
    <row r="207" spans="1:43" ht="15.75" outlineLevel="1">
      <c r="A207" s="83"/>
      <c r="B207" s="105" t="s">
        <v>185</v>
      </c>
      <c r="C207" s="91">
        <f>SUM(C208:C218)</f>
        <v>-5114</v>
      </c>
      <c r="D207" s="91">
        <f t="shared" ref="D207:G207" si="29">SUM(D208:D218)</f>
        <v>-7016</v>
      </c>
      <c r="E207" s="91">
        <f t="shared" si="29"/>
        <v>-5632</v>
      </c>
      <c r="F207" s="91">
        <f t="shared" si="29"/>
        <v>-19080</v>
      </c>
      <c r="G207" s="91">
        <f t="shared" si="29"/>
        <v>-33649</v>
      </c>
      <c r="H207" s="91"/>
      <c r="I207" s="95"/>
      <c r="J207" s="95"/>
      <c r="K207" s="95"/>
      <c r="L207" s="95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</row>
    <row r="208" spans="1:43" ht="15.75" outlineLevel="2">
      <c r="A208" s="83"/>
      <c r="B208" s="106" t="s">
        <v>862</v>
      </c>
      <c r="C208" s="95"/>
      <c r="D208" s="95"/>
      <c r="E208" s="95"/>
      <c r="F208" s="95"/>
      <c r="G208" s="95">
        <v>-4448</v>
      </c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ht="15.75" outlineLevel="2">
      <c r="A209" s="83"/>
      <c r="B209" s="106" t="s">
        <v>634</v>
      </c>
      <c r="C209" s="95">
        <v>-551</v>
      </c>
      <c r="D209" s="95">
        <v>-510</v>
      </c>
      <c r="E209" s="95">
        <v>-38</v>
      </c>
      <c r="F209" s="95">
        <v>-133</v>
      </c>
      <c r="G209" s="95">
        <v>-23</v>
      </c>
      <c r="H209" s="95"/>
      <c r="I209" s="95"/>
      <c r="J209" s="95"/>
      <c r="K209" s="95"/>
      <c r="L209" s="95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</row>
    <row r="210" spans="1:43" ht="15.75" outlineLevel="2">
      <c r="A210" s="83"/>
      <c r="B210" s="106" t="s">
        <v>655</v>
      </c>
      <c r="C210" s="95">
        <v>-44</v>
      </c>
      <c r="D210" s="95">
        <v>-13</v>
      </c>
      <c r="E210" s="95"/>
      <c r="F210" s="95"/>
      <c r="G210" s="95"/>
      <c r="H210" s="95"/>
      <c r="I210" s="95"/>
      <c r="J210" s="95"/>
      <c r="K210" s="95"/>
      <c r="L210" s="95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</row>
    <row r="211" spans="1:43" ht="15.75" outlineLevel="2">
      <c r="A211" s="83"/>
      <c r="B211" s="106" t="s">
        <v>634</v>
      </c>
      <c r="C211" s="95">
        <v>-74</v>
      </c>
      <c r="D211" s="95">
        <v>-36</v>
      </c>
      <c r="E211" s="95">
        <v>-4</v>
      </c>
      <c r="F211" s="95"/>
      <c r="G211" s="95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ht="15.75" outlineLevel="2">
      <c r="A212" s="83"/>
      <c r="B212" s="106" t="s">
        <v>635</v>
      </c>
      <c r="C212" s="95">
        <v>-750</v>
      </c>
      <c r="D212" s="95">
        <v>-1467</v>
      </c>
      <c r="E212" s="95">
        <v>-813</v>
      </c>
      <c r="F212" s="95">
        <v>-612</v>
      </c>
      <c r="G212" s="95">
        <v>-409</v>
      </c>
      <c r="H212" s="95"/>
      <c r="I212" s="95"/>
      <c r="J212" s="95"/>
      <c r="K212" s="95"/>
      <c r="L212" s="95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</row>
    <row r="213" spans="1:43" ht="15.75" outlineLevel="2">
      <c r="A213" s="83"/>
      <c r="B213" s="106" t="s">
        <v>654</v>
      </c>
      <c r="C213" s="95">
        <v>-807</v>
      </c>
      <c r="D213" s="95">
        <v>-1049</v>
      </c>
      <c r="E213" s="95">
        <v>-957</v>
      </c>
      <c r="F213" s="95">
        <v>-864</v>
      </c>
      <c r="G213" s="95">
        <v>-770</v>
      </c>
      <c r="H213" s="95"/>
      <c r="I213" s="95"/>
      <c r="J213" s="95"/>
      <c r="K213" s="95"/>
      <c r="L213" s="95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</row>
    <row r="214" spans="1:43" ht="15.75" outlineLevel="2">
      <c r="A214" s="83"/>
      <c r="B214" s="106" t="s">
        <v>653</v>
      </c>
      <c r="C214" s="95">
        <v>-366</v>
      </c>
      <c r="D214" s="95">
        <v>-130</v>
      </c>
      <c r="E214" s="95"/>
      <c r="F214" s="95"/>
      <c r="G214" s="95"/>
      <c r="H214" s="95"/>
      <c r="I214" s="95"/>
      <c r="J214" s="95"/>
      <c r="K214" s="95"/>
      <c r="L214" s="95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</row>
    <row r="215" spans="1:43" ht="15.75" outlineLevel="2">
      <c r="A215" s="83"/>
      <c r="B215" s="106" t="s">
        <v>636</v>
      </c>
      <c r="C215" s="95"/>
      <c r="D215" s="95">
        <v>-220</v>
      </c>
      <c r="E215" s="95">
        <v>-656</v>
      </c>
      <c r="F215" s="95">
        <v>-530</v>
      </c>
      <c r="G215" s="95">
        <v>-365</v>
      </c>
      <c r="H215" s="95"/>
      <c r="I215" s="95"/>
      <c r="J215" s="95"/>
      <c r="K215" s="95"/>
      <c r="L215" s="95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</row>
    <row r="216" spans="1:43" ht="15.75" outlineLevel="2">
      <c r="A216" s="83"/>
      <c r="B216" s="106" t="s">
        <v>637</v>
      </c>
      <c r="C216" s="95"/>
      <c r="D216" s="95">
        <v>-171</v>
      </c>
      <c r="E216" s="95">
        <v>-543</v>
      </c>
      <c r="F216" s="95">
        <v>-403</v>
      </c>
      <c r="G216" s="95">
        <v>-275</v>
      </c>
      <c r="H216" s="95"/>
      <c r="I216" s="95"/>
      <c r="J216" s="95"/>
      <c r="K216" s="95"/>
      <c r="L216" s="95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</row>
    <row r="217" spans="1:43" ht="15.75" outlineLevel="2">
      <c r="A217" s="83"/>
      <c r="B217" s="106" t="s">
        <v>638</v>
      </c>
      <c r="C217" s="95">
        <v>-2522</v>
      </c>
      <c r="D217" s="95">
        <v>-3420</v>
      </c>
      <c r="E217" s="95">
        <v>-2621</v>
      </c>
      <c r="F217" s="95">
        <v>-16538</v>
      </c>
      <c r="G217" s="95">
        <v>-27359</v>
      </c>
      <c r="H217" s="95"/>
      <c r="I217" s="95"/>
      <c r="J217" s="95"/>
      <c r="K217" s="95"/>
      <c r="L217" s="95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</row>
    <row r="218" spans="1:43" ht="15.75" outlineLevel="1">
      <c r="A218" s="83"/>
      <c r="B218" s="106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</row>
    <row r="219" spans="1:43" s="96" customFormat="1" ht="15.75">
      <c r="A219" s="93"/>
      <c r="B219" s="100" t="s">
        <v>264</v>
      </c>
      <c r="C219" s="110">
        <f>+C203+C205</f>
        <v>28640</v>
      </c>
      <c r="D219" s="110">
        <f>+D203+D205</f>
        <v>27383</v>
      </c>
      <c r="E219" s="110">
        <f>+E203+E205</f>
        <v>95317</v>
      </c>
      <c r="F219" s="110">
        <f>+F203+F205</f>
        <v>92239</v>
      </c>
      <c r="G219" s="110">
        <f>+G203+G205</f>
        <v>83380</v>
      </c>
      <c r="H219" s="277"/>
      <c r="I219" s="110">
        <f t="shared" ref="I219:L219" si="30">+I203+I205</f>
        <v>68917</v>
      </c>
      <c r="J219" s="110">
        <f t="shared" si="30"/>
        <v>25257</v>
      </c>
      <c r="K219" s="110">
        <f t="shared" si="30"/>
        <v>46801</v>
      </c>
      <c r="L219" s="110">
        <f t="shared" si="30"/>
        <v>68666</v>
      </c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</row>
    <row r="220" spans="1:43" s="96" customFormat="1" ht="16.5" thickBot="1">
      <c r="A220" s="93"/>
      <c r="B220" s="101" t="s">
        <v>106</v>
      </c>
      <c r="C220" s="102">
        <f>+C219/C57</f>
        <v>3.3430800926817598E-2</v>
      </c>
      <c r="D220" s="102">
        <f t="shared" ref="D220:F220" si="31">+D219/D57</f>
        <v>3.2111893819548112E-2</v>
      </c>
      <c r="E220" s="102">
        <f t="shared" si="31"/>
        <v>5.9092847878864527E-2</v>
      </c>
      <c r="F220" s="102">
        <f t="shared" si="31"/>
        <v>4.7078320616842931E-2</v>
      </c>
      <c r="G220" s="102">
        <f t="shared" ref="G220" si="32">+G219/G57</f>
        <v>4.0556940475466652E-2</v>
      </c>
      <c r="H220" s="276"/>
      <c r="I220" s="102">
        <f t="shared" ref="I220:L220" si="33">+I219/I57</f>
        <v>3.2551579637467687E-2</v>
      </c>
      <c r="J220" s="102">
        <f t="shared" si="33"/>
        <v>1.0845131928279657E-2</v>
      </c>
      <c r="K220" s="102">
        <f t="shared" si="33"/>
        <v>1.913898491119578E-2</v>
      </c>
      <c r="L220" s="102">
        <f t="shared" si="33"/>
        <v>2.6743376763181333E-2</v>
      </c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</row>
    <row r="221" spans="1:43" ht="15.75">
      <c r="A221" s="83"/>
      <c r="B221" s="97" t="s">
        <v>30</v>
      </c>
      <c r="C221" s="89">
        <f t="shared" ref="C221:F221" si="34">C222+C227</f>
        <v>9047</v>
      </c>
      <c r="D221" s="89">
        <f t="shared" si="34"/>
        <v>4392</v>
      </c>
      <c r="E221" s="89">
        <f t="shared" si="34"/>
        <v>13764</v>
      </c>
      <c r="F221" s="89">
        <f t="shared" si="34"/>
        <v>5636</v>
      </c>
      <c r="G221" s="89">
        <f t="shared" ref="G221" si="35">G222+G227</f>
        <v>32819</v>
      </c>
      <c r="H221" s="89"/>
      <c r="I221" s="89">
        <v>16875</v>
      </c>
      <c r="J221" s="89">
        <v>36072</v>
      </c>
      <c r="K221" s="89">
        <v>36072</v>
      </c>
      <c r="L221" s="89">
        <v>36072</v>
      </c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</row>
    <row r="222" spans="1:43" ht="15.75" outlineLevel="1">
      <c r="A222" s="83"/>
      <c r="B222" s="105" t="s">
        <v>186</v>
      </c>
      <c r="C222" s="91">
        <f>SUM(C223:C225)</f>
        <v>12986</v>
      </c>
      <c r="D222" s="91">
        <f t="shared" ref="D222:F222" si="36">SUM(D223:D225)</f>
        <v>4762</v>
      </c>
      <c r="E222" s="91">
        <f t="shared" si="36"/>
        <v>16889</v>
      </c>
      <c r="F222" s="91">
        <f t="shared" si="36"/>
        <v>5636</v>
      </c>
      <c r="G222" s="91">
        <f t="shared" ref="G222" si="37">SUM(G223:G225)</f>
        <v>32997</v>
      </c>
      <c r="H222" s="91"/>
      <c r="I222" s="91"/>
      <c r="J222" s="91"/>
      <c r="K222" s="91"/>
      <c r="L222" s="91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</row>
    <row r="223" spans="1:43" ht="15.75" outlineLevel="2">
      <c r="A223" s="83"/>
      <c r="B223" s="106" t="s">
        <v>639</v>
      </c>
      <c r="C223" s="95">
        <v>8500</v>
      </c>
      <c r="D223" s="95"/>
      <c r="E223" s="95">
        <v>12000</v>
      </c>
      <c r="F223" s="95"/>
      <c r="G223" s="95">
        <v>19000</v>
      </c>
      <c r="H223" s="95"/>
      <c r="I223" s="95"/>
      <c r="J223" s="95"/>
      <c r="K223" s="95"/>
      <c r="L223" s="95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</row>
    <row r="224" spans="1:43" ht="15.75" outlineLevel="2">
      <c r="A224" s="83"/>
      <c r="B224" s="106" t="s">
        <v>640</v>
      </c>
      <c r="C224" s="95">
        <v>4486</v>
      </c>
      <c r="D224" s="95">
        <v>4762</v>
      </c>
      <c r="E224" s="95">
        <v>4762</v>
      </c>
      <c r="F224" s="95">
        <v>5636</v>
      </c>
      <c r="G224" s="95">
        <v>10570</v>
      </c>
      <c r="H224" s="95"/>
      <c r="I224" s="95"/>
      <c r="J224" s="95"/>
      <c r="K224" s="95"/>
      <c r="L224" s="95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</row>
    <row r="225" spans="1:43" ht="15.75" outlineLevel="2">
      <c r="A225" s="83"/>
      <c r="B225" s="106" t="s">
        <v>641</v>
      </c>
      <c r="C225" s="95"/>
      <c r="D225" s="95"/>
      <c r="E225" s="95">
        <v>127</v>
      </c>
      <c r="F225" s="95"/>
      <c r="G225" s="95">
        <v>3427</v>
      </c>
      <c r="H225" s="95"/>
      <c r="I225" s="95"/>
      <c r="J225" s="95"/>
      <c r="K225" s="95"/>
      <c r="L225" s="95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</row>
    <row r="226" spans="1:43" ht="15.75" outlineLevel="2">
      <c r="A226" s="83"/>
      <c r="B226" s="106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</row>
    <row r="227" spans="1:43" s="92" customFormat="1" ht="12.75" outlineLevel="1">
      <c r="A227" s="90"/>
      <c r="B227" s="105" t="s">
        <v>187</v>
      </c>
      <c r="C227" s="91">
        <f>SUM(C228:C231)</f>
        <v>-3939</v>
      </c>
      <c r="D227" s="91">
        <f t="shared" ref="D227:F227" si="38">SUM(D228:D231)</f>
        <v>-370</v>
      </c>
      <c r="E227" s="91">
        <f t="shared" si="38"/>
        <v>-3125</v>
      </c>
      <c r="F227" s="91">
        <f t="shared" si="38"/>
        <v>0</v>
      </c>
      <c r="G227" s="91">
        <f t="shared" ref="G227" si="39">SUM(G228:G231)</f>
        <v>-178</v>
      </c>
      <c r="H227" s="91"/>
      <c r="I227" s="91"/>
      <c r="J227" s="91"/>
      <c r="K227" s="91"/>
      <c r="L227" s="91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</row>
    <row r="228" spans="1:43" ht="15.75" outlineLevel="2">
      <c r="A228" s="83"/>
      <c r="B228" s="106" t="s">
        <v>660</v>
      </c>
      <c r="C228" s="95">
        <v>-200</v>
      </c>
      <c r="D228" s="95"/>
      <c r="E228" s="95"/>
      <c r="F228" s="95"/>
      <c r="G228" s="95"/>
      <c r="H228" s="95"/>
      <c r="I228" s="95"/>
      <c r="J228" s="95"/>
      <c r="K228" s="95"/>
      <c r="L228" s="95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</row>
    <row r="229" spans="1:43" ht="15.75" outlineLevel="2">
      <c r="A229" s="83"/>
      <c r="B229" s="106" t="s">
        <v>642</v>
      </c>
      <c r="C229" s="95">
        <v>-3739</v>
      </c>
      <c r="D229" s="95"/>
      <c r="E229" s="95">
        <v>-960</v>
      </c>
      <c r="F229" s="95"/>
      <c r="G229" s="95">
        <v>-178</v>
      </c>
      <c r="H229" s="95"/>
      <c r="I229" s="95"/>
      <c r="J229" s="95"/>
      <c r="K229" s="95"/>
      <c r="L229" s="95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</row>
    <row r="230" spans="1:43" ht="15.75" outlineLevel="2">
      <c r="A230" s="83"/>
      <c r="B230" s="106" t="s">
        <v>643</v>
      </c>
      <c r="C230" s="95"/>
      <c r="D230" s="95">
        <v>-370</v>
      </c>
      <c r="E230" s="95">
        <v>-2165</v>
      </c>
      <c r="F230" s="95"/>
      <c r="G230" s="95"/>
      <c r="H230" s="95"/>
      <c r="I230" s="95"/>
      <c r="J230" s="95"/>
      <c r="K230" s="95"/>
      <c r="L230" s="95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</row>
    <row r="231" spans="1:43" ht="15.75" outlineLevel="1">
      <c r="A231" s="83"/>
      <c r="B231" s="106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</row>
    <row r="232" spans="1:43" ht="15.75">
      <c r="A232" s="83"/>
      <c r="B232" s="83" t="s">
        <v>259</v>
      </c>
      <c r="C232" s="89">
        <f>SUM(C233:C235)</f>
        <v>-5684</v>
      </c>
      <c r="D232" s="89">
        <f t="shared" ref="D232:F232" si="40">SUM(D233:D235)</f>
        <v>-4767</v>
      </c>
      <c r="E232" s="89">
        <f t="shared" si="40"/>
        <v>-24523</v>
      </c>
      <c r="F232" s="89">
        <f t="shared" si="40"/>
        <v>-20079</v>
      </c>
      <c r="G232" s="89">
        <f t="shared" ref="G232" si="41">SUM(G233:G235)</f>
        <v>-24799</v>
      </c>
      <c r="H232" s="89"/>
      <c r="I232" s="89">
        <v>-17197</v>
      </c>
      <c r="J232" s="89">
        <v>-11082</v>
      </c>
      <c r="K232" s="89">
        <v>-16468</v>
      </c>
      <c r="L232" s="89">
        <v>-21935</v>
      </c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</row>
    <row r="233" spans="1:43" ht="15.75" outlineLevel="1">
      <c r="A233" s="83"/>
      <c r="B233" s="183" t="s">
        <v>644</v>
      </c>
      <c r="C233" s="95">
        <v>-5684</v>
      </c>
      <c r="D233" s="95">
        <v>-4767</v>
      </c>
      <c r="E233" s="95">
        <v>-24523</v>
      </c>
      <c r="F233" s="95">
        <v>-20319</v>
      </c>
      <c r="G233" s="95">
        <v>-24799</v>
      </c>
      <c r="H233" s="95"/>
      <c r="I233" s="95"/>
      <c r="J233" s="95"/>
      <c r="K233" s="95"/>
      <c r="L233" s="95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</row>
    <row r="234" spans="1:43" ht="15.75" outlineLevel="1">
      <c r="A234" s="83"/>
      <c r="B234" s="183" t="s">
        <v>645</v>
      </c>
      <c r="C234" s="95"/>
      <c r="D234" s="95"/>
      <c r="E234" s="95"/>
      <c r="F234" s="95">
        <v>240</v>
      </c>
      <c r="G234" s="95"/>
      <c r="H234" s="95"/>
      <c r="I234" s="95"/>
      <c r="J234" s="95"/>
      <c r="K234" s="95"/>
      <c r="L234" s="95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</row>
    <row r="235" spans="1:43" ht="15.75" outlineLevel="1">
      <c r="A235" s="83"/>
      <c r="B235" s="83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</row>
    <row r="236" spans="1:43" ht="15.75" outlineLevel="1">
      <c r="A236" s="83"/>
      <c r="B236" s="212" t="s">
        <v>265</v>
      </c>
      <c r="C236" s="89">
        <v>3</v>
      </c>
      <c r="D236" s="89">
        <v>7</v>
      </c>
      <c r="E236" s="89">
        <v>3</v>
      </c>
      <c r="F236" s="89">
        <v>-1</v>
      </c>
      <c r="G236" s="89">
        <v>-2</v>
      </c>
      <c r="H236" s="89"/>
      <c r="I236" s="89">
        <v>-3</v>
      </c>
      <c r="J236" s="89"/>
      <c r="K236" s="89"/>
      <c r="L236" s="89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</row>
    <row r="237" spans="1:43" ht="15.75" outlineLevel="1">
      <c r="A237" s="83"/>
      <c r="B237" s="83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</row>
    <row r="238" spans="1:43" ht="15.75">
      <c r="A238" s="83"/>
      <c r="B238" s="100" t="s">
        <v>32</v>
      </c>
      <c r="C238" s="182">
        <f>C203+C205+C221+C232+C236</f>
        <v>32006</v>
      </c>
      <c r="D238" s="182">
        <f>D203+D205+D221+D232+D236</f>
        <v>27015</v>
      </c>
      <c r="E238" s="182">
        <f>E203+E205+E221+E232+E236</f>
        <v>84561</v>
      </c>
      <c r="F238" s="182">
        <f>F203+F205+F221+F232+F236</f>
        <v>77795</v>
      </c>
      <c r="G238" s="182">
        <f>G203+G205+G221+G232+G236</f>
        <v>91398</v>
      </c>
      <c r="H238" s="277"/>
      <c r="I238" s="182">
        <f t="shared" ref="I238:L238" si="42">I203+I205+I221+I232+I236</f>
        <v>68592</v>
      </c>
      <c r="J238" s="182">
        <f t="shared" si="42"/>
        <v>50247</v>
      </c>
      <c r="K238" s="182">
        <f t="shared" si="42"/>
        <v>66405</v>
      </c>
      <c r="L238" s="182">
        <f t="shared" si="42"/>
        <v>82803</v>
      </c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</row>
    <row r="239" spans="1:43" ht="16.5" thickBot="1">
      <c r="A239" s="83"/>
      <c r="B239" s="101" t="s">
        <v>106</v>
      </c>
      <c r="C239" s="102">
        <f>C238/C57</f>
        <v>3.7359853856973602E-2</v>
      </c>
      <c r="D239" s="102">
        <f t="shared" ref="D239:F239" si="43">D238/D57</f>
        <v>3.1680342239166354E-2</v>
      </c>
      <c r="E239" s="102">
        <f t="shared" si="43"/>
        <v>5.2424544514458736E-2</v>
      </c>
      <c r="F239" s="102">
        <f t="shared" si="43"/>
        <v>3.9706175830042559E-2</v>
      </c>
      <c r="G239" s="102">
        <f t="shared" ref="G239" si="44">G238/G57</f>
        <v>4.4456983036420018E-2</v>
      </c>
      <c r="H239" s="276"/>
      <c r="I239" s="102">
        <f t="shared" ref="I239:L239" si="45">I238/I57</f>
        <v>3.2398072326032527E-2</v>
      </c>
      <c r="J239" s="102">
        <f t="shared" si="45"/>
        <v>2.1575616423180424E-2</v>
      </c>
      <c r="K239" s="102">
        <f t="shared" si="45"/>
        <v>2.7155921733038949E-2</v>
      </c>
      <c r="L239" s="102">
        <f t="shared" si="45"/>
        <v>3.2249320276726536E-2</v>
      </c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</row>
    <row r="240" spans="1:43" ht="15.75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</row>
    <row r="241" spans="1:43" ht="15.75">
      <c r="A241" s="83"/>
      <c r="B241" s="112" t="s">
        <v>189</v>
      </c>
      <c r="C241" s="113"/>
      <c r="D241" s="113"/>
      <c r="E241" s="113"/>
      <c r="F241" s="113"/>
      <c r="G241" s="113"/>
      <c r="H241" s="278"/>
      <c r="I241" s="113"/>
      <c r="J241" s="113"/>
      <c r="K241" s="113"/>
      <c r="L241" s="11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</row>
    <row r="242" spans="1:43" ht="15.75">
      <c r="A242" s="83"/>
      <c r="B242" s="114" t="s">
        <v>34</v>
      </c>
      <c r="C242" s="115" t="str">
        <f>IFERROR(C52/#REF!-1,"na ")</f>
        <v xml:space="preserve">na </v>
      </c>
      <c r="D242" s="115">
        <f t="shared" ref="D242:L242" si="46">IFERROR(D52/C52-1,"na ")</f>
        <v>3.5817387152458968E-2</v>
      </c>
      <c r="E242" s="115">
        <f t="shared" si="46"/>
        <v>0.98942162904548825</v>
      </c>
      <c r="F242" s="115">
        <f t="shared" si="46"/>
        <v>0.12085502340210397</v>
      </c>
      <c r="G242" s="115">
        <f t="shared" si="46"/>
        <v>0.11518851607889946</v>
      </c>
      <c r="H242" s="279"/>
      <c r="I242" s="115" t="str">
        <f>IFERROR(I52/#REF!-1,"na ")</f>
        <v xml:space="preserve">na </v>
      </c>
      <c r="J242" s="115">
        <f t="shared" si="46"/>
        <v>9.9999858300943378E-2</v>
      </c>
      <c r="K242" s="115">
        <f t="shared" si="46"/>
        <v>5.0000021469556843E-2</v>
      </c>
      <c r="L242" s="115">
        <f t="shared" si="46"/>
        <v>4.9999938658410459E-2</v>
      </c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</row>
    <row r="243" spans="1:43" ht="15.75">
      <c r="A243" s="83"/>
      <c r="B243" s="114" t="s">
        <v>16</v>
      </c>
      <c r="C243" s="115">
        <f t="shared" ref="C243:L243" si="47">C77/C52</f>
        <v>0.35733891602698303</v>
      </c>
      <c r="D243" s="115">
        <f t="shared" si="47"/>
        <v>0.41967647913992523</v>
      </c>
      <c r="E243" s="115">
        <f t="shared" si="47"/>
        <v>0.37828173067440124</v>
      </c>
      <c r="F243" s="115">
        <f t="shared" si="47"/>
        <v>0.33496395373059407</v>
      </c>
      <c r="G243" s="115">
        <f t="shared" ref="G243" si="48">G77/G52</f>
        <v>0.36250462232843678</v>
      </c>
      <c r="H243" s="279"/>
      <c r="I243" s="115">
        <f t="shared" si="47"/>
        <v>0.36999985357764142</v>
      </c>
      <c r="J243" s="115">
        <f t="shared" si="47"/>
        <v>0.36999990124003868</v>
      </c>
      <c r="K243" s="115">
        <f t="shared" si="47"/>
        <v>0.37000020038252618</v>
      </c>
      <c r="L243" s="115">
        <f t="shared" si="47"/>
        <v>0.3700000272629303</v>
      </c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</row>
    <row r="244" spans="1:43" ht="15.75">
      <c r="A244" s="83"/>
      <c r="B244" s="114" t="s">
        <v>24</v>
      </c>
      <c r="C244" s="115">
        <f t="shared" ref="C244:L244" si="49">C188/C52</f>
        <v>8.3456372963112591E-2</v>
      </c>
      <c r="D244" s="115">
        <f t="shared" si="49"/>
        <v>8.6158763027943452E-2</v>
      </c>
      <c r="E244" s="115">
        <f t="shared" si="49"/>
        <v>8.2322648412352317E-2</v>
      </c>
      <c r="F244" s="115">
        <f t="shared" si="49"/>
        <v>7.9541376749639431E-2</v>
      </c>
      <c r="G244" s="115">
        <f t="shared" ref="G244" si="50">G188/G52</f>
        <v>8.107682903991506E-2</v>
      </c>
      <c r="H244" s="279"/>
      <c r="I244" s="115">
        <f t="shared" si="49"/>
        <v>0.12849081530330919</v>
      </c>
      <c r="J244" s="115">
        <f t="shared" si="49"/>
        <v>0.12006076743360218</v>
      </c>
      <c r="K244" s="115">
        <f t="shared" si="49"/>
        <v>0.12119625914449747</v>
      </c>
      <c r="L244" s="115">
        <f t="shared" si="49"/>
        <v>0.12225243214548746</v>
      </c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</row>
    <row r="245" spans="1:43" ht="15.75">
      <c r="A245" s="83"/>
      <c r="B245" s="114" t="s">
        <v>26</v>
      </c>
      <c r="C245" s="115">
        <f t="shared" ref="C245:L245" si="51">C203/C52</f>
        <v>4.1324175756907972E-2</v>
      </c>
      <c r="D245" s="115">
        <f t="shared" si="51"/>
        <v>4.0657584632877337E-2</v>
      </c>
      <c r="E245" s="115">
        <f t="shared" si="51"/>
        <v>5.9975094790699998E-2</v>
      </c>
      <c r="F245" s="115">
        <f t="shared" si="51"/>
        <v>5.9004994691516974E-2</v>
      </c>
      <c r="G245" s="115">
        <f t="shared" ref="G245" si="52">G203/G52</f>
        <v>5.5624316156808393E-2</v>
      </c>
      <c r="H245" s="279"/>
      <c r="I245" s="115">
        <f t="shared" si="51"/>
        <v>4.110689635139099E-2</v>
      </c>
      <c r="J245" s="115">
        <f t="shared" si="51"/>
        <v>2.0943982061755892E-2</v>
      </c>
      <c r="K245" s="115">
        <f t="shared" si="51"/>
        <v>2.7309275707135622E-2</v>
      </c>
      <c r="L245" s="115">
        <f t="shared" si="51"/>
        <v>3.3152112740785229E-2</v>
      </c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</row>
    <row r="246" spans="1:43" ht="15.75">
      <c r="A246" s="83"/>
      <c r="B246" s="116" t="s">
        <v>35</v>
      </c>
      <c r="C246" s="117">
        <f t="shared" ref="C246:L246" si="53">C238/C52</f>
        <v>3.9184143191195016E-2</v>
      </c>
      <c r="D246" s="117">
        <f t="shared" si="53"/>
        <v>3.1930133110182897E-2</v>
      </c>
      <c r="E246" s="117">
        <f t="shared" si="53"/>
        <v>5.0238773941261257E-2</v>
      </c>
      <c r="F246" s="117">
        <f t="shared" si="53"/>
        <v>4.1235490455596643E-2</v>
      </c>
      <c r="G246" s="117">
        <f t="shared" ref="G246" si="54">G238/G52</f>
        <v>4.3441807142673809E-2</v>
      </c>
      <c r="H246" s="279"/>
      <c r="I246" s="117">
        <f t="shared" si="53"/>
        <v>3.2398072326032527E-2</v>
      </c>
      <c r="J246" s="117">
        <f t="shared" si="53"/>
        <v>2.1575616423180424E-2</v>
      </c>
      <c r="K246" s="117">
        <f t="shared" si="53"/>
        <v>2.7155921733038949E-2</v>
      </c>
      <c r="L246" s="117">
        <f t="shared" si="53"/>
        <v>3.2249320276726536E-2</v>
      </c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</row>
    <row r="247" spans="1:43" ht="15.75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</row>
    <row r="248" spans="1:43" ht="15.7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</row>
    <row r="249" spans="1:43" ht="15.75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</row>
    <row r="250" spans="1:43" ht="15.75">
      <c r="A250" s="107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9"/>
      <c r="P250" s="109"/>
      <c r="Q250" s="109"/>
      <c r="R250" s="109"/>
      <c r="S250" s="109"/>
      <c r="T250" s="109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</row>
    <row r="251" spans="1:43" ht="15.75">
      <c r="A251" s="107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9"/>
      <c r="P251" s="109"/>
      <c r="Q251" s="109"/>
      <c r="R251" s="109"/>
      <c r="S251" s="109"/>
      <c r="T251" s="109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</row>
    <row r="252" spans="1:43" ht="15.75">
      <c r="A252" s="107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9"/>
      <c r="P252" s="109"/>
      <c r="Q252" s="109"/>
      <c r="R252" s="109"/>
      <c r="S252" s="109"/>
      <c r="T252" s="109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</row>
    <row r="253" spans="1:43" ht="15.75">
      <c r="A253" s="107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9"/>
      <c r="P253" s="109"/>
      <c r="Q253" s="109"/>
      <c r="R253" s="109"/>
      <c r="S253" s="109"/>
      <c r="T253" s="109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</row>
    <row r="254" spans="1:43" ht="15.75">
      <c r="A254" s="107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9"/>
      <c r="P254" s="109"/>
      <c r="Q254" s="109"/>
      <c r="R254" s="109"/>
      <c r="S254" s="109"/>
      <c r="T254" s="109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</row>
    <row r="255" spans="1:43" ht="15.75">
      <c r="A255" s="107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9"/>
      <c r="P255" s="109"/>
      <c r="Q255" s="109"/>
      <c r="R255" s="109"/>
      <c r="S255" s="109"/>
      <c r="T255" s="109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</row>
    <row r="256" spans="1:43" ht="15.75">
      <c r="A256" s="107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9"/>
      <c r="P256" s="109"/>
      <c r="Q256" s="109"/>
      <c r="R256" s="109"/>
      <c r="S256" s="109"/>
      <c r="T256" s="109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</row>
    <row r="257" spans="1:43" ht="15.75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</row>
    <row r="258" spans="1:43" ht="15.75">
      <c r="A258" s="107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9"/>
      <c r="P258" s="109"/>
      <c r="Q258" s="109"/>
      <c r="R258" s="109"/>
      <c r="S258" s="109"/>
      <c r="T258" s="109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</row>
    <row r="259" spans="1:43" ht="15.75">
      <c r="A259" s="107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9"/>
      <c r="P259" s="109"/>
      <c r="Q259" s="109"/>
      <c r="R259" s="109"/>
      <c r="S259" s="109"/>
      <c r="T259" s="109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</row>
    <row r="260" spans="1:43" ht="15.75">
      <c r="A260" s="107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9"/>
      <c r="P260" s="109"/>
      <c r="Q260" s="109"/>
      <c r="R260" s="109"/>
      <c r="S260" s="109"/>
      <c r="T260" s="109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</row>
    <row r="261" spans="1:43" ht="15.75">
      <c r="A261" s="107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9"/>
      <c r="P261" s="109"/>
      <c r="Q261" s="109"/>
      <c r="R261" s="109"/>
      <c r="S261" s="109"/>
      <c r="T261" s="109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</row>
    <row r="262" spans="1:43" ht="15.75">
      <c r="A262" s="107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9"/>
      <c r="P262" s="109"/>
      <c r="Q262" s="109"/>
      <c r="R262" s="109"/>
      <c r="S262" s="109"/>
      <c r="T262" s="109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</row>
    <row r="263" spans="1:43" ht="15.75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</row>
    <row r="264" spans="1:43" ht="15.75">
      <c r="A264" s="107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9"/>
      <c r="P264" s="109"/>
      <c r="Q264" s="109"/>
      <c r="R264" s="109"/>
      <c r="S264" s="109"/>
      <c r="T264" s="109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</row>
    <row r="265" spans="1:43" ht="15.75">
      <c r="A265" s="107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9"/>
      <c r="P265" s="109"/>
      <c r="Q265" s="109"/>
      <c r="R265" s="109"/>
      <c r="S265" s="109"/>
      <c r="T265" s="109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</row>
    <row r="266" spans="1:43" ht="15.75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</row>
    <row r="267" spans="1:43" ht="15.75">
      <c r="A267" s="107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9"/>
      <c r="P267" s="109"/>
      <c r="Q267" s="109"/>
      <c r="R267" s="109"/>
      <c r="S267" s="109"/>
      <c r="T267" s="109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</row>
    <row r="268" spans="1:43" ht="15.75">
      <c r="A268" s="107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9"/>
      <c r="P268" s="109"/>
      <c r="Q268" s="109"/>
      <c r="R268" s="109"/>
      <c r="S268" s="109"/>
      <c r="T268" s="109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</row>
    <row r="269" spans="1:43" ht="15.75">
      <c r="A269" s="107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9"/>
      <c r="P269" s="109"/>
      <c r="Q269" s="109"/>
      <c r="R269" s="109"/>
      <c r="S269" s="109"/>
      <c r="T269" s="109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</row>
    <row r="270" spans="1:43" ht="15.75">
      <c r="A270" s="107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9"/>
      <c r="P270" s="109"/>
      <c r="Q270" s="109"/>
      <c r="R270" s="109"/>
      <c r="S270" s="109"/>
      <c r="T270" s="109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</row>
    <row r="271" spans="1:43" ht="15.75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</row>
    <row r="272" spans="1:43" ht="15.75">
      <c r="A272" s="107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9"/>
      <c r="P272" s="109"/>
      <c r="Q272" s="109"/>
      <c r="R272" s="109"/>
      <c r="S272" s="109"/>
      <c r="T272" s="109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</row>
    <row r="273" spans="1:43" ht="15.75">
      <c r="A273" s="107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9"/>
      <c r="P273" s="109"/>
      <c r="Q273" s="109"/>
      <c r="R273" s="109"/>
      <c r="S273" s="109"/>
      <c r="T273" s="109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</row>
    <row r="274" spans="1:43" ht="15.75">
      <c r="A274" s="107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9"/>
      <c r="P274" s="109"/>
      <c r="Q274" s="109"/>
      <c r="R274" s="109"/>
      <c r="S274" s="109"/>
      <c r="T274" s="109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</row>
    <row r="275" spans="1:43" ht="15.75">
      <c r="A275" s="107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9"/>
      <c r="P275" s="109"/>
      <c r="Q275" s="109"/>
      <c r="R275" s="109"/>
      <c r="S275" s="109"/>
      <c r="T275" s="109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</row>
    <row r="276" spans="1:43" ht="15.7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</row>
    <row r="277" spans="1:43" ht="15.75">
      <c r="A277" s="107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9"/>
      <c r="P277" s="109"/>
      <c r="Q277" s="109"/>
      <c r="R277" s="109"/>
      <c r="S277" s="109"/>
      <c r="T277" s="109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</row>
    <row r="278" spans="1:43" ht="15.75">
      <c r="A278" s="107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9"/>
      <c r="P278" s="109"/>
      <c r="Q278" s="109"/>
      <c r="R278" s="109"/>
      <c r="S278" s="109"/>
      <c r="T278" s="109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</row>
    <row r="279" spans="1:43" ht="15.75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</row>
    <row r="280" spans="1:43" ht="15.75">
      <c r="A280" s="107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9"/>
      <c r="P280" s="109"/>
      <c r="Q280" s="109"/>
      <c r="R280" s="109"/>
      <c r="S280" s="109"/>
      <c r="T280" s="109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</row>
    <row r="281" spans="1:43" ht="15.75">
      <c r="A281" s="107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9"/>
      <c r="P281" s="109"/>
      <c r="Q281" s="109"/>
      <c r="R281" s="109"/>
      <c r="S281" s="109"/>
      <c r="T281" s="109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</row>
    <row r="282" spans="1:43" ht="15.75">
      <c r="A282" s="107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9"/>
      <c r="P282" s="109"/>
      <c r="Q282" s="109"/>
      <c r="R282" s="109"/>
      <c r="S282" s="109"/>
      <c r="T282" s="109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</row>
    <row r="283" spans="1:43" ht="15.75">
      <c r="A283" s="107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9"/>
      <c r="P283" s="109"/>
      <c r="Q283" s="109"/>
      <c r="R283" s="109"/>
      <c r="S283" s="109"/>
      <c r="T283" s="109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</row>
    <row r="284" spans="1:43" ht="15.75">
      <c r="A284" s="107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9"/>
      <c r="P284" s="109"/>
      <c r="Q284" s="109"/>
      <c r="R284" s="109"/>
      <c r="S284" s="109"/>
      <c r="T284" s="109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</row>
    <row r="285" spans="1:43" ht="15.75">
      <c r="A285" s="107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9"/>
      <c r="P285" s="109"/>
      <c r="Q285" s="109"/>
      <c r="R285" s="109"/>
      <c r="S285" s="109"/>
      <c r="T285" s="109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</row>
    <row r="286" spans="1:43" ht="15.75">
      <c r="A286" s="107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9"/>
      <c r="P286" s="109"/>
      <c r="Q286" s="109"/>
      <c r="R286" s="109"/>
      <c r="S286" s="109"/>
      <c r="T286" s="109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</row>
    <row r="287" spans="1:43" ht="15.75">
      <c r="A287" s="107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9"/>
      <c r="P287" s="109"/>
      <c r="Q287" s="109"/>
      <c r="R287" s="109"/>
      <c r="S287" s="109"/>
      <c r="T287" s="109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</row>
    <row r="288" spans="1:43" ht="15.75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</row>
    <row r="289" spans="1:43" ht="15.75">
      <c r="A289" s="107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9"/>
      <c r="P289" s="109"/>
      <c r="Q289" s="109"/>
      <c r="R289" s="109"/>
      <c r="S289" s="109"/>
      <c r="T289" s="109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</row>
    <row r="290" spans="1:43" ht="15.75">
      <c r="A290" s="107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9"/>
      <c r="P290" s="109"/>
      <c r="Q290" s="109"/>
      <c r="R290" s="109"/>
      <c r="S290" s="109"/>
      <c r="T290" s="109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</row>
    <row r="291" spans="1:43" ht="15.75">
      <c r="A291" s="107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9"/>
      <c r="P291" s="109"/>
      <c r="Q291" s="109"/>
      <c r="R291" s="109"/>
      <c r="S291" s="109"/>
      <c r="T291" s="109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</row>
    <row r="292" spans="1:43" ht="15.75">
      <c r="A292" s="107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9"/>
      <c r="P292" s="109"/>
      <c r="Q292" s="109"/>
      <c r="R292" s="109"/>
      <c r="S292" s="109"/>
      <c r="T292" s="109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</row>
    <row r="293" spans="1:43" ht="15.75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</row>
    <row r="294" spans="1:43" ht="15.75">
      <c r="A294" s="107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9"/>
      <c r="P294" s="109"/>
      <c r="Q294" s="109"/>
      <c r="R294" s="109"/>
      <c r="S294" s="109"/>
      <c r="T294" s="109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</row>
    <row r="295" spans="1:43" ht="15.75">
      <c r="A295" s="107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9"/>
      <c r="P295" s="109"/>
      <c r="Q295" s="109"/>
      <c r="R295" s="109"/>
      <c r="S295" s="109"/>
      <c r="T295" s="109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</row>
    <row r="296" spans="1:43" ht="15.75">
      <c r="A296" s="107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</row>
    <row r="297" spans="1:43" ht="15.75">
      <c r="A297" s="107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</row>
    <row r="298" spans="1:43" ht="15.75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24B9F-941F-B542-8F9A-5B552773CB72}">
  <sheetPr codeName="Feuil22">
    <tabColor rgb="FF006C4C"/>
  </sheetPr>
  <dimension ref="B2:Q89"/>
  <sheetViews>
    <sheetView showGridLines="0" zoomScale="85" zoomScaleNormal="85" workbookViewId="0">
      <pane xSplit="2" ySplit="5" topLeftCell="C15" activePane="bottomRight" state="frozen"/>
      <selection pane="topRight" activeCell="C1" sqref="C1"/>
      <selection pane="bottomLeft" activeCell="A4" sqref="A4"/>
      <selection pane="bottomRight" activeCell="E86" sqref="E86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/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8">
        <v>45900</v>
      </c>
      <c r="J3" s="248">
        <v>46265</v>
      </c>
      <c r="K3" s="248">
        <v>46630</v>
      </c>
      <c r="L3" s="248">
        <v>46996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218"/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150"/>
      <c r="H7" s="219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>
        <f>'BSB - P&amp;L'!D203</f>
        <v>34399</v>
      </c>
      <c r="E8" s="191">
        <f>'BSB - P&amp;L'!E203</f>
        <v>100949</v>
      </c>
      <c r="F8" s="191">
        <f>'BSB - P&amp;L'!F203</f>
        <v>111319</v>
      </c>
      <c r="G8" s="191">
        <f>'BSB - P&amp;L'!G203</f>
        <v>117029</v>
      </c>
      <c r="H8" s="152"/>
      <c r="I8" s="191">
        <v>87030</v>
      </c>
      <c r="J8" s="191">
        <f>'BSB - P&amp;L'!J203</f>
        <v>48776</v>
      </c>
      <c r="K8" s="191">
        <f>'BSB - P&amp;L'!K203</f>
        <v>66780</v>
      </c>
      <c r="L8" s="191">
        <f>'BSB - P&amp;L'!L203</f>
        <v>85121</v>
      </c>
      <c r="M8" s="191"/>
    </row>
    <row r="9" spans="2:13">
      <c r="B9" s="148" t="s">
        <v>225</v>
      </c>
      <c r="C9" s="191"/>
      <c r="D9" s="191">
        <f>'BSB - P&amp;L'!D227</f>
        <v>-370</v>
      </c>
      <c r="E9" s="191">
        <f>'BSB - P&amp;L'!E227</f>
        <v>-3125</v>
      </c>
      <c r="F9" s="191">
        <f>'BSB - P&amp;L'!F227</f>
        <v>0</v>
      </c>
      <c r="G9" s="191">
        <f>'BSB - P&amp;L'!G227</f>
        <v>-178</v>
      </c>
      <c r="H9" s="152"/>
      <c r="I9" s="191"/>
      <c r="J9" s="191"/>
      <c r="K9" s="191"/>
      <c r="L9" s="191"/>
      <c r="M9" s="191"/>
    </row>
    <row r="10" spans="2:13">
      <c r="B10" s="148" t="s">
        <v>226</v>
      </c>
      <c r="C10" s="191"/>
      <c r="D10" s="191">
        <f>'BSB - P&amp;L'!D222</f>
        <v>4762</v>
      </c>
      <c r="E10" s="191">
        <f>'BSB - P&amp;L'!E222</f>
        <v>16889</v>
      </c>
      <c r="F10" s="191">
        <f>'BSB - P&amp;L'!F222</f>
        <v>5636</v>
      </c>
      <c r="G10" s="191">
        <f>'BSB - P&amp;L'!G222</f>
        <v>32997</v>
      </c>
      <c r="H10" s="152"/>
      <c r="I10" s="191">
        <v>16875</v>
      </c>
      <c r="J10" s="191">
        <f>'BSB - P&amp;L'!J221</f>
        <v>36072</v>
      </c>
      <c r="K10" s="191">
        <f>'BSB - P&amp;L'!K221</f>
        <v>36072</v>
      </c>
      <c r="L10" s="191">
        <f>'BSB - P&amp;L'!L221</f>
        <v>36072</v>
      </c>
      <c r="M10" s="191"/>
    </row>
    <row r="11" spans="2:13">
      <c r="B11" s="148" t="s">
        <v>227</v>
      </c>
      <c r="C11" s="152"/>
      <c r="D11" s="152">
        <f>'BSB - P&amp;L'!D232</f>
        <v>-4767</v>
      </c>
      <c r="E11" s="152">
        <f>'BSB - P&amp;L'!E232</f>
        <v>-24523</v>
      </c>
      <c r="F11" s="152">
        <f>'BSB - P&amp;L'!F232</f>
        <v>-20079</v>
      </c>
      <c r="G11" s="152">
        <f>'BSB - P&amp;L'!G232</f>
        <v>-24799</v>
      </c>
      <c r="H11" s="152"/>
      <c r="I11" s="152">
        <v>-17197</v>
      </c>
      <c r="J11" s="152">
        <f>'BSB - P&amp;L'!J232</f>
        <v>-11082</v>
      </c>
      <c r="K11" s="152">
        <f>'BSB - P&amp;L'!K232</f>
        <v>-16468</v>
      </c>
      <c r="L11" s="152">
        <f>'BSB - P&amp;L'!L232</f>
        <v>-21935</v>
      </c>
      <c r="M11" s="191"/>
    </row>
    <row r="12" spans="2:13">
      <c r="B12" s="153" t="s">
        <v>228</v>
      </c>
      <c r="C12" s="154"/>
      <c r="D12" s="154">
        <f>SUM(D8:D11)</f>
        <v>34024</v>
      </c>
      <c r="E12" s="154">
        <f>SUM(E8:E11)</f>
        <v>90190</v>
      </c>
      <c r="F12" s="154">
        <f>SUM(F8:F11)</f>
        <v>96876</v>
      </c>
      <c r="G12" s="154">
        <f>SUM(G8:G11)</f>
        <v>125049</v>
      </c>
      <c r="H12" s="154"/>
      <c r="I12" s="154">
        <v>86708</v>
      </c>
      <c r="J12" s="154">
        <f t="shared" ref="J12:L12" si="0">SUM(J8:J11)</f>
        <v>73766</v>
      </c>
      <c r="K12" s="154">
        <f t="shared" si="0"/>
        <v>86384</v>
      </c>
      <c r="L12" s="154">
        <f t="shared" si="0"/>
        <v>99258</v>
      </c>
      <c r="M12" s="199"/>
    </row>
    <row r="13" spans="2:13">
      <c r="B13" s="148" t="s">
        <v>229</v>
      </c>
      <c r="C13" s="191"/>
      <c r="D13" s="191">
        <f>-'BSB - P&amp;L'!D196</f>
        <v>39462</v>
      </c>
      <c r="E13" s="191">
        <f>-'BSB - P&amp;L'!E196</f>
        <v>40701</v>
      </c>
      <c r="F13" s="191">
        <f>-'BSB - P&amp;L'!F196</f>
        <v>40946</v>
      </c>
      <c r="G13" s="191">
        <f>-'BSB - P&amp;L'!G196</f>
        <v>53892</v>
      </c>
      <c r="H13" s="152"/>
      <c r="I13" s="191">
        <v>185006</v>
      </c>
      <c r="J13" s="191">
        <f>-'BSB - P&amp;L'!J196</f>
        <v>230831</v>
      </c>
      <c r="K13" s="191">
        <f>-'BSB - P&amp;L'!K196</f>
        <v>229584</v>
      </c>
      <c r="L13" s="191">
        <f>-'BSB - P&amp;L'!L196</f>
        <v>228773</v>
      </c>
      <c r="M13" s="191"/>
    </row>
    <row r="14" spans="2:13">
      <c r="B14" s="148" t="s">
        <v>230</v>
      </c>
      <c r="C14" s="191"/>
      <c r="D14" s="191">
        <f>-'BSB - P&amp;L'!D224</f>
        <v>-4762</v>
      </c>
      <c r="E14" s="191">
        <f>-'BSB - P&amp;L'!E224</f>
        <v>-4762</v>
      </c>
      <c r="F14" s="191">
        <f>-'BSB - P&amp;L'!F224</f>
        <v>-5636</v>
      </c>
      <c r="G14" s="191">
        <f>-'BSB - P&amp;L'!G224</f>
        <v>-10570</v>
      </c>
      <c r="H14" s="152"/>
      <c r="I14" s="191">
        <v>-11236</v>
      </c>
      <c r="J14" s="191">
        <v>-30436</v>
      </c>
      <c r="K14" s="191">
        <v>-30436</v>
      </c>
      <c r="L14" s="191">
        <v>-30436</v>
      </c>
      <c r="M14" s="191"/>
    </row>
    <row r="15" spans="2:13">
      <c r="B15" s="153" t="s">
        <v>231</v>
      </c>
      <c r="C15" s="154"/>
      <c r="D15" s="154">
        <f>SUM(D16:D27)</f>
        <v>-58892</v>
      </c>
      <c r="E15" s="154">
        <f>SUM(E16:E27)</f>
        <v>23505</v>
      </c>
      <c r="F15" s="154">
        <f>SUM(F16:F27)</f>
        <v>-284571</v>
      </c>
      <c r="G15" s="154">
        <f>SUM(G16:G27)</f>
        <v>1759</v>
      </c>
      <c r="H15" s="154"/>
      <c r="I15" s="154">
        <v>144240</v>
      </c>
      <c r="J15" s="154">
        <f t="shared" ref="J15:L15" si="1">SUM(J16:J27)</f>
        <v>-983</v>
      </c>
      <c r="K15" s="154">
        <f t="shared" si="1"/>
        <v>-7233</v>
      </c>
      <c r="L15" s="154">
        <f t="shared" si="1"/>
        <v>-16664</v>
      </c>
      <c r="M15" s="199"/>
    </row>
    <row r="16" spans="2:13" s="145" customFormat="1" ht="15" hidden="1" outlineLevel="1">
      <c r="B16" s="155" t="s">
        <v>232</v>
      </c>
      <c r="C16" s="156"/>
      <c r="D16" s="156">
        <f>-('BSB - Bilan'!D14-'BSB - Bilan'!C14)</f>
        <v>-58621</v>
      </c>
      <c r="E16" s="156">
        <f>-('BSB - Bilan'!E14-'BSB - Bilan'!D14)</f>
        <v>-234036</v>
      </c>
      <c r="F16" s="156">
        <f>-('BSB - Bilan'!F14-'BSB - Bilan'!E14)</f>
        <v>-62510</v>
      </c>
      <c r="G16" s="156">
        <f>-('BSB - Bilan'!G14-'BSB - Bilan'!F14)</f>
        <v>-4469</v>
      </c>
      <c r="H16" s="156"/>
      <c r="I16" s="156">
        <v>141144</v>
      </c>
      <c r="J16" s="156">
        <f>-('BSB - Bilan'!J14-'BSB - Bilan'!I14)</f>
        <v>-37050</v>
      </c>
      <c r="K16" s="156">
        <f>-('BSB - Bilan'!K14-'BSB - Bilan'!J14)</f>
        <v>-20377</v>
      </c>
      <c r="L16" s="156">
        <f>-('BSB - Bilan'!L14-'BSB - Bilan'!K14)</f>
        <v>-21397</v>
      </c>
      <c r="M16" s="200"/>
    </row>
    <row r="17" spans="2:13" s="145" customFormat="1" ht="15" hidden="1" outlineLevel="1">
      <c r="B17" s="155" t="s">
        <v>233</v>
      </c>
      <c r="C17" s="156"/>
      <c r="D17" s="156">
        <f>-('BSB - Bilan'!D15-'BSB - Bilan'!C15)</f>
        <v>0</v>
      </c>
      <c r="E17" s="156">
        <f>-('BSB - Bilan'!E15-'BSB - Bilan'!D15)</f>
        <v>0</v>
      </c>
      <c r="F17" s="156">
        <f>-('BSB - Bilan'!F15-'BSB - Bilan'!E15)</f>
        <v>0</v>
      </c>
      <c r="G17" s="156">
        <f>-('BSB - Bilan'!G15-'BSB - Bilan'!F15)</f>
        <v>0</v>
      </c>
      <c r="H17" s="156"/>
      <c r="I17" s="156">
        <v>0</v>
      </c>
      <c r="J17" s="156">
        <f>-('BSB - Bilan'!J15-'BSB - Bilan'!I15)</f>
        <v>0</v>
      </c>
      <c r="K17" s="156">
        <f>-('BSB - Bilan'!K15-'BSB - Bilan'!J15)</f>
        <v>0</v>
      </c>
      <c r="L17" s="156">
        <f>-('BSB - Bilan'!L15-'BSB - Bilan'!K15)</f>
        <v>0</v>
      </c>
      <c r="M17" s="200"/>
    </row>
    <row r="18" spans="2:13" s="145" customFormat="1" ht="15" hidden="1" outlineLevel="1">
      <c r="B18" s="155" t="s">
        <v>234</v>
      </c>
      <c r="C18" s="156"/>
      <c r="D18" s="156">
        <f>-('BSB - Bilan'!D16-'BSB - Bilan'!C16)</f>
        <v>24274</v>
      </c>
      <c r="E18" s="156">
        <f>-('BSB - Bilan'!E16-'BSB - Bilan'!D16)</f>
        <v>-144105</v>
      </c>
      <c r="F18" s="156">
        <f>-('BSB - Bilan'!F16-'BSB - Bilan'!E16)</f>
        <v>32691</v>
      </c>
      <c r="G18" s="156">
        <f>-('BSB - Bilan'!G16-'BSB - Bilan'!F16)</f>
        <v>-60093</v>
      </c>
      <c r="H18" s="156"/>
      <c r="I18" s="156">
        <v>12395</v>
      </c>
      <c r="J18" s="156">
        <f>-('BSB - Bilan'!J16-'BSB - Bilan'!I16)</f>
        <v>-19747</v>
      </c>
      <c r="K18" s="156">
        <f>-('BSB - Bilan'!K16-'BSB - Bilan'!J16)</f>
        <v>-10877</v>
      </c>
      <c r="L18" s="156">
        <f>-('BSB - Bilan'!L16-'BSB - Bilan'!K16)</f>
        <v>-11410</v>
      </c>
      <c r="M18" s="200"/>
    </row>
    <row r="19" spans="2:13" s="145" customFormat="1" ht="15" hidden="1" outlineLevel="1">
      <c r="B19" s="155" t="s">
        <v>235</v>
      </c>
      <c r="C19" s="156"/>
      <c r="D19" s="156">
        <f>-('BSB - Bilan'!D17-'BSB - Bilan'!C17)</f>
        <v>8295</v>
      </c>
      <c r="E19" s="156">
        <f>-('BSB - Bilan'!E17-'BSB - Bilan'!D17)</f>
        <v>-11320</v>
      </c>
      <c r="F19" s="156">
        <f>-('BSB - Bilan'!F17-'BSB - Bilan'!E17)</f>
        <v>-382</v>
      </c>
      <c r="G19" s="156">
        <f>-('BSB - Bilan'!G17-'BSB - Bilan'!F17)</f>
        <v>-57878</v>
      </c>
      <c r="H19" s="156"/>
      <c r="I19" s="156">
        <v>-4596</v>
      </c>
      <c r="J19" s="156">
        <f>-('BSB - Bilan'!J17-'BSB - Bilan'!I17)</f>
        <v>-287</v>
      </c>
      <c r="K19" s="156">
        <f>-('BSB - Bilan'!K17-'BSB - Bilan'!J17)</f>
        <v>6114</v>
      </c>
      <c r="L19" s="156">
        <f>-('BSB - Bilan'!L17-'BSB - Bilan'!K17)</f>
        <v>0</v>
      </c>
      <c r="M19" s="200"/>
    </row>
    <row r="20" spans="2:13" s="145" customFormat="1" ht="15" hidden="1" outlineLevel="1">
      <c r="B20" s="155" t="s">
        <v>236</v>
      </c>
      <c r="C20" s="156"/>
      <c r="D20" s="156">
        <f>-('BSB - Bilan'!D19-'BSB - Bilan'!C19)</f>
        <v>-225</v>
      </c>
      <c r="E20" s="156">
        <f>-('BSB - Bilan'!E19-'BSB - Bilan'!D19)</f>
        <v>-109</v>
      </c>
      <c r="F20" s="156">
        <f>-('BSB - Bilan'!F19-'BSB - Bilan'!E19)</f>
        <v>-381</v>
      </c>
      <c r="G20" s="156">
        <f>-('BSB - Bilan'!G19-'BSB - Bilan'!F19)</f>
        <v>-18280</v>
      </c>
      <c r="H20" s="156"/>
      <c r="I20" s="156">
        <v>0</v>
      </c>
      <c r="J20" s="156">
        <f>-('BSB - Bilan'!J19-'BSB - Bilan'!I19)</f>
        <v>0</v>
      </c>
      <c r="K20" s="156">
        <f>-('BSB - Bilan'!K19-'BSB - Bilan'!J19)</f>
        <v>0</v>
      </c>
      <c r="L20" s="156">
        <f>-('BSB - Bilan'!L19-'BSB - Bilan'!K19)</f>
        <v>0</v>
      </c>
      <c r="M20" s="200"/>
    </row>
    <row r="21" spans="2:13" s="145" customFormat="1" ht="15" hidden="1" outlineLevel="1">
      <c r="B21" s="155" t="s">
        <v>237</v>
      </c>
      <c r="C21" s="156"/>
      <c r="D21" s="156">
        <f>'BSB - Bilan'!D56-'BSB - Bilan'!C56</f>
        <v>0</v>
      </c>
      <c r="E21" s="156">
        <f>'BSB - Bilan'!E56-'BSB - Bilan'!D56</f>
        <v>0</v>
      </c>
      <c r="F21" s="156">
        <f>'BSB - Bilan'!F56-'BSB - Bilan'!E56</f>
        <v>0</v>
      </c>
      <c r="G21" s="156">
        <f>'BSB - Bilan'!G56-'BSB - Bilan'!F56</f>
        <v>514</v>
      </c>
      <c r="H21" s="156"/>
      <c r="I21" s="156">
        <v>0</v>
      </c>
      <c r="J21" s="156">
        <f>'BSB - Bilan'!J56-'BSB - Bilan'!I56</f>
        <v>0</v>
      </c>
      <c r="K21" s="156">
        <f>'BSB - Bilan'!K56-'BSB - Bilan'!J56</f>
        <v>0</v>
      </c>
      <c r="L21" s="156">
        <f>'BSB - Bilan'!L56-'BSB - Bilan'!K56</f>
        <v>0</v>
      </c>
      <c r="M21" s="200"/>
    </row>
    <row r="22" spans="2:13" s="145" customFormat="1" ht="15" hidden="1" outlineLevel="1">
      <c r="B22" s="155" t="s">
        <v>238</v>
      </c>
      <c r="C22" s="156"/>
      <c r="D22" s="156">
        <f>'BSB - Bilan'!D57-'BSB - Bilan'!C57</f>
        <v>-24647</v>
      </c>
      <c r="E22" s="156">
        <f>'BSB - Bilan'!E57-'BSB - Bilan'!D57</f>
        <v>382664</v>
      </c>
      <c r="F22" s="156">
        <f>'BSB - Bilan'!F57-'BSB - Bilan'!E57</f>
        <v>-242494</v>
      </c>
      <c r="G22" s="156">
        <f>'BSB - Bilan'!G57-'BSB - Bilan'!F57</f>
        <v>135563</v>
      </c>
      <c r="H22" s="156"/>
      <c r="I22" s="156">
        <v>-4966</v>
      </c>
      <c r="J22" s="156">
        <f>'BSB - Bilan'!J57-'BSB - Bilan'!I57</f>
        <v>58926</v>
      </c>
      <c r="K22" s="156">
        <f>'BSB - Bilan'!K57-'BSB - Bilan'!J57</f>
        <v>11989</v>
      </c>
      <c r="L22" s="156">
        <f>'BSB - Bilan'!L57-'BSB - Bilan'!K57</f>
        <v>15685</v>
      </c>
      <c r="M22" s="200"/>
    </row>
    <row r="23" spans="2:13" s="145" customFormat="1" ht="15" hidden="1" outlineLevel="1">
      <c r="B23" s="155" t="s">
        <v>239</v>
      </c>
      <c r="C23" s="156"/>
      <c r="D23" s="156">
        <f>'BSB - Bilan'!D58-'BSB - Bilan'!C58</f>
        <v>-7950</v>
      </c>
      <c r="E23" s="156">
        <f>'BSB - Bilan'!E58-'BSB - Bilan'!D58</f>
        <v>30408</v>
      </c>
      <c r="F23" s="156">
        <f>'BSB - Bilan'!F58-'BSB - Bilan'!E58</f>
        <v>-11497</v>
      </c>
      <c r="G23" s="156">
        <f>'BSB - Bilan'!G58-'BSB - Bilan'!F58</f>
        <v>6408</v>
      </c>
      <c r="H23" s="156"/>
      <c r="I23" s="156">
        <v>263</v>
      </c>
      <c r="J23" s="156">
        <f>'BSB - Bilan'!J58-'BSB - Bilan'!I58</f>
        <v>-2825</v>
      </c>
      <c r="K23" s="156">
        <f>'BSB - Bilan'!K58-'BSB - Bilan'!J58</f>
        <v>5918</v>
      </c>
      <c r="L23" s="156">
        <f>'BSB - Bilan'!L58-'BSB - Bilan'!K58</f>
        <v>458</v>
      </c>
      <c r="M23" s="200"/>
    </row>
    <row r="24" spans="2:13" s="145" customFormat="1" ht="15" hidden="1" outlineLevel="1">
      <c r="B24" s="155" t="s">
        <v>251</v>
      </c>
      <c r="C24" s="156"/>
      <c r="D24" s="156">
        <f>'BSB - Bilan'!D59-'BSB - Bilan'!C59</f>
        <v>0</v>
      </c>
      <c r="E24" s="156">
        <f>'BSB - Bilan'!E59-'BSB - Bilan'!D59</f>
        <v>0</v>
      </c>
      <c r="F24" s="156">
        <f>'BSB - Bilan'!F59-'BSB - Bilan'!E59</f>
        <v>0</v>
      </c>
      <c r="G24" s="156">
        <f>'BSB - Bilan'!G59-'BSB - Bilan'!F59</f>
        <v>0</v>
      </c>
      <c r="H24" s="156"/>
      <c r="I24" s="156">
        <v>0</v>
      </c>
      <c r="J24" s="156">
        <f>'BSB - Bilan'!J59-'BSB - Bilan'!I59</f>
        <v>0</v>
      </c>
      <c r="K24" s="156">
        <f>'BSB - Bilan'!K59-'BSB - Bilan'!J59</f>
        <v>0</v>
      </c>
      <c r="L24" s="156">
        <f>'BSB - Bilan'!L59-'BSB - Bilan'!K59</f>
        <v>0</v>
      </c>
      <c r="M24" s="200"/>
    </row>
    <row r="25" spans="2:13" s="145" customFormat="1" ht="15" hidden="1" outlineLevel="1">
      <c r="B25" s="155" t="s">
        <v>240</v>
      </c>
      <c r="C25" s="200"/>
      <c r="D25" s="156">
        <f>'BSB - Bilan'!D60-'BSB - Bilan'!C60</f>
        <v>-18</v>
      </c>
      <c r="E25" s="156">
        <f>'BSB - Bilan'!E60-'BSB - Bilan'!D60</f>
        <v>3</v>
      </c>
      <c r="F25" s="156">
        <f>'BSB - Bilan'!F60-'BSB - Bilan'!E60</f>
        <v>2</v>
      </c>
      <c r="G25" s="156">
        <f>'BSB - Bilan'!G60-'BSB - Bilan'!F60</f>
        <v>-6</v>
      </c>
      <c r="H25" s="156"/>
      <c r="I25" s="156">
        <v>0</v>
      </c>
      <c r="J25" s="156">
        <f>'BSB - Bilan'!J60-'BSB - Bilan'!I60</f>
        <v>0</v>
      </c>
      <c r="K25" s="156">
        <f>'BSB - Bilan'!K60-'BSB - Bilan'!J60</f>
        <v>0</v>
      </c>
      <c r="L25" s="156">
        <f>'BSB - Bilan'!L60-'BSB - Bilan'!K60</f>
        <v>0</v>
      </c>
      <c r="M25" s="200"/>
    </row>
    <row r="26" spans="2:13" s="145" customFormat="1" ht="15" hidden="1" outlineLevel="1">
      <c r="B26" s="157" t="s">
        <v>241</v>
      </c>
      <c r="C26" s="156"/>
      <c r="D26" s="156">
        <f>'BSB - Bilan'!D61-'BSB - Bilan'!C61</f>
        <v>0</v>
      </c>
      <c r="E26" s="156">
        <f>'BSB - Bilan'!E61-'BSB - Bilan'!D61</f>
        <v>0</v>
      </c>
      <c r="F26" s="156">
        <f>'BSB - Bilan'!F61-'BSB - Bilan'!E61</f>
        <v>0</v>
      </c>
      <c r="G26" s="156">
        <f>'BSB - Bilan'!G61-'BSB - Bilan'!F61</f>
        <v>0</v>
      </c>
      <c r="H26" s="156"/>
      <c r="I26" s="156">
        <v>0</v>
      </c>
      <c r="J26" s="156">
        <f>'BSB - Bilan'!J61-'BSB - Bilan'!I61</f>
        <v>0</v>
      </c>
      <c r="K26" s="156">
        <f>'BSB - Bilan'!K61-'BSB - Bilan'!J61</f>
        <v>0</v>
      </c>
      <c r="L26" s="156">
        <f>'BSB - Bilan'!L61-'BSB - Bilan'!K61</f>
        <v>0</v>
      </c>
      <c r="M26" s="200"/>
    </row>
    <row r="27" spans="2:13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F28" si="2">SUM(D12:D15)</f>
        <v>9832</v>
      </c>
      <c r="E28" s="160">
        <f t="shared" si="2"/>
        <v>149634</v>
      </c>
      <c r="F28" s="160">
        <f t="shared" si="2"/>
        <v>-152385</v>
      </c>
      <c r="G28" s="160">
        <f t="shared" ref="G28" si="3">SUM(G12:G15)</f>
        <v>170130</v>
      </c>
      <c r="H28" s="160"/>
      <c r="I28" s="160">
        <v>404718</v>
      </c>
      <c r="J28" s="160">
        <f t="shared" ref="J28:L28" si="4">SUM(J12:J15)</f>
        <v>273178</v>
      </c>
      <c r="K28" s="160">
        <f t="shared" si="4"/>
        <v>278299</v>
      </c>
      <c r="L28" s="160">
        <f t="shared" si="4"/>
        <v>280931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150"/>
      <c r="H30" s="219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>
        <f>-('BSB - Bilan'!D9-'BSB - Bilan'!C9-'BSB - P&amp;L'!D197)</f>
        <v>1</v>
      </c>
      <c r="E31" s="158">
        <f>-('BSB - Bilan'!E9-'BSB - Bilan'!D9-'BSB - P&amp;L'!E197)</f>
        <v>0</v>
      </c>
      <c r="F31" s="158">
        <f>-('BSB - Bilan'!F9-'BSB - Bilan'!E9-'BSB - P&amp;L'!F197)</f>
        <v>0</v>
      </c>
      <c r="G31" s="158">
        <f>-('BSB - Bilan'!G9-'BSB - Bilan'!F9-'BSB - P&amp;L'!G197)</f>
        <v>-2250</v>
      </c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>
        <f>-('BSB - Bilan'!D10-'BSB - Bilan'!C10-'BSB - P&amp;L'!D198)</f>
        <v>-85321</v>
      </c>
      <c r="E32" s="158">
        <f>-('BSB - Bilan'!E10-'BSB - Bilan'!D10-'BSB - P&amp;L'!E198)</f>
        <v>-75932</v>
      </c>
      <c r="F32" s="158">
        <f>-('BSB - Bilan'!F10-'BSB - Bilan'!E10-'BSB - P&amp;L'!F198)</f>
        <v>-85329</v>
      </c>
      <c r="G32" s="158">
        <f>-('BSB - Bilan'!G10-'BSB - Bilan'!F10-'BSB - P&amp;L'!G198)</f>
        <v>-198589</v>
      </c>
      <c r="H32" s="158"/>
      <c r="I32" s="158"/>
      <c r="J32" s="158">
        <v>-480000</v>
      </c>
      <c r="K32" s="158"/>
      <c r="L32" s="158"/>
      <c r="M32" s="201"/>
    </row>
    <row r="33" spans="2:17">
      <c r="B33" s="151" t="s">
        <v>197</v>
      </c>
      <c r="C33" s="158"/>
      <c r="D33" s="158">
        <f>-('BSB - Bilan'!D11-'BSB - Bilan'!C11-'BSB - P&amp;L'!D199)</f>
        <v>0</v>
      </c>
      <c r="E33" s="158">
        <f>-('BSB - Bilan'!E11-'BSB - Bilan'!D11-'BSB - P&amp;L'!E199)</f>
        <v>0</v>
      </c>
      <c r="F33" s="158">
        <f>-('BSB - Bilan'!F11-'BSB - Bilan'!E11-'BSB - P&amp;L'!F199)</f>
        <v>0</v>
      </c>
      <c r="G33" s="158">
        <f>-('BSB - Bilan'!G11-'BSB - Bilan'!F11-'BSB - P&amp;L'!G199)</f>
        <v>-153</v>
      </c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-85320</v>
      </c>
      <c r="E35" s="160">
        <f>SUM(E31:E34)</f>
        <v>-75932</v>
      </c>
      <c r="F35" s="160">
        <f>SUM(F31:F34)</f>
        <v>-85329</v>
      </c>
      <c r="G35" s="160">
        <f>SUM(G31:G34)</f>
        <v>-200992</v>
      </c>
      <c r="H35" s="160"/>
      <c r="I35" s="160">
        <v>0</v>
      </c>
      <c r="J35" s="160">
        <f t="shared" ref="J35:L35" si="5">SUM(J31:J33)</f>
        <v>-480000</v>
      </c>
      <c r="K35" s="160">
        <f t="shared" si="5"/>
        <v>0</v>
      </c>
      <c r="L35" s="160">
        <f t="shared" si="5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149"/>
      <c r="H37" s="220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/>
      <c r="E38" s="205"/>
      <c r="F38" s="205"/>
      <c r="G38" s="205"/>
      <c r="H38" s="134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>
      <c r="B39" s="161" t="s">
        <v>28</v>
      </c>
      <c r="C39" s="205"/>
      <c r="D39" s="205">
        <f>SUM(D40:D50)</f>
        <v>-7016</v>
      </c>
      <c r="E39" s="205">
        <f t="shared" ref="E39:G39" si="6">SUM(E40:E50)</f>
        <v>-5632</v>
      </c>
      <c r="F39" s="205">
        <f t="shared" si="6"/>
        <v>-19080</v>
      </c>
      <c r="G39" s="205">
        <f t="shared" si="6"/>
        <v>-33649</v>
      </c>
      <c r="H39" s="134"/>
      <c r="I39" s="205">
        <v>-18113</v>
      </c>
      <c r="J39" s="205">
        <f>'BSB - P&amp;L'!J205</f>
        <v>-23519</v>
      </c>
      <c r="K39" s="205">
        <f>'BSB - P&amp;L'!K205</f>
        <v>-19979</v>
      </c>
      <c r="L39" s="205">
        <f>'BSB - P&amp;L'!L205</f>
        <v>-16455</v>
      </c>
      <c r="M39" s="205"/>
      <c r="N39" s="134"/>
      <c r="O39" s="134"/>
      <c r="P39" s="134"/>
      <c r="Q39" s="134"/>
    </row>
    <row r="40" spans="2:17" s="137" customFormat="1" ht="12.75" hidden="1" outlineLevel="1">
      <c r="B40" s="164" t="str">
        <f>'BSB - P&amp;L'!B208</f>
        <v>Intérêt prêt BP6059319 + BP6059320</v>
      </c>
      <c r="C40" s="206"/>
      <c r="D40" s="206"/>
      <c r="E40" s="206"/>
      <c r="F40" s="206"/>
      <c r="G40" s="206">
        <f>'BSB - P&amp;L'!G208</f>
        <v>-4448</v>
      </c>
      <c r="H40" s="133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hidden="1" outlineLevel="1">
      <c r="B41" s="164" t="str">
        <f>'BSB - P&amp;L'!B209</f>
        <v>Intérêt prêt nuger</v>
      </c>
      <c r="C41" s="206"/>
      <c r="D41" s="206">
        <f>'BSB - P&amp;L'!D209</f>
        <v>-510</v>
      </c>
      <c r="E41" s="206">
        <f>'BSB - P&amp;L'!E209</f>
        <v>-38</v>
      </c>
      <c r="F41" s="206">
        <f>'BSB - P&amp;L'!F209</f>
        <v>-133</v>
      </c>
      <c r="G41" s="206">
        <f>'BSB - P&amp;L'!G209</f>
        <v>-23</v>
      </c>
      <c r="H41" s="133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hidden="1" outlineLevel="1">
      <c r="B42" s="164" t="str">
        <f>'BSB - P&amp;L'!B210</f>
        <v>Intérêt prêt CA n°00001520180</v>
      </c>
      <c r="C42" s="206"/>
      <c r="D42" s="206">
        <f>'BSB - P&amp;L'!D210</f>
        <v>-13</v>
      </c>
      <c r="E42" s="206">
        <f>'BSB - P&amp;L'!E210</f>
        <v>0</v>
      </c>
      <c r="F42" s="206">
        <f>'BSB - P&amp;L'!F210</f>
        <v>0</v>
      </c>
      <c r="G42" s="206">
        <f>'BSB - P&amp;L'!G210</f>
        <v>0</v>
      </c>
      <c r="H42" s="133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 s="137" customFormat="1" ht="12.75" hidden="1" outlineLevel="1">
      <c r="B43" s="164" t="str">
        <f>'BSB - P&amp;L'!B211</f>
        <v>Intérêt prêt nuger</v>
      </c>
      <c r="C43" s="206"/>
      <c r="D43" s="206">
        <f>'BSB - P&amp;L'!D211</f>
        <v>-36</v>
      </c>
      <c r="E43" s="206">
        <f>'BSB - P&amp;L'!E211</f>
        <v>-4</v>
      </c>
      <c r="F43" s="206">
        <f>'BSB - P&amp;L'!F211</f>
        <v>0</v>
      </c>
      <c r="G43" s="206">
        <f>'BSB - P&amp;L'!G211</f>
        <v>0</v>
      </c>
      <c r="H43" s="133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s="137" customFormat="1" ht="12.75" hidden="1" outlineLevel="1">
      <c r="B44" s="164" t="str">
        <f>'BSB - P&amp;L'!B212</f>
        <v>Intérêt prêt CIC</v>
      </c>
      <c r="C44" s="206"/>
      <c r="D44" s="206">
        <f>'BSB - P&amp;L'!D212</f>
        <v>-1467</v>
      </c>
      <c r="E44" s="206">
        <f>'BSB - P&amp;L'!E212</f>
        <v>-813</v>
      </c>
      <c r="F44" s="206">
        <f>'BSB - P&amp;L'!F212</f>
        <v>-612</v>
      </c>
      <c r="G44" s="206">
        <f>'BSB - P&amp;L'!G212</f>
        <v>-409</v>
      </c>
      <c r="H44" s="133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hidden="1" outlineLevel="1">
      <c r="B45" s="164" t="str">
        <f>'BSB - P&amp;L'!B213</f>
        <v>Intérêt prêt CA n°0002001908</v>
      </c>
      <c r="C45" s="206"/>
      <c r="D45" s="206">
        <f>'BSB - P&amp;L'!D213</f>
        <v>-1049</v>
      </c>
      <c r="E45" s="206">
        <f>'BSB - P&amp;L'!E213</f>
        <v>-957</v>
      </c>
      <c r="F45" s="206">
        <f>'BSB - P&amp;L'!F213</f>
        <v>-864</v>
      </c>
      <c r="G45" s="206">
        <f>'BSB - P&amp;L'!G213</f>
        <v>-770</v>
      </c>
      <c r="H45" s="133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s="137" customFormat="1" ht="12.75" hidden="1" outlineLevel="1">
      <c r="B46" s="164" t="str">
        <f>'BSB - P&amp;L'!B214</f>
        <v>Intérêt prêt CA n°0002001930</v>
      </c>
      <c r="C46" s="206"/>
      <c r="D46" s="206">
        <f>'BSB - P&amp;L'!D214</f>
        <v>-130</v>
      </c>
      <c r="E46" s="206">
        <f>'BSB - P&amp;L'!E214</f>
        <v>0</v>
      </c>
      <c r="F46" s="206">
        <f>'BSB - P&amp;L'!F214</f>
        <v>0</v>
      </c>
      <c r="G46" s="206">
        <f>'BSB - P&amp;L'!G214</f>
        <v>0</v>
      </c>
      <c r="H46" s="133"/>
      <c r="I46" s="206"/>
      <c r="J46" s="206"/>
      <c r="K46" s="206"/>
      <c r="L46" s="206"/>
      <c r="M46" s="206"/>
      <c r="N46" s="138"/>
      <c r="O46" s="138"/>
      <c r="P46" s="138"/>
      <c r="Q46" s="138"/>
    </row>
    <row r="47" spans="2:17" s="137" customFormat="1" ht="12.75" hidden="1" outlineLevel="1">
      <c r="B47" s="164" t="str">
        <f>'BSB - P&amp;L'!B215</f>
        <v>Intérêt prêt PGE CA</v>
      </c>
      <c r="C47" s="206"/>
      <c r="D47" s="206">
        <f>'BSB - P&amp;L'!D215</f>
        <v>-220</v>
      </c>
      <c r="E47" s="206">
        <f>'BSB - P&amp;L'!E215</f>
        <v>-656</v>
      </c>
      <c r="F47" s="206">
        <f>'BSB - P&amp;L'!F215</f>
        <v>-530</v>
      </c>
      <c r="G47" s="206">
        <f>'BSB - P&amp;L'!G215</f>
        <v>-365</v>
      </c>
      <c r="H47" s="133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hidden="1" outlineLevel="1">
      <c r="B48" s="164" t="str">
        <f>'BSB - P&amp;L'!B216</f>
        <v>Intérêt prêt PGE NUGER</v>
      </c>
      <c r="C48" s="206"/>
      <c r="D48" s="206">
        <f>'BSB - P&amp;L'!D216</f>
        <v>-171</v>
      </c>
      <c r="E48" s="206">
        <f>'BSB - P&amp;L'!E216</f>
        <v>-543</v>
      </c>
      <c r="F48" s="206">
        <f>'BSB - P&amp;L'!F216</f>
        <v>-403</v>
      </c>
      <c r="G48" s="206">
        <f>'BSB - P&amp;L'!G216</f>
        <v>-275</v>
      </c>
      <c r="H48" s="133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hidden="1" outlineLevel="1">
      <c r="B49" s="164" t="str">
        <f>'BSB - P&amp;L'!B217</f>
        <v>Intérêt C/C sc sucs</v>
      </c>
      <c r="C49" s="206"/>
      <c r="D49" s="206">
        <f>'BSB - P&amp;L'!D217</f>
        <v>-3420</v>
      </c>
      <c r="E49" s="206">
        <f>'BSB - P&amp;L'!E217</f>
        <v>-2621</v>
      </c>
      <c r="F49" s="206">
        <f>'BSB - P&amp;L'!F217</f>
        <v>-16538</v>
      </c>
      <c r="G49" s="206">
        <f>'BSB - P&amp;L'!G217</f>
        <v>-27359</v>
      </c>
      <c r="H49" s="133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hidden="1" outlineLevel="1">
      <c r="B50" s="164"/>
      <c r="C50" s="206"/>
      <c r="D50" s="206"/>
      <c r="E50" s="206"/>
      <c r="F50" s="206"/>
      <c r="G50" s="206"/>
      <c r="H50" s="133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 collapsed="1">
      <c r="B51" s="161" t="s">
        <v>213</v>
      </c>
      <c r="C51" s="152"/>
      <c r="D51" s="152">
        <f>SUM(D52:D63)</f>
        <v>-78872</v>
      </c>
      <c r="E51" s="152">
        <f>SUM(E52:E63)</f>
        <v>-57211</v>
      </c>
      <c r="F51" s="152">
        <f>SUM(F52:F63)</f>
        <v>-91222</v>
      </c>
      <c r="G51" s="152">
        <f>SUM(G52:G63)</f>
        <v>84312</v>
      </c>
      <c r="H51" s="152"/>
      <c r="I51" s="152">
        <v>-237273</v>
      </c>
      <c r="J51" s="152">
        <f>'BSB - Bilan'!J37-'BSB - Bilan'!I37</f>
        <v>43680</v>
      </c>
      <c r="K51" s="152">
        <f>'BSB - Bilan'!K37-'BSB - Bilan'!J37</f>
        <v>-203494</v>
      </c>
      <c r="L51" s="152">
        <f>'BSB - Bilan'!L37-'BSB - Bilan'!K37</f>
        <v>-207018</v>
      </c>
      <c r="M51" s="205"/>
      <c r="N51" s="134"/>
      <c r="O51" s="134"/>
      <c r="P51" s="134"/>
      <c r="Q51" s="134"/>
    </row>
    <row r="52" spans="2:17" s="137" customFormat="1" ht="12.75" hidden="1" outlineLevel="1">
      <c r="B52" s="165" t="str">
        <f>'BSB - Bilan'!B39</f>
        <v>Emprunt nuger</v>
      </c>
      <c r="C52" s="206"/>
      <c r="D52" s="206">
        <f>'BSB - Bilan'!D39-'BSB - Bilan'!C39</f>
        <v>-19311</v>
      </c>
      <c r="E52" s="206">
        <f>'BSB - Bilan'!E39-'BSB - Bilan'!D39</f>
        <v>-13020</v>
      </c>
      <c r="F52" s="206">
        <f>'BSB - Bilan'!F39-'BSB - Bilan'!E39</f>
        <v>-13138</v>
      </c>
      <c r="G52" s="206">
        <f>'BSB - Bilan'!G39-'BSB - Bilan'!F39</f>
        <v>-7718</v>
      </c>
      <c r="H52" s="133"/>
      <c r="I52" s="206"/>
      <c r="J52" s="206"/>
      <c r="K52" s="206"/>
      <c r="L52" s="206"/>
      <c r="M52" s="206"/>
      <c r="N52" s="138"/>
      <c r="O52" s="138"/>
      <c r="P52" s="138"/>
      <c r="Q52" s="138"/>
    </row>
    <row r="53" spans="2:17" s="137" customFormat="1" ht="12.75" hidden="1" outlineLevel="1">
      <c r="B53" s="165" t="str">
        <f>'BSB - Bilan'!B40</f>
        <v>Emprunt CA n°00001520180</v>
      </c>
      <c r="C53" s="206"/>
      <c r="D53" s="206">
        <f>'BSB - Bilan'!D40-'BSB - Bilan'!C40</f>
        <v>-3541</v>
      </c>
      <c r="E53" s="206">
        <f>'BSB - Bilan'!E40-'BSB - Bilan'!D40</f>
        <v>0</v>
      </c>
      <c r="F53" s="206">
        <f>'BSB - Bilan'!F40-'BSB - Bilan'!E40</f>
        <v>0</v>
      </c>
      <c r="G53" s="206">
        <f>'BSB - Bilan'!G40-'BSB - Bilan'!F40</f>
        <v>0</v>
      </c>
      <c r="H53" s="133"/>
      <c r="I53" s="206"/>
      <c r="J53" s="206"/>
      <c r="K53" s="206"/>
      <c r="L53" s="206"/>
      <c r="M53" s="206"/>
      <c r="N53" s="138"/>
      <c r="O53" s="138"/>
      <c r="P53" s="138"/>
      <c r="Q53" s="138"/>
    </row>
    <row r="54" spans="2:17" s="137" customFormat="1" ht="12.75" hidden="1" outlineLevel="1">
      <c r="B54" s="165" t="str">
        <f>'BSB - Bilan'!B41</f>
        <v>Emprunt nuger</v>
      </c>
      <c r="C54" s="206"/>
      <c r="D54" s="206">
        <f>'BSB - Bilan'!D41-'BSB - Bilan'!C41</f>
        <v>-3796</v>
      </c>
      <c r="E54" s="206">
        <f>'BSB - Bilan'!E41-'BSB - Bilan'!D41</f>
        <v>-1070</v>
      </c>
      <c r="F54" s="206">
        <f>'BSB - Bilan'!F41-'BSB - Bilan'!E41</f>
        <v>0</v>
      </c>
      <c r="G54" s="206">
        <f>'BSB - Bilan'!G41-'BSB - Bilan'!F41</f>
        <v>0</v>
      </c>
      <c r="H54" s="133"/>
      <c r="I54" s="206"/>
      <c r="J54" s="206"/>
      <c r="K54" s="206"/>
      <c r="L54" s="206"/>
      <c r="M54" s="206"/>
      <c r="N54" s="138"/>
      <c r="O54" s="138"/>
      <c r="P54" s="138"/>
      <c r="Q54" s="138"/>
    </row>
    <row r="55" spans="2:17" s="137" customFormat="1" ht="12.75" hidden="1" outlineLevel="1">
      <c r="B55" s="165" t="str">
        <f>'BSB - Bilan'!B42</f>
        <v>Emprunt CIC</v>
      </c>
      <c r="C55" s="206"/>
      <c r="D55" s="206">
        <f>'BSB - Bilan'!D42-'BSB - Bilan'!C42</f>
        <v>-23799</v>
      </c>
      <c r="E55" s="206">
        <f>'BSB - Bilan'!E42-'BSB - Bilan'!D42</f>
        <v>-17038</v>
      </c>
      <c r="F55" s="206">
        <f>'BSB - Bilan'!F42-'BSB - Bilan'!E42</f>
        <v>-17239</v>
      </c>
      <c r="G55" s="206">
        <f>'BSB - Bilan'!G42-'BSB - Bilan'!F42</f>
        <v>-17442</v>
      </c>
      <c r="H55" s="133"/>
      <c r="I55" s="206"/>
      <c r="J55" s="206"/>
      <c r="K55" s="206"/>
      <c r="L55" s="206"/>
      <c r="M55" s="206"/>
      <c r="N55" s="138"/>
      <c r="O55" s="138"/>
      <c r="P55" s="138"/>
      <c r="Q55" s="138"/>
    </row>
    <row r="56" spans="2:17" s="137" customFormat="1" ht="12.75" hidden="1" outlineLevel="1">
      <c r="B56" s="165" t="str">
        <f>'BSB - Bilan'!B43</f>
        <v>Emprunt CA n°0002001908</v>
      </c>
      <c r="C56" s="206"/>
      <c r="D56" s="206">
        <f>'BSB - Bilan'!D43-'BSB - Bilan'!C43</f>
        <v>-8470</v>
      </c>
      <c r="E56" s="206">
        <f>'BSB - Bilan'!E43-'BSB - Bilan'!D43</f>
        <v>-8568</v>
      </c>
      <c r="F56" s="206">
        <f>'BSB - Bilan'!F43-'BSB - Bilan'!E43</f>
        <v>-8658</v>
      </c>
      <c r="G56" s="206">
        <f>'BSB - Bilan'!G43-'BSB - Bilan'!F43</f>
        <v>-8751</v>
      </c>
      <c r="H56" s="133"/>
      <c r="I56" s="206"/>
      <c r="J56" s="206"/>
      <c r="K56" s="206"/>
      <c r="L56" s="206"/>
      <c r="M56" s="206"/>
      <c r="N56" s="138"/>
      <c r="O56" s="138"/>
      <c r="P56" s="138"/>
      <c r="Q56" s="138"/>
    </row>
    <row r="57" spans="2:17" s="137" customFormat="1" ht="12.75" hidden="1" outlineLevel="1">
      <c r="B57" s="165" t="str">
        <f>'BSB - Bilan'!B44</f>
        <v>Emprunt CA n°0002001930</v>
      </c>
      <c r="C57" s="206"/>
      <c r="D57" s="206">
        <f>'BSB - Bilan'!D44-'BSB - Bilan'!C44</f>
        <v>-20000</v>
      </c>
      <c r="E57" s="206">
        <f>'BSB - Bilan'!E44-'BSB - Bilan'!D44</f>
        <v>0</v>
      </c>
      <c r="F57" s="206">
        <f>'BSB - Bilan'!F44-'BSB - Bilan'!E44</f>
        <v>0</v>
      </c>
      <c r="G57" s="206">
        <f>'BSB - Bilan'!G44-'BSB - Bilan'!F44</f>
        <v>0</v>
      </c>
      <c r="H57" s="133"/>
      <c r="I57" s="206"/>
      <c r="J57" s="206"/>
      <c r="K57" s="206"/>
      <c r="L57" s="206"/>
      <c r="M57" s="206"/>
      <c r="N57" s="138"/>
      <c r="O57" s="138"/>
      <c r="P57" s="138"/>
      <c r="Q57" s="138"/>
    </row>
    <row r="58" spans="2:17" s="137" customFormat="1" ht="12.75" hidden="1" outlineLevel="1">
      <c r="B58" s="165" t="str">
        <f>'BSB - Bilan'!B45</f>
        <v>Emprunt PGE CA</v>
      </c>
      <c r="C58" s="206"/>
      <c r="D58" s="206">
        <f>'BSB - Bilan'!D45-'BSB - Bilan'!C45</f>
        <v>0</v>
      </c>
      <c r="E58" s="206">
        <f>'BSB - Bilan'!E45-'BSB - Bilan'!D45</f>
        <v>-9899</v>
      </c>
      <c r="F58" s="206">
        <f>'BSB - Bilan'!F45-'BSB - Bilan'!E45</f>
        <v>-29808</v>
      </c>
      <c r="G58" s="206">
        <f>'BSB - Bilan'!G45-'BSB - Bilan'!F45</f>
        <v>-29972</v>
      </c>
      <c r="H58" s="133"/>
      <c r="I58" s="206"/>
      <c r="J58" s="206"/>
      <c r="K58" s="206"/>
      <c r="L58" s="206"/>
      <c r="M58" s="206"/>
      <c r="N58" s="138"/>
      <c r="O58" s="138"/>
      <c r="P58" s="138"/>
      <c r="Q58" s="138"/>
    </row>
    <row r="59" spans="2:17" s="137" customFormat="1" ht="12.75" hidden="1" outlineLevel="1">
      <c r="B59" s="165" t="str">
        <f>'BSB - Bilan'!B46</f>
        <v>Emprunt PGE NUGER</v>
      </c>
      <c r="C59" s="206"/>
      <c r="D59" s="206">
        <f>'BSB - Bilan'!D46-'BSB - Bilan'!C46</f>
        <v>0</v>
      </c>
      <c r="E59" s="206">
        <f>'BSB - Bilan'!E46-'BSB - Bilan'!D46</f>
        <v>-7422</v>
      </c>
      <c r="F59" s="206">
        <f>'BSB - Bilan'!F46-'BSB - Bilan'!E46</f>
        <v>-22350</v>
      </c>
      <c r="G59" s="206">
        <f>'BSB - Bilan'!G46-'BSB - Bilan'!F46</f>
        <v>-22478</v>
      </c>
      <c r="H59" s="133"/>
      <c r="I59" s="206"/>
      <c r="J59" s="206"/>
      <c r="K59" s="206"/>
      <c r="L59" s="206"/>
      <c r="M59" s="206"/>
      <c r="N59" s="138"/>
      <c r="O59" s="138"/>
      <c r="P59" s="138"/>
      <c r="Q59" s="138"/>
    </row>
    <row r="60" spans="2:17" s="137" customFormat="1" ht="12.75" hidden="1" outlineLevel="1">
      <c r="B60" s="165" t="str">
        <f>'BSB - Bilan'!B47</f>
        <v>Emprunt BP n°9319</v>
      </c>
      <c r="C60" s="206"/>
      <c r="D60" s="206"/>
      <c r="E60" s="206"/>
      <c r="F60" s="206"/>
      <c r="G60" s="206">
        <f>'BSB - Bilan'!G47-'BSB - Bilan'!F47</f>
        <v>80391</v>
      </c>
      <c r="H60" s="133"/>
      <c r="I60" s="206"/>
      <c r="J60" s="206"/>
      <c r="K60" s="206"/>
      <c r="L60" s="206"/>
      <c r="M60" s="206"/>
      <c r="N60" s="138"/>
      <c r="O60" s="138"/>
      <c r="P60" s="138"/>
      <c r="Q60" s="138"/>
    </row>
    <row r="61" spans="2:17" s="137" customFormat="1" ht="12.75" hidden="1" outlineLevel="1">
      <c r="B61" s="165" t="str">
        <f>'BSB - Bilan'!B48</f>
        <v>Emprunt BP n°9320</v>
      </c>
      <c r="C61" s="206"/>
      <c r="D61" s="206"/>
      <c r="E61" s="206"/>
      <c r="F61" s="206"/>
      <c r="G61" s="206">
        <f>'BSB - Bilan'!G48-'BSB - Bilan'!F48</f>
        <v>89955</v>
      </c>
      <c r="H61" s="133"/>
      <c r="I61" s="206"/>
      <c r="J61" s="206"/>
      <c r="K61" s="206"/>
      <c r="L61" s="206"/>
      <c r="M61" s="206"/>
      <c r="N61" s="138"/>
      <c r="O61" s="138"/>
      <c r="P61" s="138"/>
      <c r="Q61" s="138"/>
    </row>
    <row r="62" spans="2:17" s="137" customFormat="1" ht="12.75" hidden="1" outlineLevel="1">
      <c r="B62" s="165" t="str">
        <f>'BSB - Bilan'!B49</f>
        <v>Intérêts courus sur emprunts</v>
      </c>
      <c r="C62" s="206"/>
      <c r="D62" s="206">
        <f>'BSB - Bilan'!D49-'BSB - Bilan'!C49</f>
        <v>45</v>
      </c>
      <c r="E62" s="206">
        <f>'BSB - Bilan'!E49-'BSB - Bilan'!D49</f>
        <v>-194</v>
      </c>
      <c r="F62" s="206">
        <f>'BSB - Bilan'!F49-'BSB - Bilan'!E49</f>
        <v>-29</v>
      </c>
      <c r="G62" s="206">
        <f>'BSB - Bilan'!G49-'BSB - Bilan'!F49</f>
        <v>327</v>
      </c>
      <c r="H62" s="133"/>
      <c r="I62" s="206"/>
      <c r="J62" s="206"/>
      <c r="K62" s="206"/>
      <c r="L62" s="206"/>
      <c r="M62" s="206"/>
      <c r="N62" s="138"/>
      <c r="O62" s="138"/>
      <c r="P62" s="138"/>
      <c r="Q62" s="138"/>
    </row>
    <row r="63" spans="2:17" s="137" customFormat="1" ht="12.75" hidden="1" outlineLevel="1">
      <c r="B63" s="164"/>
      <c r="C63" s="206"/>
      <c r="D63" s="206"/>
      <c r="E63" s="206"/>
      <c r="F63" s="206"/>
      <c r="G63" s="206"/>
      <c r="H63" s="133"/>
      <c r="I63" s="206"/>
      <c r="J63" s="206"/>
      <c r="K63" s="206"/>
      <c r="L63" s="206"/>
      <c r="M63" s="206"/>
      <c r="N63" s="138"/>
      <c r="O63" s="138"/>
      <c r="P63" s="138"/>
      <c r="Q63" s="138"/>
    </row>
    <row r="64" spans="2:17" collapsed="1">
      <c r="B64" s="161" t="s">
        <v>214</v>
      </c>
      <c r="C64" s="152"/>
      <c r="D64" s="152">
        <f>SUM(D65:D67)</f>
        <v>-61731</v>
      </c>
      <c r="E64" s="152">
        <f>SUM(E65:E67)</f>
        <v>23221</v>
      </c>
      <c r="F64" s="152">
        <f>SUM(F65:F67)</f>
        <v>378219</v>
      </c>
      <c r="G64" s="152">
        <f>SUM(G65:G67)</f>
        <v>43773</v>
      </c>
      <c r="H64" s="152"/>
      <c r="I64" s="152">
        <v>0</v>
      </c>
      <c r="J64" s="152">
        <f>'Probois 43 - Bilan'!J43</f>
        <v>0</v>
      </c>
      <c r="K64" s="152">
        <f>'Probois 43 - Bilan'!K43</f>
        <v>0</v>
      </c>
      <c r="L64" s="152">
        <f>'Probois 43 - Bilan'!L43</f>
        <v>0</v>
      </c>
      <c r="M64" s="205"/>
      <c r="N64" s="134"/>
      <c r="O64" s="134"/>
      <c r="P64" s="134"/>
      <c r="Q64" s="134"/>
    </row>
    <row r="65" spans="2:17" s="137" customFormat="1" ht="12.75" hidden="1" outlineLevel="1">
      <c r="B65" s="165" t="str">
        <f>'BSB - Bilan'!B52</f>
        <v>C/C sc des sucs</v>
      </c>
      <c r="C65" s="206"/>
      <c r="D65" s="206">
        <f>'BSB - Bilan'!D52-'BSB - Bilan'!C52</f>
        <v>-62753</v>
      </c>
      <c r="E65" s="206">
        <f>'BSB - Bilan'!E52-'BSB - Bilan'!D52</f>
        <v>23902</v>
      </c>
      <c r="F65" s="206">
        <f>'BSB - Bilan'!F52-'BSB - Bilan'!E52</f>
        <v>366551</v>
      </c>
      <c r="G65" s="206">
        <f>'BSB - Bilan'!G52-'BSB - Bilan'!F52</f>
        <v>44490</v>
      </c>
      <c r="H65" s="133"/>
      <c r="I65" s="206"/>
      <c r="J65" s="206"/>
      <c r="K65" s="206"/>
      <c r="L65" s="206"/>
      <c r="M65" s="206"/>
      <c r="N65" s="138"/>
      <c r="O65" s="138"/>
      <c r="P65" s="138"/>
      <c r="Q65" s="138"/>
    </row>
    <row r="66" spans="2:17" s="137" customFormat="1" ht="12.75" hidden="1" outlineLevel="1">
      <c r="B66" s="165" t="str">
        <f>'BSB - Bilan'!B53</f>
        <v>Associé intérêt couru</v>
      </c>
      <c r="C66" s="206"/>
      <c r="D66" s="206">
        <f>'BSB - Bilan'!D53-'BSB - Bilan'!C53</f>
        <v>1022</v>
      </c>
      <c r="E66" s="206">
        <f>'BSB - Bilan'!E53-'BSB - Bilan'!D53</f>
        <v>-681</v>
      </c>
      <c r="F66" s="206">
        <f>'BSB - Bilan'!F53-'BSB - Bilan'!E53</f>
        <v>11668</v>
      </c>
      <c r="G66" s="206">
        <f>'BSB - Bilan'!G53-'BSB - Bilan'!F53</f>
        <v>-717</v>
      </c>
      <c r="H66" s="133"/>
      <c r="I66" s="206"/>
      <c r="J66" s="206"/>
      <c r="K66" s="206"/>
      <c r="L66" s="206"/>
      <c r="M66" s="206"/>
      <c r="N66" s="138"/>
      <c r="O66" s="138"/>
      <c r="P66" s="138"/>
      <c r="Q66" s="138"/>
    </row>
    <row r="67" spans="2:17" s="137" customFormat="1" ht="12.75" hidden="1" outlineLevel="1">
      <c r="B67" s="164"/>
      <c r="C67" s="206"/>
      <c r="D67" s="206"/>
      <c r="E67" s="206"/>
      <c r="F67" s="206"/>
      <c r="G67" s="206"/>
      <c r="H67" s="133"/>
      <c r="I67" s="206"/>
      <c r="J67" s="206"/>
      <c r="K67" s="206"/>
      <c r="L67" s="206"/>
      <c r="M67" s="206"/>
      <c r="N67" s="138"/>
      <c r="O67" s="138"/>
      <c r="P67" s="138"/>
      <c r="Q67" s="138"/>
    </row>
    <row r="68" spans="2:17" collapsed="1">
      <c r="B68" s="161" t="s">
        <v>162</v>
      </c>
      <c r="C68" s="134"/>
      <c r="D68" s="134">
        <f>'BSB - Bilan'!D30-'BSB - Bilan'!C30+'BSB - P&amp;L'!D224</f>
        <v>0</v>
      </c>
      <c r="E68" s="134">
        <f>'BSB - Bilan'!E30-'BSB - Bilan'!D30+'BSB - P&amp;L'!E224</f>
        <v>1</v>
      </c>
      <c r="F68" s="134">
        <f>'BSB - Bilan'!F30-'BSB - Bilan'!E30+'BSB - P&amp;L'!F224</f>
        <v>18887</v>
      </c>
      <c r="G68" s="134">
        <f>'BSB - Bilan'!G30-'BSB - Bilan'!F30+'BSB - P&amp;L'!G224</f>
        <v>58076</v>
      </c>
      <c r="H68" s="134"/>
      <c r="I68" s="134">
        <v>0</v>
      </c>
      <c r="J68" s="134">
        <v>192000</v>
      </c>
      <c r="K68" s="134">
        <f>'Probois 43 - Bilan'!J30</f>
        <v>0</v>
      </c>
      <c r="L68" s="134">
        <f>'Probois 43 - Bilan'!K30</f>
        <v>0</v>
      </c>
      <c r="M68" s="205"/>
      <c r="N68" s="134"/>
      <c r="O68" s="134"/>
      <c r="P68" s="134"/>
      <c r="Q68" s="134"/>
    </row>
    <row r="69" spans="2:17" s="137" customFormat="1" ht="12.75" hidden="1" outlineLevel="1">
      <c r="B69" s="162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207"/>
      <c r="N69" s="138"/>
      <c r="O69" s="138"/>
      <c r="P69" s="138"/>
      <c r="Q69" s="138"/>
    </row>
    <row r="70" spans="2:17" s="137" customFormat="1" collapsed="1">
      <c r="B70" s="161" t="s">
        <v>263</v>
      </c>
      <c r="C70" s="134"/>
      <c r="D70" s="134">
        <f>-('Probois 43 - Bilan'!C28+'Probois 43 - Bilan'!C29-'Probois 43 - Bilan'!D28)</f>
        <v>0</v>
      </c>
      <c r="E70" s="134"/>
      <c r="F70" s="134"/>
      <c r="G70" s="134"/>
      <c r="H70" s="134"/>
      <c r="I70" s="134">
        <v>0</v>
      </c>
      <c r="J70" s="134">
        <f>+'Probois 43 - Bilan'!J28-('Probois 43 - Bilan'!I28+'Probois 43 - Bilan'!I29)</f>
        <v>0</v>
      </c>
      <c r="K70" s="134">
        <f>+'Probois 43 - Bilan'!K28-('Probois 43 - Bilan'!J28+'Probois 43 - Bilan'!J29)</f>
        <v>0</v>
      </c>
      <c r="L70" s="134">
        <f>+'Probois 43 - Bilan'!L28-('Probois 43 - Bilan'!K28+'Probois 43 - Bilan'!K29)</f>
        <v>0</v>
      </c>
      <c r="M70" s="207"/>
      <c r="N70" s="138"/>
      <c r="O70" s="138"/>
      <c r="P70" s="138"/>
      <c r="Q70" s="138"/>
    </row>
    <row r="71" spans="2:17" s="137" customFormat="1" ht="12.75" hidden="1" outlineLevel="1">
      <c r="B71" s="162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207"/>
      <c r="N71" s="138"/>
      <c r="O71" s="138"/>
      <c r="P71" s="138"/>
      <c r="Q71" s="138"/>
    </row>
    <row r="72" spans="2:17" collapsed="1">
      <c r="B72" s="161" t="s">
        <v>252</v>
      </c>
      <c r="C72" s="205"/>
      <c r="D72" s="205">
        <v>0</v>
      </c>
      <c r="E72" s="205">
        <v>0</v>
      </c>
      <c r="F72" s="205">
        <v>0</v>
      </c>
      <c r="G72" s="205">
        <v>0</v>
      </c>
      <c r="H72" s="134"/>
      <c r="I72" s="134">
        <v>0</v>
      </c>
      <c r="J72" s="134">
        <f t="shared" ref="J72" si="7">SUM(J73:J74)</f>
        <v>0</v>
      </c>
      <c r="K72" s="134">
        <f t="shared" ref="K72:L72" si="8">SUM(K73:K74)</f>
        <v>0</v>
      </c>
      <c r="L72" s="134">
        <f t="shared" si="8"/>
        <v>0</v>
      </c>
      <c r="M72" s="205"/>
      <c r="N72" s="134"/>
      <c r="O72" s="134"/>
      <c r="P72" s="134"/>
      <c r="Q72" s="134"/>
    </row>
    <row r="73" spans="2:17" s="137" customFormat="1" ht="12.75" hidden="1" outlineLevel="1">
      <c r="B73" s="166" t="s">
        <v>101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207"/>
      <c r="N73" s="138"/>
      <c r="O73" s="138"/>
      <c r="P73" s="138"/>
      <c r="Q73" s="138"/>
    </row>
    <row r="74" spans="2:17" s="137" customFormat="1" ht="12.75" hidden="1" outlineLevel="1">
      <c r="B74" s="166" t="s">
        <v>253</v>
      </c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207"/>
      <c r="N74" s="138"/>
      <c r="O74" s="138"/>
      <c r="P74" s="138"/>
      <c r="Q74" s="138"/>
    </row>
    <row r="75" spans="2:17" s="137" customFormat="1" ht="12.75" collapsed="1">
      <c r="B75" s="162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207"/>
      <c r="N75" s="138"/>
      <c r="O75" s="138"/>
      <c r="P75" s="138"/>
      <c r="Q75" s="138"/>
    </row>
    <row r="76" spans="2:17">
      <c r="B76" s="159" t="s">
        <v>246</v>
      </c>
      <c r="C76" s="208"/>
      <c r="D76" s="208">
        <f t="shared" ref="D76:L76" si="9">D38+D39+D51+D64+D68+D70+D72</f>
        <v>-147619</v>
      </c>
      <c r="E76" s="208">
        <f t="shared" si="9"/>
        <v>-39621</v>
      </c>
      <c r="F76" s="208">
        <f t="shared" si="9"/>
        <v>286804</v>
      </c>
      <c r="G76" s="208">
        <f t="shared" ref="G76" si="10">G38+G39+G51+G64+G68+G70+G72</f>
        <v>152512</v>
      </c>
      <c r="H76" s="221"/>
      <c r="I76" s="208">
        <v>-255386</v>
      </c>
      <c r="J76" s="208">
        <f t="shared" si="9"/>
        <v>212161</v>
      </c>
      <c r="K76" s="208">
        <f t="shared" si="9"/>
        <v>-223473</v>
      </c>
      <c r="L76" s="208">
        <f t="shared" si="9"/>
        <v>-223473</v>
      </c>
      <c r="M76" s="208"/>
    </row>
    <row r="77" spans="2:17">
      <c r="B77" s="163"/>
      <c r="C77" s="163"/>
      <c r="D77" s="163"/>
      <c r="E77" s="163"/>
      <c r="F77" s="163"/>
      <c r="G77" s="163"/>
      <c r="H77" s="151"/>
      <c r="I77" s="163"/>
      <c r="J77" s="163"/>
      <c r="K77" s="163"/>
      <c r="L77" s="163"/>
      <c r="M77" s="203"/>
    </row>
    <row r="78" spans="2:17">
      <c r="B78" s="162" t="s">
        <v>247</v>
      </c>
      <c r="C78" s="138"/>
      <c r="D78" s="138">
        <v>2</v>
      </c>
      <c r="E78" s="138">
        <v>6</v>
      </c>
      <c r="F78" s="138">
        <v>-2</v>
      </c>
      <c r="G78" s="138">
        <v>2</v>
      </c>
      <c r="H78" s="138"/>
      <c r="I78" s="138">
        <v>-3</v>
      </c>
      <c r="J78" s="138"/>
      <c r="K78" s="138"/>
      <c r="L78" s="138"/>
      <c r="M78" s="207"/>
    </row>
    <row r="79" spans="2:17">
      <c r="B79" s="159" t="s">
        <v>248</v>
      </c>
      <c r="C79" s="160"/>
      <c r="D79" s="160">
        <f t="shared" ref="D79:L79" si="11">D76+D78+D35+D28</f>
        <v>-223105</v>
      </c>
      <c r="E79" s="160">
        <f t="shared" si="11"/>
        <v>34087</v>
      </c>
      <c r="F79" s="160">
        <f t="shared" si="11"/>
        <v>49088</v>
      </c>
      <c r="G79" s="160">
        <f t="shared" ref="G79" si="12">G76+G78+G35+G28</f>
        <v>121652</v>
      </c>
      <c r="H79" s="160"/>
      <c r="I79" s="160">
        <v>149329</v>
      </c>
      <c r="J79" s="160">
        <f t="shared" si="11"/>
        <v>5339</v>
      </c>
      <c r="K79" s="160">
        <f t="shared" si="11"/>
        <v>54826</v>
      </c>
      <c r="L79" s="160">
        <f t="shared" si="11"/>
        <v>57458</v>
      </c>
      <c r="M79" s="202"/>
    </row>
    <row r="80" spans="2:17"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203"/>
    </row>
    <row r="81" spans="2:13">
      <c r="B81" s="151" t="s">
        <v>249</v>
      </c>
      <c r="C81" s="152"/>
      <c r="D81" s="152">
        <f>C82</f>
        <v>261314</v>
      </c>
      <c r="E81" s="152">
        <f>D82</f>
        <v>38209</v>
      </c>
      <c r="F81" s="152">
        <f t="shared" ref="F81:L81" si="13">E82</f>
        <v>72296</v>
      </c>
      <c r="G81" s="152">
        <f t="shared" si="13"/>
        <v>121384</v>
      </c>
      <c r="H81" s="152"/>
      <c r="I81" s="152">
        <v>309284</v>
      </c>
      <c r="J81" s="152">
        <f t="shared" si="13"/>
        <v>458613</v>
      </c>
      <c r="K81" s="152">
        <f t="shared" si="13"/>
        <v>463952</v>
      </c>
      <c r="L81" s="152">
        <f t="shared" si="13"/>
        <v>518778</v>
      </c>
      <c r="M81" s="191"/>
    </row>
    <row r="82" spans="2:13">
      <c r="B82" s="159" t="s">
        <v>250</v>
      </c>
      <c r="C82" s="160">
        <f>'BSB - Bilan'!C18</f>
        <v>261314</v>
      </c>
      <c r="D82" s="160">
        <f t="shared" ref="D82:F82" si="14">D79+D81</f>
        <v>38209</v>
      </c>
      <c r="E82" s="160">
        <f t="shared" si="14"/>
        <v>72296</v>
      </c>
      <c r="F82" s="160">
        <f t="shared" si="14"/>
        <v>121384</v>
      </c>
      <c r="G82" s="160">
        <f t="shared" ref="G82" si="15">G79+G81</f>
        <v>243036</v>
      </c>
      <c r="H82" s="160"/>
      <c r="I82" s="160">
        <v>458613</v>
      </c>
      <c r="J82" s="160">
        <f t="shared" ref="J82:L82" si="16">J79+J81</f>
        <v>463952</v>
      </c>
      <c r="K82" s="160">
        <f t="shared" si="16"/>
        <v>518778</v>
      </c>
      <c r="L82" s="160">
        <f t="shared" si="16"/>
        <v>576236</v>
      </c>
      <c r="M82" s="202"/>
    </row>
    <row r="83" spans="2:13">
      <c r="B83" s="159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205"/>
    </row>
    <row r="84" spans="2:13">
      <c r="B84" s="168" t="s">
        <v>221</v>
      </c>
      <c r="C84" s="167"/>
      <c r="D84" s="167" t="str">
        <f>IF(ABS(D82-'BSB - Bilan'!D18)&lt;0.1,"Validé","Erreur")</f>
        <v>Validé</v>
      </c>
      <c r="E84" s="167" t="str">
        <f>IF(ABS(E82-'BSB - Bilan'!E18)&lt;0.1,"Validé","Erreur")</f>
        <v>Validé</v>
      </c>
      <c r="F84" s="167" t="str">
        <f>IF(ABS(F82-'BSB - Bilan'!F18)&lt;0.1,"Validé","Erreur")</f>
        <v>Validé</v>
      </c>
      <c r="G84" s="167" t="str">
        <f>IF(ABS(G82-'BSB - Bilan'!G18)&lt;0.1,"Validé","Erreur")</f>
        <v>Validé</v>
      </c>
      <c r="H84" s="167"/>
      <c r="I84" s="167" t="s">
        <v>874</v>
      </c>
      <c r="J84" s="167" t="str">
        <f>IF(ABS(J82-'BSB - Bilan'!J18)&lt;0.1,"Validé","Erreur")</f>
        <v>Validé</v>
      </c>
      <c r="K84" s="167" t="str">
        <f>IF(ABS(K82-'BSB - Bilan'!K18)&lt;0.1,"Validé","Erreur")</f>
        <v>Validé</v>
      </c>
      <c r="L84" s="167" t="str">
        <f>IF(ABS(L82-'BSB - Bilan'!L18)&lt;0.1,"Validé","Erreur")</f>
        <v>Validé</v>
      </c>
      <c r="M84" s="209"/>
    </row>
    <row r="85" spans="2:13">
      <c r="C85" s="151"/>
      <c r="D85" s="151"/>
      <c r="E85" s="151"/>
      <c r="F85" s="151"/>
      <c r="G85" s="151"/>
      <c r="H85" s="151"/>
    </row>
    <row r="86" spans="2:13">
      <c r="C86" s="134"/>
      <c r="D86" s="134"/>
      <c r="E86" s="134"/>
      <c r="F86" s="134"/>
      <c r="G86" s="134"/>
      <c r="H86" s="134"/>
      <c r="I86" s="134"/>
      <c r="J86" s="134"/>
    </row>
    <row r="87" spans="2:13">
      <c r="C87" s="136"/>
      <c r="D87" s="136"/>
      <c r="E87" s="136"/>
      <c r="F87" s="136"/>
      <c r="G87" s="136"/>
      <c r="H87" s="136"/>
      <c r="I87" s="136"/>
      <c r="J87" s="136"/>
      <c r="K87" s="136"/>
      <c r="L87" s="136"/>
    </row>
    <row r="88" spans="2:13">
      <c r="C88" s="134"/>
      <c r="D88" s="134"/>
      <c r="E88" s="134"/>
      <c r="F88" s="134"/>
      <c r="G88" s="134"/>
      <c r="H88" s="134"/>
      <c r="I88" s="134"/>
      <c r="J88" s="134"/>
    </row>
    <row r="89" spans="2:13">
      <c r="I89" s="273"/>
      <c r="J89" s="273"/>
      <c r="K89" s="273"/>
      <c r="L89" s="273"/>
    </row>
  </sheetData>
  <mergeCells count="1">
    <mergeCell ref="B2:B4"/>
  </mergeCells>
  <conditionalFormatting sqref="C84:L84">
    <cfRule type="containsText" dxfId="143" priority="1" operator="containsText" text="Validé">
      <formula>NOT(ISERROR(SEARCH("Validé",C84)))</formula>
    </cfRule>
    <cfRule type="containsText" dxfId="142" priority="2" operator="containsText" text="Erreur">
      <formula>NOT(ISERROR(SEARCH("Erreur",C84)))</formula>
    </cfRule>
  </conditionalFormatting>
  <conditionalFormatting sqref="C81:M81">
    <cfRule type="containsText" dxfId="141" priority="98" operator="containsText" text="Equilibré">
      <formula>NOT(ISERROR(SEARCH("Equilibré",C81)))</formula>
    </cfRule>
    <cfRule type="containsText" dxfId="140" priority="99" operator="containsText" text="Erreur">
      <formula>NOT(ISERROR(SEARCH("Erreur",C81)))</formula>
    </cfRule>
    <cfRule type="containsText" dxfId="139" priority="100" operator="containsText" text="Validé">
      <formula>NOT(ISERROR(SEARCH("Validé",C81)))</formula>
    </cfRule>
    <cfRule type="containsText" dxfId="138" priority="101" operator="containsText" text="Erreur">
      <formula>NOT(ISERROR(SEARCH("Erreur",C81)))</formula>
    </cfRule>
    <cfRule type="colorScale" priority="102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35564-2DB2-CC4C-BAC9-313D1C6BDB5E}">
  <sheetPr codeName="Feuil23">
    <tabColor rgb="FF006C4C"/>
  </sheetPr>
  <dimension ref="A2:AP81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N34" sqref="N34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 t="s">
        <v>261</v>
      </c>
      <c r="H2" s="193"/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8">
        <v>45900</v>
      </c>
      <c r="J3" s="248">
        <v>46265</v>
      </c>
      <c r="K3" s="248">
        <v>46630</v>
      </c>
      <c r="L3" s="248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218"/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353743</v>
      </c>
      <c r="D8" s="128">
        <f t="shared" si="0"/>
        <v>399601</v>
      </c>
      <c r="E8" s="128">
        <f t="shared" si="0"/>
        <v>434832</v>
      </c>
      <c r="F8" s="128">
        <f>SUM(F9:F11)</f>
        <v>479215</v>
      </c>
      <c r="G8" s="128">
        <f>SUM(G9:G11)</f>
        <v>626315</v>
      </c>
      <c r="H8" s="128"/>
      <c r="I8" s="128">
        <v>1243444</v>
      </c>
      <c r="J8" s="128">
        <v>1492613</v>
      </c>
      <c r="K8" s="128">
        <v>1263029</v>
      </c>
      <c r="L8" s="128">
        <v>1034256</v>
      </c>
    </row>
    <row r="9" spans="2:15">
      <c r="B9" s="131" t="s">
        <v>195</v>
      </c>
      <c r="C9" s="132">
        <f>2832+5000</f>
        <v>7832</v>
      </c>
      <c r="D9" s="132">
        <v>6439</v>
      </c>
      <c r="E9" s="132">
        <v>5169</v>
      </c>
      <c r="F9" s="132">
        <v>5000</v>
      </c>
      <c r="G9" s="132">
        <f>7250</f>
        <v>7250</v>
      </c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>
        <f>6387+32665+306859</f>
        <v>345911</v>
      </c>
      <c r="D10" s="132">
        <f>5493+73221+314448</f>
        <v>393162</v>
      </c>
      <c r="E10" s="132">
        <f>4599+144458+280606</f>
        <v>429663</v>
      </c>
      <c r="F10" s="132">
        <f>19329+132727+259759+62400</f>
        <v>474215</v>
      </c>
      <c r="G10" s="132">
        <f>18119+123147+477646</f>
        <v>618912</v>
      </c>
      <c r="H10" s="132"/>
      <c r="I10" s="132"/>
      <c r="J10" s="132"/>
      <c r="K10" s="132"/>
      <c r="L10" s="132"/>
      <c r="M10" s="188"/>
      <c r="N10" s="188"/>
      <c r="O10" s="188"/>
    </row>
    <row r="11" spans="2:15">
      <c r="B11" s="131" t="s">
        <v>197</v>
      </c>
      <c r="C11" s="132"/>
      <c r="D11" s="132"/>
      <c r="E11" s="132">
        <v>0</v>
      </c>
      <c r="F11" s="132">
        <v>0</v>
      </c>
      <c r="G11" s="132">
        <v>153</v>
      </c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1">SUM(C14:C16,C17:C19)</f>
        <v>699197</v>
      </c>
      <c r="D13" s="128">
        <f t="shared" si="1"/>
        <v>502369</v>
      </c>
      <c r="E13" s="128">
        <f t="shared" si="1"/>
        <v>926026</v>
      </c>
      <c r="F13" s="128">
        <f>SUM(F14:F16,F17:F19)</f>
        <v>1005696</v>
      </c>
      <c r="G13" s="128">
        <f>SUM(G14:G16,G17:G19)</f>
        <v>1268068</v>
      </c>
      <c r="H13" s="128"/>
      <c r="I13" s="128">
        <v>1037289</v>
      </c>
      <c r="J13" s="128">
        <f>SUM(J14:J20)</f>
        <v>1099712</v>
      </c>
      <c r="K13" s="128">
        <f>SUM(K14:K20)</f>
        <v>1179678</v>
      </c>
      <c r="L13" s="128">
        <f>SUM(L14:L20)</f>
        <v>1269943</v>
      </c>
      <c r="M13" s="186"/>
      <c r="N13" s="186"/>
      <c r="O13" s="186"/>
    </row>
    <row r="14" spans="2:15">
      <c r="B14" s="131" t="s">
        <v>199</v>
      </c>
      <c r="C14" s="132">
        <f>153292+103809</f>
        <v>257101</v>
      </c>
      <c r="D14" s="132">
        <f>205242+110480</f>
        <v>315722</v>
      </c>
      <c r="E14" s="132">
        <f>509456+40302</f>
        <v>549758</v>
      </c>
      <c r="F14" s="132">
        <f>499302+112966</f>
        <v>612268</v>
      </c>
      <c r="G14" s="132">
        <f>551814+64923</f>
        <v>616737</v>
      </c>
      <c r="H14" s="132"/>
      <c r="I14" s="132">
        <v>370504</v>
      </c>
      <c r="J14" s="132">
        <v>407554</v>
      </c>
      <c r="K14" s="132">
        <v>427931</v>
      </c>
      <c r="L14" s="132">
        <v>449328</v>
      </c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>
        <v>157701</v>
      </c>
      <c r="D16" s="132">
        <v>133427</v>
      </c>
      <c r="E16" s="132">
        <v>277532</v>
      </c>
      <c r="F16" s="132">
        <f>244841</f>
        <v>244841</v>
      </c>
      <c r="G16" s="132">
        <f>296078+8856</f>
        <v>304934</v>
      </c>
      <c r="H16" s="132"/>
      <c r="I16" s="132">
        <v>197606</v>
      </c>
      <c r="J16" s="132">
        <v>217353</v>
      </c>
      <c r="K16" s="132">
        <v>228230</v>
      </c>
      <c r="L16" s="132">
        <v>239640</v>
      </c>
      <c r="M16" s="136"/>
      <c r="N16" s="136"/>
      <c r="O16" s="136"/>
    </row>
    <row r="17" spans="2:15">
      <c r="B17" s="131" t="s">
        <v>202</v>
      </c>
      <c r="C17" s="132">
        <f>5637+13420</f>
        <v>19057</v>
      </c>
      <c r="D17" s="132">
        <f>6230+4532</f>
        <v>10762</v>
      </c>
      <c r="E17" s="132">
        <v>22082</v>
      </c>
      <c r="F17" s="132">
        <f>20097+2367</f>
        <v>22464</v>
      </c>
      <c r="G17" s="132">
        <f>80342</f>
        <v>80342</v>
      </c>
      <c r="H17" s="132"/>
      <c r="I17" s="132">
        <v>5827</v>
      </c>
      <c r="J17" s="132">
        <v>6114</v>
      </c>
      <c r="K17" s="132"/>
      <c r="L17" s="132"/>
      <c r="M17" s="136"/>
      <c r="N17" s="136"/>
      <c r="O17" s="136"/>
    </row>
    <row r="18" spans="2:15">
      <c r="B18" s="131" t="s">
        <v>203</v>
      </c>
      <c r="C18" s="132">
        <v>261314</v>
      </c>
      <c r="D18" s="132">
        <v>38209</v>
      </c>
      <c r="E18" s="132">
        <v>72296</v>
      </c>
      <c r="F18" s="132">
        <v>121384</v>
      </c>
      <c r="G18" s="132">
        <v>243036</v>
      </c>
      <c r="H18" s="132"/>
      <c r="I18" s="132">
        <v>458613</v>
      </c>
      <c r="J18" s="132">
        <v>463952</v>
      </c>
      <c r="K18" s="132">
        <v>518778</v>
      </c>
      <c r="L18" s="132">
        <v>576236</v>
      </c>
      <c r="M18" s="136"/>
      <c r="N18" s="136"/>
      <c r="O18" s="136"/>
    </row>
    <row r="19" spans="2:15">
      <c r="B19" s="131" t="s">
        <v>204</v>
      </c>
      <c r="C19" s="132">
        <v>4024</v>
      </c>
      <c r="D19" s="132">
        <v>4249</v>
      </c>
      <c r="E19" s="132">
        <v>4358</v>
      </c>
      <c r="F19" s="132">
        <v>4739</v>
      </c>
      <c r="G19" s="132">
        <v>23019</v>
      </c>
      <c r="H19" s="132"/>
      <c r="I19" s="132">
        <v>4739</v>
      </c>
      <c r="J19" s="132">
        <f t="shared" ref="J19:L19" si="2">I19</f>
        <v>4739</v>
      </c>
      <c r="K19" s="132">
        <f t="shared" si="2"/>
        <v>4739</v>
      </c>
      <c r="L19" s="132">
        <f t="shared" si="2"/>
        <v>4739</v>
      </c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>
        <v>-1</v>
      </c>
      <c r="D21" s="132"/>
      <c r="E21" s="132">
        <v>1</v>
      </c>
      <c r="F21" s="132"/>
      <c r="G21" s="132">
        <v>1</v>
      </c>
      <c r="H21" s="132"/>
      <c r="I21" s="132"/>
      <c r="J21" s="132"/>
      <c r="K21" s="132"/>
      <c r="L21" s="132"/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1052939</v>
      </c>
      <c r="D23" s="140">
        <f t="shared" ref="D23:L23" si="3">+D6+D8+D13+D21</f>
        <v>901970</v>
      </c>
      <c r="E23" s="140">
        <f t="shared" si="3"/>
        <v>1360859</v>
      </c>
      <c r="F23" s="140">
        <f t="shared" si="3"/>
        <v>1484911</v>
      </c>
      <c r="G23" s="140">
        <f t="shared" ref="G23" si="4">+G6+G8+G13+G21</f>
        <v>1894384</v>
      </c>
      <c r="H23" s="271"/>
      <c r="I23" s="140">
        <v>2280733</v>
      </c>
      <c r="J23" s="140">
        <f t="shared" si="3"/>
        <v>2592325</v>
      </c>
      <c r="K23" s="140">
        <f t="shared" si="3"/>
        <v>2442707</v>
      </c>
      <c r="L23" s="140">
        <f t="shared" si="3"/>
        <v>2304199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5">SUM(C26:C31)</f>
        <v>164652</v>
      </c>
      <c r="D25" s="128">
        <f t="shared" si="5"/>
        <v>186905</v>
      </c>
      <c r="E25" s="128">
        <f t="shared" si="5"/>
        <v>266705</v>
      </c>
      <c r="F25" s="128">
        <f t="shared" ref="F25:L25" si="6">SUM(F26:F31)</f>
        <v>357751</v>
      </c>
      <c r="G25" s="128">
        <f t="shared" ref="G25" si="7">SUM(G26:G31)</f>
        <v>496655</v>
      </c>
      <c r="H25" s="128"/>
      <c r="I25" s="128">
        <v>547806</v>
      </c>
      <c r="J25" s="128">
        <f t="shared" si="6"/>
        <v>759617</v>
      </c>
      <c r="K25" s="128">
        <f t="shared" si="6"/>
        <v>795586</v>
      </c>
      <c r="L25" s="128">
        <f t="shared" si="6"/>
        <v>847953</v>
      </c>
    </row>
    <row r="26" spans="2:15">
      <c r="B26" s="131" t="s">
        <v>206</v>
      </c>
      <c r="C26" s="132">
        <v>10000</v>
      </c>
      <c r="D26" s="132">
        <v>10000</v>
      </c>
      <c r="E26" s="132">
        <v>10000</v>
      </c>
      <c r="F26" s="132">
        <v>10000</v>
      </c>
      <c r="G26" s="132">
        <f>F26</f>
        <v>10000</v>
      </c>
      <c r="H26" s="132"/>
      <c r="I26" s="132">
        <v>10000</v>
      </c>
      <c r="J26" s="132">
        <v>10000</v>
      </c>
      <c r="K26" s="132">
        <v>10000</v>
      </c>
      <c r="L26" s="132">
        <v>10000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>
        <f>1000+57770</f>
        <v>58770</v>
      </c>
      <c r="D28" s="132">
        <f>1000+89776</f>
        <v>90776</v>
      </c>
      <c r="E28" s="132">
        <f>1000+116791</f>
        <v>117791</v>
      </c>
      <c r="F28" s="132">
        <f>1000+201352</f>
        <v>202352</v>
      </c>
      <c r="G28" s="132">
        <f>F28+F29</f>
        <v>280147</v>
      </c>
      <c r="H28" s="132"/>
      <c r="I28" s="132">
        <v>366215</v>
      </c>
      <c r="J28" s="132">
        <f>I28+I29</f>
        <v>434807</v>
      </c>
      <c r="K28" s="132">
        <f>J28+J29</f>
        <v>485054</v>
      </c>
      <c r="L28" s="132">
        <f>K28+K29</f>
        <v>551459</v>
      </c>
      <c r="N28" s="134"/>
      <c r="O28" s="134"/>
    </row>
    <row r="29" spans="2:15">
      <c r="B29" s="131" t="s">
        <v>32</v>
      </c>
      <c r="C29" s="132">
        <f>'BSB - P&amp;L'!C238</f>
        <v>32006</v>
      </c>
      <c r="D29" s="132">
        <f>'BSB - P&amp;L'!D238</f>
        <v>27015</v>
      </c>
      <c r="E29" s="132">
        <f>'BSB - P&amp;L'!E238</f>
        <v>84561</v>
      </c>
      <c r="F29" s="132">
        <f>'BSB - P&amp;L'!F238</f>
        <v>77795</v>
      </c>
      <c r="G29" s="132">
        <f>'BSB - P&amp;L'!G238</f>
        <v>91398</v>
      </c>
      <c r="H29" s="132"/>
      <c r="I29" s="132">
        <v>68592</v>
      </c>
      <c r="J29" s="132">
        <f>'BSB - P&amp;L'!J238</f>
        <v>50247</v>
      </c>
      <c r="K29" s="132">
        <f>'BSB - P&amp;L'!K238</f>
        <v>66405</v>
      </c>
      <c r="L29" s="132">
        <f>'BSB - P&amp;L'!L238</f>
        <v>82803</v>
      </c>
      <c r="N29" s="134"/>
    </row>
    <row r="30" spans="2:15">
      <c r="B30" s="131" t="s">
        <v>208</v>
      </c>
      <c r="C30" s="132">
        <v>63876</v>
      </c>
      <c r="D30" s="132">
        <v>59114</v>
      </c>
      <c r="E30" s="132">
        <v>54353</v>
      </c>
      <c r="F30" s="132">
        <v>67604</v>
      </c>
      <c r="G30" s="132">
        <v>115110</v>
      </c>
      <c r="H30" s="132"/>
      <c r="I30" s="132">
        <v>102999</v>
      </c>
      <c r="J30" s="132">
        <v>264563</v>
      </c>
      <c r="K30" s="132">
        <v>234127</v>
      </c>
      <c r="L30" s="132">
        <v>203691</v>
      </c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8">SUM(C34:C36)</f>
        <v>0</v>
      </c>
      <c r="D33" s="128">
        <f t="shared" si="8"/>
        <v>0</v>
      </c>
      <c r="E33" s="128">
        <f t="shared" si="8"/>
        <v>0</v>
      </c>
      <c r="F33" s="128">
        <f t="shared" si="8"/>
        <v>0</v>
      </c>
      <c r="G33" s="128">
        <f t="shared" ref="G33" si="9">SUM(G34:G36)</f>
        <v>0</v>
      </c>
      <c r="H33" s="128"/>
      <c r="I33" s="128">
        <v>0</v>
      </c>
      <c r="J33" s="128">
        <f t="shared" si="8"/>
        <v>0</v>
      </c>
      <c r="K33" s="128">
        <f t="shared" si="8"/>
        <v>0</v>
      </c>
      <c r="L33" s="128">
        <f t="shared" si="8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F37" si="10">+C38+C51</f>
        <v>699507</v>
      </c>
      <c r="D37" s="185">
        <f t="shared" si="10"/>
        <v>558904</v>
      </c>
      <c r="E37" s="185">
        <f t="shared" si="10"/>
        <v>524914</v>
      </c>
      <c r="F37" s="185">
        <f t="shared" si="10"/>
        <v>811911</v>
      </c>
      <c r="G37" s="185">
        <f t="shared" ref="G37" si="11">+G38+G51</f>
        <v>939996</v>
      </c>
      <c r="H37" s="185"/>
      <c r="I37" s="185">
        <v>1471864</v>
      </c>
      <c r="J37" s="185">
        <v>1515544</v>
      </c>
      <c r="K37" s="185">
        <v>1312050</v>
      </c>
      <c r="L37" s="185">
        <v>1105032</v>
      </c>
      <c r="M37" s="190"/>
      <c r="N37" s="190"/>
      <c r="O37" s="190"/>
    </row>
    <row r="38" spans="2:17">
      <c r="B38" s="131" t="s">
        <v>213</v>
      </c>
      <c r="C38" s="132">
        <f>SUM(C39:C50)</f>
        <v>495553</v>
      </c>
      <c r="D38" s="132">
        <f>SUM(D39:D50)</f>
        <v>416681</v>
      </c>
      <c r="E38" s="132">
        <f>SUM(E39:E50)</f>
        <v>359470</v>
      </c>
      <c r="F38" s="132">
        <f>SUM(F39:F50)</f>
        <v>268248</v>
      </c>
      <c r="G38" s="132">
        <f>SUM(G39:G50)</f>
        <v>352560</v>
      </c>
      <c r="H38" s="132"/>
      <c r="I38" s="132"/>
      <c r="J38" s="132"/>
      <c r="K38" s="132"/>
      <c r="L38" s="132"/>
      <c r="M38" s="189"/>
      <c r="N38" s="189"/>
      <c r="O38" s="189"/>
      <c r="Q38" s="134"/>
    </row>
    <row r="39" spans="2:17" s="192" customFormat="1" ht="12.75" hidden="1" outlineLevel="1">
      <c r="B39" s="147" t="s">
        <v>864</v>
      </c>
      <c r="C39" s="133">
        <v>53187</v>
      </c>
      <c r="D39" s="133">
        <v>33876</v>
      </c>
      <c r="E39" s="133">
        <v>20856</v>
      </c>
      <c r="F39" s="133">
        <v>7718</v>
      </c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865</v>
      </c>
      <c r="C40" s="133">
        <v>3541</v>
      </c>
      <c r="D40" s="133"/>
      <c r="E40" s="133"/>
      <c r="F40" s="133"/>
      <c r="G40" s="133"/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s="192" customFormat="1" ht="12.75" hidden="1" outlineLevel="1">
      <c r="B41" s="147" t="s">
        <v>864</v>
      </c>
      <c r="C41" s="133">
        <v>4866</v>
      </c>
      <c r="D41" s="133">
        <v>1070</v>
      </c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s="192" customFormat="1" ht="12.75" hidden="1" outlineLevel="1">
      <c r="B42" s="147" t="s">
        <v>866</v>
      </c>
      <c r="C42" s="133">
        <v>102065</v>
      </c>
      <c r="D42" s="133">
        <v>78266</v>
      </c>
      <c r="E42" s="133">
        <v>61228</v>
      </c>
      <c r="F42" s="133">
        <v>43989</v>
      </c>
      <c r="G42" s="133">
        <v>26547</v>
      </c>
      <c r="H42" s="133"/>
      <c r="I42" s="133"/>
      <c r="J42" s="133"/>
      <c r="K42" s="133"/>
      <c r="L42" s="133"/>
      <c r="M42" s="216"/>
      <c r="N42" s="216"/>
      <c r="O42" s="216"/>
      <c r="Q42" s="217"/>
    </row>
    <row r="43" spans="2:17" s="192" customFormat="1" ht="12.75" hidden="1" outlineLevel="1">
      <c r="B43" s="147" t="s">
        <v>867</v>
      </c>
      <c r="C43" s="133">
        <v>101597</v>
      </c>
      <c r="D43" s="133">
        <v>93127</v>
      </c>
      <c r="E43" s="133">
        <v>84559</v>
      </c>
      <c r="F43" s="133">
        <v>75901</v>
      </c>
      <c r="G43" s="133">
        <v>67150</v>
      </c>
      <c r="H43" s="133"/>
      <c r="I43" s="133"/>
      <c r="J43" s="133"/>
      <c r="K43" s="133"/>
      <c r="L43" s="133"/>
      <c r="M43" s="216"/>
      <c r="N43" s="216"/>
      <c r="O43" s="216"/>
      <c r="Q43" s="217"/>
    </row>
    <row r="44" spans="2:17" s="192" customFormat="1" ht="12.75" hidden="1" outlineLevel="1">
      <c r="B44" s="147" t="s">
        <v>868</v>
      </c>
      <c r="C44" s="133">
        <v>20000</v>
      </c>
      <c r="D44" s="133"/>
      <c r="E44" s="133"/>
      <c r="F44" s="133"/>
      <c r="G44" s="133"/>
      <c r="H44" s="133"/>
      <c r="I44" s="133"/>
      <c r="J44" s="133"/>
      <c r="K44" s="133"/>
      <c r="L44" s="133"/>
      <c r="M44" s="216"/>
      <c r="N44" s="216"/>
      <c r="O44" s="216"/>
      <c r="Q44" s="217"/>
    </row>
    <row r="45" spans="2:17" s="192" customFormat="1" ht="12.75" hidden="1" outlineLevel="1">
      <c r="B45" s="147" t="s">
        <v>869</v>
      </c>
      <c r="C45" s="133">
        <v>120000</v>
      </c>
      <c r="D45" s="133">
        <v>120000</v>
      </c>
      <c r="E45" s="133">
        <v>110101</v>
      </c>
      <c r="F45" s="133">
        <v>80293</v>
      </c>
      <c r="G45" s="133">
        <v>50321</v>
      </c>
      <c r="H45" s="133"/>
      <c r="I45" s="133"/>
      <c r="J45" s="133"/>
      <c r="K45" s="133"/>
      <c r="L45" s="133"/>
      <c r="M45" s="216"/>
      <c r="N45" s="216"/>
      <c r="O45" s="216"/>
      <c r="Q45" s="217"/>
    </row>
    <row r="46" spans="2:17" s="192" customFormat="1" ht="12.75" hidden="1" outlineLevel="1">
      <c r="B46" s="147" t="s">
        <v>870</v>
      </c>
      <c r="C46" s="133">
        <v>90000</v>
      </c>
      <c r="D46" s="133">
        <v>90000</v>
      </c>
      <c r="E46" s="133">
        <v>82578</v>
      </c>
      <c r="F46" s="133">
        <v>60228</v>
      </c>
      <c r="G46" s="133">
        <v>37750</v>
      </c>
      <c r="H46" s="133"/>
      <c r="I46" s="133"/>
      <c r="J46" s="133"/>
      <c r="K46" s="133"/>
      <c r="L46" s="133"/>
      <c r="M46" s="216"/>
      <c r="N46" s="216"/>
      <c r="O46" s="216"/>
      <c r="Q46" s="217"/>
    </row>
    <row r="47" spans="2:17" s="192" customFormat="1" ht="12.75" hidden="1" outlineLevel="1">
      <c r="B47" s="147" t="s">
        <v>871</v>
      </c>
      <c r="C47" s="133"/>
      <c r="D47" s="133"/>
      <c r="E47" s="133"/>
      <c r="F47" s="133"/>
      <c r="G47" s="133">
        <v>80391</v>
      </c>
      <c r="H47" s="133"/>
      <c r="I47" s="133"/>
      <c r="J47" s="133"/>
      <c r="K47" s="133"/>
      <c r="L47" s="133"/>
      <c r="M47" s="216"/>
      <c r="N47" s="216"/>
      <c r="O47" s="216"/>
      <c r="Q47" s="217"/>
    </row>
    <row r="48" spans="2:17" s="192" customFormat="1" ht="12.75" hidden="1" outlineLevel="1">
      <c r="B48" s="147" t="s">
        <v>872</v>
      </c>
      <c r="C48" s="133"/>
      <c r="D48" s="133"/>
      <c r="E48" s="133"/>
      <c r="F48" s="133"/>
      <c r="G48" s="133">
        <v>89955</v>
      </c>
      <c r="H48" s="133"/>
      <c r="I48" s="133"/>
      <c r="J48" s="133"/>
      <c r="K48" s="133"/>
      <c r="L48" s="133"/>
      <c r="M48" s="216"/>
      <c r="N48" s="216"/>
      <c r="O48" s="216"/>
      <c r="Q48" s="217"/>
    </row>
    <row r="49" spans="2:17" s="192" customFormat="1" ht="12.75" hidden="1" outlineLevel="1">
      <c r="B49" s="147" t="s">
        <v>661</v>
      </c>
      <c r="C49" s="133">
        <v>297</v>
      </c>
      <c r="D49" s="133">
        <v>342</v>
      </c>
      <c r="E49" s="133">
        <v>148</v>
      </c>
      <c r="F49" s="133">
        <v>119</v>
      </c>
      <c r="G49" s="133">
        <v>446</v>
      </c>
      <c r="H49" s="133"/>
      <c r="I49" s="133"/>
      <c r="J49" s="133"/>
      <c r="K49" s="133"/>
      <c r="L49" s="133"/>
      <c r="M49" s="216"/>
      <c r="N49" s="216"/>
      <c r="O49" s="216"/>
      <c r="Q49" s="217"/>
    </row>
    <row r="50" spans="2:17" hidden="1" outlineLevel="1"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89"/>
      <c r="N50" s="189"/>
      <c r="O50" s="189"/>
      <c r="Q50" s="134"/>
    </row>
    <row r="51" spans="2:17" collapsed="1">
      <c r="B51" s="131" t="s">
        <v>214</v>
      </c>
      <c r="C51" s="132">
        <f>SUM(C52:C54)</f>
        <v>203954</v>
      </c>
      <c r="D51" s="132">
        <f t="shared" ref="D51:F51" si="12">SUM(D52:D54)</f>
        <v>142223</v>
      </c>
      <c r="E51" s="132">
        <f t="shared" si="12"/>
        <v>165444</v>
      </c>
      <c r="F51" s="132">
        <f t="shared" si="12"/>
        <v>543663</v>
      </c>
      <c r="G51" s="132">
        <f t="shared" ref="G51" si="13">SUM(G52:G54)</f>
        <v>587436</v>
      </c>
      <c r="H51" s="132"/>
      <c r="I51" s="132">
        <v>0</v>
      </c>
      <c r="J51" s="132">
        <v>0</v>
      </c>
      <c r="K51" s="132">
        <v>0</v>
      </c>
      <c r="L51" s="132">
        <v>0</v>
      </c>
      <c r="M51" s="189"/>
      <c r="N51" s="189"/>
      <c r="O51" s="189"/>
    </row>
    <row r="52" spans="2:17" s="192" customFormat="1" ht="12.75" hidden="1" outlineLevel="1">
      <c r="B52" s="147" t="s">
        <v>444</v>
      </c>
      <c r="C52" s="133">
        <v>202290</v>
      </c>
      <c r="D52" s="133">
        <v>139537</v>
      </c>
      <c r="E52" s="133">
        <v>163439</v>
      </c>
      <c r="F52" s="133">
        <v>529990</v>
      </c>
      <c r="G52" s="133">
        <v>574480</v>
      </c>
      <c r="H52" s="133"/>
      <c r="I52" s="133"/>
      <c r="J52" s="133"/>
      <c r="K52" s="133"/>
      <c r="L52" s="133"/>
      <c r="M52" s="216"/>
      <c r="N52" s="216"/>
      <c r="O52" s="216"/>
      <c r="Q52" s="217"/>
    </row>
    <row r="53" spans="2:17" s="192" customFormat="1" ht="12.75" hidden="1" outlineLevel="1">
      <c r="B53" s="147" t="s">
        <v>445</v>
      </c>
      <c r="C53" s="133">
        <v>1664</v>
      </c>
      <c r="D53" s="133">
        <v>2686</v>
      </c>
      <c r="E53" s="133">
        <v>2005</v>
      </c>
      <c r="F53" s="133">
        <v>13673</v>
      </c>
      <c r="G53" s="133">
        <v>12956</v>
      </c>
      <c r="H53" s="133"/>
      <c r="I53" s="133"/>
      <c r="J53" s="133"/>
      <c r="K53" s="133"/>
      <c r="L53" s="133"/>
      <c r="M53" s="216"/>
      <c r="N53" s="216"/>
      <c r="O53" s="216"/>
      <c r="Q53" s="217"/>
    </row>
    <row r="54" spans="2:17" collapsed="1">
      <c r="B54" s="147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211"/>
    </row>
    <row r="55" spans="2:17">
      <c r="B55" s="130" t="s">
        <v>215</v>
      </c>
      <c r="C55" s="128">
        <f t="shared" ref="C55:L55" si="14">SUM(C56:C62)</f>
        <v>188780</v>
      </c>
      <c r="D55" s="128">
        <f t="shared" si="14"/>
        <v>156165</v>
      </c>
      <c r="E55" s="128">
        <f t="shared" si="14"/>
        <v>569240</v>
      </c>
      <c r="F55" s="128">
        <f t="shared" si="14"/>
        <v>315251</v>
      </c>
      <c r="G55" s="128">
        <f t="shared" ref="G55" si="15">SUM(G56:G62)</f>
        <v>457730</v>
      </c>
      <c r="H55" s="128"/>
      <c r="I55" s="128">
        <v>261063</v>
      </c>
      <c r="J55" s="128">
        <f t="shared" si="14"/>
        <v>317164</v>
      </c>
      <c r="K55" s="128">
        <f t="shared" si="14"/>
        <v>335071</v>
      </c>
      <c r="L55" s="128">
        <f t="shared" si="14"/>
        <v>351214</v>
      </c>
      <c r="M55" s="187"/>
      <c r="N55" s="187"/>
      <c r="O55" s="187"/>
    </row>
    <row r="56" spans="2:17">
      <c r="B56" s="131" t="s">
        <v>216</v>
      </c>
      <c r="C56" s="132"/>
      <c r="D56" s="132"/>
      <c r="E56" s="132"/>
      <c r="F56" s="132"/>
      <c r="G56" s="132">
        <v>514</v>
      </c>
      <c r="H56" s="132"/>
      <c r="I56" s="132"/>
      <c r="J56" s="132"/>
      <c r="K56" s="132"/>
      <c r="L56" s="132"/>
      <c r="M56" s="134"/>
      <c r="N56" s="134"/>
      <c r="O56" s="134"/>
    </row>
    <row r="57" spans="2:17">
      <c r="B57" s="131" t="s">
        <v>44</v>
      </c>
      <c r="C57" s="132">
        <v>163013</v>
      </c>
      <c r="D57" s="132">
        <v>138366</v>
      </c>
      <c r="E57" s="132">
        <v>521030</v>
      </c>
      <c r="F57" s="132">
        <v>278536</v>
      </c>
      <c r="G57" s="132">
        <v>414099</v>
      </c>
      <c r="H57" s="132"/>
      <c r="I57" s="132">
        <v>231754</v>
      </c>
      <c r="J57" s="132">
        <v>290680</v>
      </c>
      <c r="K57" s="132">
        <v>302669</v>
      </c>
      <c r="L57" s="132">
        <v>318354</v>
      </c>
      <c r="M57" s="134"/>
      <c r="N57" s="134"/>
      <c r="O57" s="134"/>
    </row>
    <row r="58" spans="2:17">
      <c r="B58" s="131" t="s">
        <v>217</v>
      </c>
      <c r="C58" s="132">
        <v>25748</v>
      </c>
      <c r="D58" s="132">
        <v>17798</v>
      </c>
      <c r="E58" s="132">
        <v>48206</v>
      </c>
      <c r="F58" s="132">
        <v>36709</v>
      </c>
      <c r="G58" s="132">
        <v>43117</v>
      </c>
      <c r="H58" s="132"/>
      <c r="I58" s="132">
        <v>29309</v>
      </c>
      <c r="J58" s="132">
        <v>26484</v>
      </c>
      <c r="K58" s="132">
        <v>32402</v>
      </c>
      <c r="L58" s="132">
        <v>32860</v>
      </c>
      <c r="M58" s="134"/>
      <c r="N58" s="134"/>
      <c r="O58" s="134"/>
    </row>
    <row r="59" spans="2:17">
      <c r="B59" s="131" t="s">
        <v>222</v>
      </c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4"/>
      <c r="N59" s="134"/>
      <c r="O59" s="134"/>
    </row>
    <row r="60" spans="2:17">
      <c r="B60" s="131" t="s">
        <v>218</v>
      </c>
      <c r="C60" s="132">
        <v>19</v>
      </c>
      <c r="D60" s="132">
        <v>1</v>
      </c>
      <c r="E60" s="132">
        <v>4</v>
      </c>
      <c r="F60" s="132">
        <v>6</v>
      </c>
      <c r="G60" s="132"/>
      <c r="H60" s="132"/>
      <c r="I60" s="132"/>
      <c r="J60" s="132"/>
      <c r="K60" s="132"/>
      <c r="L60" s="132"/>
      <c r="M60" s="134"/>
      <c r="N60" s="134"/>
      <c r="O60" s="134"/>
    </row>
    <row r="61" spans="2:17">
      <c r="B61" s="131" t="s">
        <v>219</v>
      </c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4"/>
      <c r="N61" s="134"/>
      <c r="O61" s="134"/>
    </row>
    <row r="62" spans="2:17">
      <c r="B62" s="131"/>
      <c r="C62" s="135"/>
      <c r="D62" s="135"/>
      <c r="E62" s="135"/>
      <c r="F62" s="135"/>
      <c r="G62" s="135"/>
      <c r="H62" s="135"/>
      <c r="I62" s="135"/>
      <c r="J62" s="135"/>
      <c r="K62" s="135"/>
      <c r="L62" s="135"/>
    </row>
    <row r="63" spans="2:17">
      <c r="B63" s="130" t="s">
        <v>188</v>
      </c>
      <c r="C63" s="132"/>
      <c r="D63" s="135">
        <v>-4</v>
      </c>
      <c r="E63" s="132"/>
      <c r="F63" s="132">
        <v>-2</v>
      </c>
      <c r="G63" s="132">
        <v>3</v>
      </c>
      <c r="H63" s="132"/>
      <c r="I63" s="132"/>
      <c r="J63" s="132"/>
      <c r="K63" s="132"/>
      <c r="L63" s="132"/>
    </row>
    <row r="64" spans="2:17">
      <c r="B64" s="130"/>
      <c r="C64" s="135"/>
      <c r="D64" s="135"/>
      <c r="E64" s="135"/>
      <c r="F64" s="135"/>
      <c r="G64" s="135"/>
      <c r="H64" s="135"/>
      <c r="I64" s="135"/>
      <c r="J64" s="135"/>
      <c r="K64" s="135"/>
      <c r="L64" s="135"/>
    </row>
    <row r="65" spans="1:42">
      <c r="B65" s="139" t="s">
        <v>220</v>
      </c>
      <c r="C65" s="140">
        <f t="shared" ref="C65:L65" si="16">+C25+C33+C37+C55+C63</f>
        <v>1052939</v>
      </c>
      <c r="D65" s="140">
        <f t="shared" si="16"/>
        <v>901970</v>
      </c>
      <c r="E65" s="140">
        <f t="shared" si="16"/>
        <v>1360859</v>
      </c>
      <c r="F65" s="140">
        <f t="shared" si="16"/>
        <v>1484911</v>
      </c>
      <c r="G65" s="140">
        <f t="shared" ref="G65" si="17">+G25+G33+G37+G55+G63</f>
        <v>1894384</v>
      </c>
      <c r="H65" s="271"/>
      <c r="I65" s="140">
        <v>2280733</v>
      </c>
      <c r="J65" s="140">
        <f t="shared" si="16"/>
        <v>2592325</v>
      </c>
      <c r="K65" s="140">
        <f t="shared" si="16"/>
        <v>2442707</v>
      </c>
      <c r="L65" s="140">
        <f t="shared" si="16"/>
        <v>2304199</v>
      </c>
    </row>
    <row r="66" spans="1:42">
      <c r="B66" s="141"/>
      <c r="C66" s="135"/>
      <c r="D66" s="135"/>
      <c r="E66" s="135"/>
      <c r="F66" s="135"/>
      <c r="G66" s="135"/>
      <c r="H66" s="135"/>
      <c r="I66" s="135"/>
      <c r="J66" s="135"/>
      <c r="K66" s="135"/>
      <c r="L66" s="135"/>
    </row>
    <row r="67" spans="1:42">
      <c r="B67" s="143" t="s">
        <v>221</v>
      </c>
      <c r="C67" s="144" t="str">
        <f t="shared" ref="C67:L67" si="18">IF(ABS(C65-C23)&lt;2,"Equilibré","Erreur")</f>
        <v>Equilibré</v>
      </c>
      <c r="D67" s="144" t="str">
        <f t="shared" si="18"/>
        <v>Equilibré</v>
      </c>
      <c r="E67" s="144" t="str">
        <f t="shared" si="18"/>
        <v>Equilibré</v>
      </c>
      <c r="F67" s="144" t="str">
        <f t="shared" si="18"/>
        <v>Equilibré</v>
      </c>
      <c r="G67" s="144" t="str">
        <f t="shared" ref="G67" si="19">IF(ABS(G65-G23)&lt;2,"Equilibré","Erreur")</f>
        <v>Equilibré</v>
      </c>
      <c r="H67" s="252"/>
      <c r="I67" s="144" t="s">
        <v>873</v>
      </c>
      <c r="J67" s="144" t="str">
        <f t="shared" si="18"/>
        <v>Equilibré</v>
      </c>
      <c r="K67" s="144" t="str">
        <f t="shared" si="18"/>
        <v>Equilibré</v>
      </c>
      <c r="L67" s="144" t="str">
        <f t="shared" si="18"/>
        <v>Equilibré</v>
      </c>
    </row>
    <row r="69" spans="1:42" s="32" customFormat="1">
      <c r="A69" s="83"/>
      <c r="B69" s="13" t="s">
        <v>68</v>
      </c>
      <c r="C69" s="14"/>
      <c r="D69" s="14"/>
      <c r="E69" s="14"/>
      <c r="F69" s="14"/>
      <c r="G69" s="14"/>
      <c r="H69" s="52"/>
      <c r="I69" s="14"/>
      <c r="J69" s="14"/>
      <c r="K69" s="14"/>
      <c r="L69" s="14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</row>
    <row r="70" spans="1:42" s="32" customFormat="1">
      <c r="A70" s="83"/>
      <c r="B70" s="15" t="s">
        <v>42</v>
      </c>
      <c r="C70" s="23">
        <f>C14/('BSB - P&amp;L'!C52/365)</f>
        <v>114.8882420636378</v>
      </c>
      <c r="D70" s="23">
        <f>D14/('BSB - P&amp;L'!D52/365)</f>
        <v>136.20513056900998</v>
      </c>
      <c r="E70" s="23">
        <f>E14/('BSB - P&amp;L'!E52/365)</f>
        <v>119.21567008202322</v>
      </c>
      <c r="F70" s="23">
        <f>F14/('BSB - P&amp;L'!F52/365)</f>
        <v>118.45513868047492</v>
      </c>
      <c r="G70" s="23">
        <f>G14/('BSB - P&amp;L'!G52/365)</f>
        <v>106.99514192093037</v>
      </c>
      <c r="H70" s="272"/>
      <c r="I70" s="23">
        <f>I14/('BSB - P&amp;L'!I52/365)</f>
        <v>63.875081890246527</v>
      </c>
      <c r="J70" s="23">
        <f>J14/('BSB - P&amp;L'!J52/365)</f>
        <v>63.875027427358823</v>
      </c>
      <c r="K70" s="23">
        <f>K14/('BSB - P&amp;L'!K52/365)</f>
        <v>63.87492163611924</v>
      </c>
      <c r="L70" s="23">
        <f>L14/('BSB - P&amp;L'!L52/365)</f>
        <v>63.874989338246891</v>
      </c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</row>
    <row r="71" spans="1:42" s="32" customFormat="1">
      <c r="A71" s="83"/>
      <c r="B71" s="15" t="s">
        <v>69</v>
      </c>
      <c r="C71" s="23">
        <f>C16/('BSB - P&amp;L'!C52/365)</f>
        <v>70.470323575862196</v>
      </c>
      <c r="D71" s="23">
        <f>D16/('BSB - P&amp;L'!D52/365)</f>
        <v>57.561531842669481</v>
      </c>
      <c r="E71" s="23">
        <f>E16/('BSB - P&amp;L'!E52/365)</f>
        <v>60.18314121705199</v>
      </c>
      <c r="F71" s="23">
        <f>F16/('BSB - P&amp;L'!F52/365)</f>
        <v>47.369247796171216</v>
      </c>
      <c r="G71" s="23">
        <f>G16/('BSB - P&amp;L'!G52/365)</f>
        <v>52.9017338128197</v>
      </c>
      <c r="H71" s="272"/>
      <c r="I71" s="23">
        <f>I16/('BSB - P&amp;L'!I52/365)</f>
        <v>34.067376956804935</v>
      </c>
      <c r="J71" s="23">
        <f>J16/('BSB - P&amp;L'!J52/365)</f>
        <v>34.065249847673492</v>
      </c>
      <c r="K71" s="23">
        <f>K16/('BSB - P&amp;L'!K52/365)</f>
        <v>34.0666447745349</v>
      </c>
      <c r="L71" s="23">
        <f>L16/('BSB - P&amp;L'!L52/365)</f>
        <v>34.066433529665375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</row>
    <row r="72" spans="1:42" s="32" customFormat="1">
      <c r="A72" s="83"/>
      <c r="B72" s="15" t="s">
        <v>70</v>
      </c>
      <c r="C72" s="23">
        <f>C57/('BSB - P&amp;L'!C52/365)</f>
        <v>72.84404573891112</v>
      </c>
      <c r="D72" s="23">
        <f>D57/('BSB - P&amp;L'!D52/365)</f>
        <v>59.692258050790358</v>
      </c>
      <c r="E72" s="23">
        <f>E57/('BSB - P&amp;L'!E52/365)</f>
        <v>112.98596943170733</v>
      </c>
      <c r="F72" s="23">
        <f>F57/('BSB - P&amp;L'!F52/365)</f>
        <v>53.888200114173465</v>
      </c>
      <c r="G72" s="23">
        <f>G57/('BSB - P&amp;L'!G52/365)</f>
        <v>71.840316495224613</v>
      </c>
      <c r="H72" s="272"/>
      <c r="I72" s="23">
        <f>I57/('BSB - P&amp;L'!I52/365)</f>
        <v>39.954509879494402</v>
      </c>
      <c r="J72" s="23">
        <f>J57/('BSB - P&amp;L'!J52/365)</f>
        <v>45.557626652136072</v>
      </c>
      <c r="K72" s="23">
        <f>K57/('BSB - P&amp;L'!K52/365)</f>
        <v>45.177747479576318</v>
      </c>
      <c r="L72" s="23">
        <f>L57/('BSB - P&amp;L'!L52/365)</f>
        <v>45.256156651239742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</row>
    <row r="73" spans="1:42" s="168" customFormat="1">
      <c r="B73" s="24" t="s">
        <v>71</v>
      </c>
      <c r="C73" s="310">
        <f>(C14+C16-C57)/('BSB - P&amp;L'!C52/365)</f>
        <v>112.51451990058887</v>
      </c>
      <c r="D73" s="310">
        <f>(D14+D16-D57)/('BSB - P&amp;L'!D52/365)</f>
        <v>134.0744043608891</v>
      </c>
      <c r="E73" s="310">
        <f>(E14+E16-E57)/('BSB - P&amp;L'!E52/365)</f>
        <v>66.412841867367888</v>
      </c>
      <c r="F73" s="310">
        <f>(F14+F16-F57)/('BSB - P&amp;L'!F52/365)</f>
        <v>111.93618636247267</v>
      </c>
      <c r="G73" s="310">
        <f>(G14+G16-G57)/('BSB - P&amp;L'!G52/365)</f>
        <v>88.056559238525452</v>
      </c>
      <c r="H73" s="280"/>
      <c r="I73" s="310">
        <f>(I14+I16-I57)/('BSB - P&amp;L'!I52/365)</f>
        <v>57.98794896755706</v>
      </c>
      <c r="J73" s="310">
        <f>(J14+J16-J57)/('BSB - P&amp;L'!J52/365)</f>
        <v>52.38265062289625</v>
      </c>
      <c r="K73" s="310">
        <f>(K14+K16-K57)/('BSB - P&amp;L'!K52/365)</f>
        <v>52.763818931077822</v>
      </c>
      <c r="L73" s="310">
        <f>(L14+L16-L57)/('BSB - P&amp;L'!L52/365)</f>
        <v>52.685266216672524</v>
      </c>
    </row>
    <row r="74" spans="1:42">
      <c r="B74" s="25" t="s">
        <v>50</v>
      </c>
      <c r="C74" s="26">
        <f>(SUM(C14:C17,C19)-SUM(C56:C61))/('BSB - P&amp;L'!C52/365)</f>
        <v>111.31425300865561</v>
      </c>
      <c r="D74" s="26">
        <f>(SUM(D14:D17,D19)-SUM(D56:D61))/('BSB - P&amp;L'!D52/365)</f>
        <v>132.87163767365666</v>
      </c>
      <c r="E74" s="26">
        <f>(SUM(E14:E17,E19)-SUM(E56:E61))/('BSB - P&amp;L'!E52/365)</f>
        <v>61.691991715690882</v>
      </c>
      <c r="F74" s="26">
        <f>(SUM(F14:F17,F19)-SUM(F56:F61))/('BSB - P&amp;L'!F52/365)</f>
        <v>110.09590517983912</v>
      </c>
      <c r="G74" s="26">
        <f>(SUM(G14:G17,G19)-SUM(G56:G61))/('BSB - P&amp;L'!G52/365)</f>
        <v>98.418868986338808</v>
      </c>
      <c r="H74" s="280"/>
      <c r="I74" s="26">
        <f>(SUM(I14:I17,I19)-SUM(I56:I61))/('BSB - P&amp;L'!I52/365)</f>
        <v>54.756646040007311</v>
      </c>
      <c r="J74" s="26">
        <f>(SUM(J14:J17,J19)-SUM(J56:J61))/('BSB - P&amp;L'!J52/365)</f>
        <v>49.932838932379056</v>
      </c>
      <c r="K74" s="26">
        <f>(SUM(K14:K17,K19)-SUM(K56:K61))/('BSB - P&amp;L'!K52/365)</f>
        <v>48.634714105253174</v>
      </c>
      <c r="L74" s="26">
        <f>(SUM(L14:L17,L19)-SUM(L56:L61))/('BSB - P&amp;L'!L52/365)</f>
        <v>48.687677428124204</v>
      </c>
    </row>
    <row r="75" spans="1:42">
      <c r="B75" s="25" t="s">
        <v>72</v>
      </c>
      <c r="C75" s="27">
        <f t="shared" ref="C75" si="20">C23</f>
        <v>1052939</v>
      </c>
      <c r="D75" s="27">
        <f t="shared" ref="D75:G75" si="21">D23</f>
        <v>901970</v>
      </c>
      <c r="E75" s="27">
        <f t="shared" si="21"/>
        <v>1360859</v>
      </c>
      <c r="F75" s="27">
        <f t="shared" si="21"/>
        <v>1484911</v>
      </c>
      <c r="G75" s="27">
        <f t="shared" si="21"/>
        <v>1894384</v>
      </c>
      <c r="H75" s="281"/>
      <c r="I75" s="27">
        <f t="shared" ref="I75:L75" si="22">I23</f>
        <v>2280733</v>
      </c>
      <c r="J75" s="27">
        <f t="shared" si="22"/>
        <v>2592325</v>
      </c>
      <c r="K75" s="27">
        <f t="shared" si="22"/>
        <v>2442707</v>
      </c>
      <c r="L75" s="27">
        <f t="shared" si="22"/>
        <v>2304199</v>
      </c>
    </row>
    <row r="76" spans="1:42">
      <c r="B76" s="28" t="s">
        <v>73</v>
      </c>
      <c r="C76" s="29">
        <f t="shared" ref="C76" si="23">(C37-C18)/C25</f>
        <v>2.6613281344897115</v>
      </c>
      <c r="D76" s="29">
        <f t="shared" ref="D76:G76" si="24">(D37-D18)/D25</f>
        <v>2.7858805275407295</v>
      </c>
      <c r="E76" s="29">
        <f t="shared" si="24"/>
        <v>1.6970735456778088</v>
      </c>
      <c r="F76" s="29">
        <f t="shared" si="24"/>
        <v>1.9301888743846978</v>
      </c>
      <c r="G76" s="29">
        <f t="shared" si="24"/>
        <v>1.4033081313990596</v>
      </c>
      <c r="H76" s="282"/>
      <c r="I76" s="29">
        <f t="shared" ref="I76:L76" si="25">(I37-I18)/I25</f>
        <v>1.8496529793394012</v>
      </c>
      <c r="J76" s="29">
        <f t="shared" si="25"/>
        <v>1.3843713345014659</v>
      </c>
      <c r="K76" s="29">
        <f t="shared" si="25"/>
        <v>0.99709145208688943</v>
      </c>
      <c r="L76" s="29">
        <f t="shared" si="25"/>
        <v>0.62361475223272989</v>
      </c>
    </row>
    <row r="77" spans="1:42">
      <c r="B77" s="17" t="s">
        <v>74</v>
      </c>
      <c r="C77" s="30">
        <f>(C37-C18)/'BSB - P&amp;L'!C188</f>
        <v>6.4281334350428354</v>
      </c>
      <c r="D77" s="30">
        <f>(D37-D18)/'BSB - P&amp;L'!D188</f>
        <v>7.1429845258999123</v>
      </c>
      <c r="E77" s="30">
        <f>(E37-E18)/'BSB - P&amp;L'!E188</f>
        <v>3.2664905747524609</v>
      </c>
      <c r="F77" s="30">
        <f>(F37-F18)/'BSB - P&amp;L'!F188</f>
        <v>4.6015806694521633</v>
      </c>
      <c r="G77" s="30">
        <f>(G37-G18)/'BSB - P&amp;L'!G188</f>
        <v>4.085848785606669</v>
      </c>
      <c r="H77" s="282"/>
      <c r="I77" s="30">
        <f>(I37-I18)/'BSB - P&amp;L'!I188</f>
        <v>3.7246945257245363</v>
      </c>
      <c r="J77" s="30">
        <f>(J37-J18)/'BSB - P&amp;L'!J188</f>
        <v>3.7609644965970093</v>
      </c>
      <c r="K77" s="30">
        <f>(K37-K18)/'BSB - P&amp;L'!K188</f>
        <v>2.6766813783050574</v>
      </c>
      <c r="L77" s="30">
        <f>(L37-L18)/'BSB - P&amp;L'!L188</f>
        <v>1.6846323918265402</v>
      </c>
    </row>
    <row r="79" spans="1:42">
      <c r="I79" s="146"/>
    </row>
    <row r="80" spans="1:42">
      <c r="C80" s="146"/>
      <c r="D80" s="146"/>
      <c r="E80" s="146"/>
      <c r="F80" s="146"/>
      <c r="G80" s="146"/>
      <c r="H80" s="146"/>
    </row>
    <row r="81" spans="4:8">
      <c r="D81" s="146"/>
      <c r="E81" s="146"/>
      <c r="F81" s="146"/>
      <c r="G81" s="146"/>
      <c r="H81" s="146"/>
    </row>
  </sheetData>
  <mergeCells count="1">
    <mergeCell ref="B2:B4"/>
  </mergeCells>
  <conditionalFormatting sqref="C67:L67">
    <cfRule type="containsText" dxfId="137" priority="103" operator="containsText" text="Equilibré">
      <formula>NOT(ISERROR(SEARCH("Equilibré",C67)))</formula>
    </cfRule>
    <cfRule type="containsText" dxfId="136" priority="104" operator="containsText" text="Erreur">
      <formula>NOT(ISERROR(SEARCH("Erreur",C67)))</formula>
    </cfRule>
    <cfRule type="containsText" dxfId="135" priority="105" operator="containsText" text="Validé">
      <formula>NOT(ISERROR(SEARCH("Validé",C67)))</formula>
    </cfRule>
    <cfRule type="containsText" dxfId="134" priority="106" operator="containsText" text="Erreur">
      <formula>NOT(ISERROR(SEARCH("Erreur",C67)))</formula>
    </cfRule>
    <cfRule type="colorScale" priority="10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A005D-0DA4-724A-A410-B7672AEC260C}">
  <sheetPr codeName="Feuil30">
    <tabColor theme="9" tint="0.79998168889431442"/>
  </sheetPr>
  <dimension ref="A1:AQ205"/>
  <sheetViews>
    <sheetView zoomScale="85" zoomScaleNormal="85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M22" sqref="M22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1" width="15.7109375" style="32" customWidth="1"/>
    <col min="12" max="12" width="10.7109375" style="32"/>
    <col min="13" max="13" width="11.28515625" style="32" bestFit="1" customWidth="1"/>
    <col min="14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</row>
    <row r="2" spans="1:43" ht="15.75">
      <c r="A2" s="83"/>
      <c r="B2" s="84" t="s">
        <v>0</v>
      </c>
      <c r="C2" s="84"/>
      <c r="D2" s="84"/>
      <c r="E2" s="84"/>
      <c r="F2" s="84"/>
      <c r="G2" s="84"/>
      <c r="H2" s="84"/>
      <c r="I2" s="84"/>
      <c r="J2" s="84"/>
      <c r="K2" s="247" t="s">
        <v>760</v>
      </c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</row>
    <row r="3" spans="1:43" ht="15.75">
      <c r="A3" s="83"/>
      <c r="B3" s="245"/>
      <c r="C3" s="246" t="s">
        <v>261</v>
      </c>
      <c r="D3" s="246" t="s">
        <v>261</v>
      </c>
      <c r="E3" s="246" t="s">
        <v>261</v>
      </c>
      <c r="F3" s="246"/>
      <c r="G3" s="246" t="s">
        <v>260</v>
      </c>
      <c r="H3" s="246" t="s">
        <v>260</v>
      </c>
      <c r="I3" s="246" t="s">
        <v>260</v>
      </c>
      <c r="J3" s="246" t="s">
        <v>260</v>
      </c>
      <c r="K3" s="246" t="s">
        <v>260</v>
      </c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3" ht="15.75">
      <c r="A4" s="83"/>
      <c r="B4" s="85"/>
      <c r="C4" s="54">
        <v>44286</v>
      </c>
      <c r="D4" s="54">
        <v>44804</v>
      </c>
      <c r="E4" s="54">
        <v>45169</v>
      </c>
      <c r="F4" s="54"/>
      <c r="G4" s="119" t="s">
        <v>750</v>
      </c>
      <c r="H4" s="119" t="s">
        <v>751</v>
      </c>
      <c r="I4" s="270" t="s">
        <v>752</v>
      </c>
      <c r="J4" s="270" t="s">
        <v>753</v>
      </c>
      <c r="K4" s="270" t="s">
        <v>754</v>
      </c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</row>
    <row r="5" spans="1:43" ht="15.75">
      <c r="A5" s="83"/>
      <c r="B5" s="86" t="s">
        <v>114</v>
      </c>
      <c r="C5" s="87" t="s">
        <v>3</v>
      </c>
      <c r="D5" s="87" t="s">
        <v>663</v>
      </c>
      <c r="E5" s="87" t="s">
        <v>3</v>
      </c>
      <c r="F5" s="87"/>
      <c r="G5" s="87" t="s">
        <v>3</v>
      </c>
      <c r="H5" s="87" t="s">
        <v>3</v>
      </c>
      <c r="I5" s="87" t="s">
        <v>3</v>
      </c>
      <c r="J5" s="87" t="s">
        <v>3</v>
      </c>
      <c r="K5" s="87" t="s">
        <v>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3" ht="15.75">
      <c r="A7" s="83"/>
      <c r="B7" s="83" t="s">
        <v>165</v>
      </c>
      <c r="C7" s="88">
        <f>SUM(C8:C13)</f>
        <v>0</v>
      </c>
      <c r="D7" s="88">
        <f>SUM(D8:D13)</f>
        <v>0</v>
      </c>
      <c r="E7" s="88">
        <f>SUM(E8:E13)</f>
        <v>0</v>
      </c>
      <c r="F7" s="88"/>
      <c r="G7" s="88"/>
      <c r="H7" s="88">
        <v>2300000</v>
      </c>
      <c r="I7" s="88">
        <v>2530000</v>
      </c>
      <c r="J7" s="88">
        <v>2783000</v>
      </c>
      <c r="K7" s="88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3" ht="15.75" hidden="1" outlineLevel="1">
      <c r="A8" s="83"/>
      <c r="B8" s="106"/>
      <c r="C8" s="95"/>
      <c r="D8" s="95"/>
      <c r="E8" s="95"/>
      <c r="F8" s="95"/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hidden="1" outlineLevel="1">
      <c r="A9" s="83"/>
      <c r="B9" s="106"/>
      <c r="C9" s="95"/>
      <c r="D9" s="95"/>
      <c r="E9" s="95"/>
      <c r="F9" s="95"/>
      <c r="G9" s="95"/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hidden="1" outlineLevel="1">
      <c r="A10" s="83"/>
      <c r="B10" s="106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hidden="1" outlineLevel="1">
      <c r="A11" s="83"/>
      <c r="B11" s="106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hidden="1" outlineLevel="1">
      <c r="A12" s="83"/>
      <c r="B12" s="106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hidden="1" outlineLevel="1">
      <c r="A13" s="83"/>
      <c r="B13" s="10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collapsed="1">
      <c r="A14" s="83"/>
      <c r="B14" s="83" t="s">
        <v>166</v>
      </c>
      <c r="C14" s="88"/>
      <c r="D14" s="88"/>
      <c r="E14" s="88"/>
      <c r="F14" s="88"/>
      <c r="G14" s="88"/>
      <c r="H14" s="88"/>
      <c r="I14" s="88"/>
      <c r="J14" s="88"/>
      <c r="K14" s="88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</row>
    <row r="15" spans="1:43" ht="15.75">
      <c r="A15" s="83"/>
      <c r="B15" s="98" t="s">
        <v>7</v>
      </c>
      <c r="C15" s="99">
        <f t="shared" ref="C15:K15" si="0">C6+C14+C7</f>
        <v>0</v>
      </c>
      <c r="D15" s="99">
        <f t="shared" si="0"/>
        <v>0</v>
      </c>
      <c r="E15" s="99">
        <f t="shared" si="0"/>
        <v>0</v>
      </c>
      <c r="F15" s="99"/>
      <c r="G15" s="99">
        <f t="shared" si="0"/>
        <v>0</v>
      </c>
      <c r="H15" s="99">
        <f t="shared" si="0"/>
        <v>2300000</v>
      </c>
      <c r="I15" s="99">
        <f t="shared" si="0"/>
        <v>2530000</v>
      </c>
      <c r="J15" s="99">
        <f t="shared" si="0"/>
        <v>2783000</v>
      </c>
      <c r="K15" s="99">
        <f t="shared" si="0"/>
        <v>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</row>
    <row r="16" spans="1:43" ht="15.75">
      <c r="A16" s="83"/>
      <c r="B16" s="97" t="s">
        <v>8</v>
      </c>
      <c r="C16" s="89">
        <f>C17</f>
        <v>0</v>
      </c>
      <c r="D16" s="89">
        <f>D17</f>
        <v>0</v>
      </c>
      <c r="E16" s="89">
        <f>E17</f>
        <v>0</v>
      </c>
      <c r="F16" s="89"/>
      <c r="G16" s="89"/>
      <c r="H16" s="89">
        <v>140000</v>
      </c>
      <c r="I16" s="89">
        <v>18125</v>
      </c>
      <c r="J16" s="89">
        <v>15813</v>
      </c>
      <c r="K16" s="8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</row>
    <row r="17" spans="1:42" s="96" customFormat="1" ht="12.75" hidden="1" outlineLevel="1">
      <c r="A17" s="93"/>
      <c r="B17" s="94"/>
      <c r="C17" s="95"/>
      <c r="D17" s="95"/>
      <c r="E17" s="95"/>
      <c r="F17" s="95"/>
      <c r="G17" s="95"/>
      <c r="H17" s="95"/>
      <c r="I17" s="95"/>
      <c r="J17" s="95"/>
      <c r="K17" s="95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</row>
    <row r="18" spans="1:42" s="96" customFormat="1" ht="12.75" hidden="1" outlineLevel="1">
      <c r="A18" s="93"/>
      <c r="B18" s="94"/>
      <c r="C18" s="95"/>
      <c r="D18" s="95"/>
      <c r="E18" s="95"/>
      <c r="F18" s="95"/>
      <c r="G18" s="95"/>
      <c r="H18" s="95"/>
      <c r="I18" s="95"/>
      <c r="J18" s="95"/>
      <c r="K18" s="95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</row>
    <row r="19" spans="1:42" ht="15.75" collapsed="1">
      <c r="A19" s="83"/>
      <c r="B19" s="97" t="s">
        <v>9</v>
      </c>
      <c r="C19" s="169"/>
      <c r="D19" s="169"/>
      <c r="E19" s="169"/>
      <c r="F19" s="169"/>
      <c r="G19" s="169"/>
      <c r="H19" s="169"/>
      <c r="I19" s="169"/>
      <c r="J19" s="169"/>
      <c r="K19" s="16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</row>
    <row r="20" spans="1:42" ht="15.75">
      <c r="A20" s="83"/>
      <c r="B20" s="100" t="s">
        <v>14</v>
      </c>
      <c r="C20" s="99">
        <f>C15+C16+C19</f>
        <v>0</v>
      </c>
      <c r="D20" s="99">
        <f t="shared" ref="D20:K20" si="1">D15+D16+D19</f>
        <v>0</v>
      </c>
      <c r="E20" s="99">
        <f t="shared" si="1"/>
        <v>0</v>
      </c>
      <c r="F20" s="99"/>
      <c r="G20" s="99">
        <f t="shared" si="1"/>
        <v>0</v>
      </c>
      <c r="H20" s="99">
        <f t="shared" si="1"/>
        <v>2440000</v>
      </c>
      <c r="I20" s="99">
        <f t="shared" si="1"/>
        <v>2548125</v>
      </c>
      <c r="J20" s="99">
        <f t="shared" si="1"/>
        <v>2798813</v>
      </c>
      <c r="K20" s="99">
        <f t="shared" si="1"/>
        <v>0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</row>
    <row r="21" spans="1:42" ht="16.5" thickBot="1">
      <c r="A21" s="83"/>
      <c r="B21" s="101" t="s">
        <v>106</v>
      </c>
      <c r="C21" s="102" t="e">
        <f>C20/C20</f>
        <v>#DIV/0!</v>
      </c>
      <c r="D21" s="102" t="e">
        <f t="shared" ref="D21:K21" si="2">D20/D20</f>
        <v>#DIV/0!</v>
      </c>
      <c r="E21" s="102" t="e">
        <f t="shared" si="2"/>
        <v>#DIV/0!</v>
      </c>
      <c r="F21" s="102"/>
      <c r="G21" s="102" t="e">
        <f t="shared" si="2"/>
        <v>#DIV/0!</v>
      </c>
      <c r="H21" s="102">
        <f t="shared" si="2"/>
        <v>1</v>
      </c>
      <c r="I21" s="102">
        <f t="shared" si="2"/>
        <v>1</v>
      </c>
      <c r="J21" s="102">
        <f t="shared" si="2"/>
        <v>1</v>
      </c>
      <c r="K21" s="102" t="e">
        <f t="shared" si="2"/>
        <v>#DIV/0!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</row>
    <row r="22" spans="1:42" ht="15.75" collapsed="1">
      <c r="A22" s="83"/>
      <c r="B22" s="103" t="s">
        <v>167</v>
      </c>
      <c r="C22" s="89"/>
      <c r="D22" s="89"/>
      <c r="E22" s="89"/>
      <c r="F22" s="89"/>
      <c r="G22" s="89"/>
      <c r="H22" s="89"/>
      <c r="I22" s="89"/>
      <c r="J22" s="89"/>
      <c r="K22" s="89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</row>
    <row r="23" spans="1:42" ht="15.75">
      <c r="A23" s="83"/>
      <c r="B23" s="103" t="s">
        <v>168</v>
      </c>
      <c r="C23" s="89"/>
      <c r="D23" s="89"/>
      <c r="E23" s="89"/>
      <c r="F23" s="89"/>
      <c r="G23" s="89"/>
      <c r="H23" s="89"/>
      <c r="I23" s="89"/>
      <c r="J23" s="89"/>
      <c r="K23" s="8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</row>
    <row r="24" spans="1:42" ht="15.75">
      <c r="A24" s="83"/>
      <c r="B24" s="83" t="s">
        <v>190</v>
      </c>
      <c r="C24" s="89">
        <f>SUM(C25:C26)</f>
        <v>0</v>
      </c>
      <c r="D24" s="89">
        <f>SUM(D25:D26)</f>
        <v>0</v>
      </c>
      <c r="E24" s="89">
        <f>SUM(E25:E26)</f>
        <v>0</v>
      </c>
      <c r="F24" s="89"/>
      <c r="G24" s="89"/>
      <c r="H24" s="89">
        <v>-1122400</v>
      </c>
      <c r="I24" s="89">
        <v>-1172137</v>
      </c>
      <c r="J24" s="89">
        <v>-1287454</v>
      </c>
      <c r="K24" s="89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</row>
    <row r="25" spans="1:42" s="96" customFormat="1" ht="12.75" hidden="1" outlineLevel="1">
      <c r="A25" s="93"/>
      <c r="B25" s="106"/>
      <c r="C25" s="95"/>
      <c r="D25" s="95"/>
      <c r="E25" s="95"/>
      <c r="F25" s="95"/>
      <c r="G25" s="95"/>
      <c r="H25" s="95"/>
      <c r="I25" s="95"/>
      <c r="J25" s="95"/>
      <c r="K25" s="95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</row>
    <row r="26" spans="1:42" s="96" customFormat="1" ht="12.75" hidden="1" outlineLevel="1">
      <c r="A26" s="93"/>
      <c r="B26" s="106"/>
      <c r="C26" s="95"/>
      <c r="D26" s="95"/>
      <c r="E26" s="95"/>
      <c r="F26" s="95"/>
      <c r="G26" s="95"/>
      <c r="H26" s="95"/>
      <c r="I26" s="95"/>
      <c r="J26" s="95"/>
      <c r="K26" s="95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</row>
    <row r="27" spans="1:42" ht="15.75" collapsed="1">
      <c r="A27" s="107"/>
      <c r="B27" s="108" t="s">
        <v>169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8"/>
      <c r="M27" s="108"/>
      <c r="N27" s="109"/>
      <c r="O27" s="109"/>
      <c r="P27" s="109"/>
      <c r="Q27" s="109"/>
      <c r="R27" s="109"/>
      <c r="S27" s="109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</row>
    <row r="28" spans="1:42" s="96" customFormat="1" ht="12.75" hidden="1" outlineLevel="1">
      <c r="A28" s="93"/>
      <c r="B28" s="106"/>
      <c r="C28" s="95"/>
      <c r="D28" s="95"/>
      <c r="E28" s="95"/>
      <c r="F28" s="95"/>
      <c r="G28" s="95"/>
      <c r="H28" s="95"/>
      <c r="I28" s="95"/>
      <c r="J28" s="95"/>
      <c r="K28" s="95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</row>
    <row r="29" spans="1:42" ht="15.75" collapsed="1">
      <c r="A29" s="83"/>
      <c r="B29" s="100" t="s">
        <v>16</v>
      </c>
      <c r="C29" s="99">
        <f>C20+C22+C23+C24+C27</f>
        <v>0</v>
      </c>
      <c r="D29" s="99">
        <f>D20+D22+D23+D24+D27</f>
        <v>0</v>
      </c>
      <c r="E29" s="99">
        <f>E20+E22+E23+E24+E27</f>
        <v>0</v>
      </c>
      <c r="F29" s="99"/>
      <c r="G29" s="99">
        <f>G20+G22+G23+G24+G27</f>
        <v>0</v>
      </c>
      <c r="H29" s="99">
        <f>H20+H22+H23+H24+H27</f>
        <v>1317600</v>
      </c>
      <c r="I29" s="99">
        <f>I20+I22+I23+I24+I27</f>
        <v>1375988</v>
      </c>
      <c r="J29" s="99">
        <f>J20+J22+J23+J24+J27</f>
        <v>1511359</v>
      </c>
      <c r="K29" s="99">
        <f>K20+K22+K23+K24+K27</f>
        <v>0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</row>
    <row r="30" spans="1:42" ht="16.5" thickBot="1">
      <c r="A30" s="107"/>
      <c r="B30" s="101" t="s">
        <v>106</v>
      </c>
      <c r="C30" s="102" t="e">
        <f>C29/C20</f>
        <v>#DIV/0!</v>
      </c>
      <c r="D30" s="102" t="e">
        <f>D29/D20</f>
        <v>#DIV/0!</v>
      </c>
      <c r="E30" s="102" t="e">
        <f>E29/E20</f>
        <v>#DIV/0!</v>
      </c>
      <c r="F30" s="102"/>
      <c r="G30" s="102" t="e">
        <f>G29/G20</f>
        <v>#DIV/0!</v>
      </c>
      <c r="H30" s="102">
        <f>H29/H20</f>
        <v>0.54</v>
      </c>
      <c r="I30" s="102">
        <f>I29/I20</f>
        <v>0.54000019622271278</v>
      </c>
      <c r="J30" s="102">
        <f>J29/J20</f>
        <v>0.53999999285411349</v>
      </c>
      <c r="K30" s="102" t="e">
        <f>K29/K20</f>
        <v>#DIV/0!</v>
      </c>
      <c r="L30" s="108"/>
      <c r="M30" s="108" t="s">
        <v>779</v>
      </c>
      <c r="N30" s="109"/>
      <c r="O30" s="109"/>
      <c r="P30" s="109"/>
      <c r="Q30" s="109"/>
      <c r="R30" s="109"/>
      <c r="S30" s="109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</row>
    <row r="31" spans="1:42" ht="15.75">
      <c r="A31" s="107"/>
      <c r="B31" s="108" t="s">
        <v>170</v>
      </c>
      <c r="C31" s="104">
        <f>C33+C41+C43+C45+C49+C53+C57+C62+C66+C68+C70</f>
        <v>0</v>
      </c>
      <c r="D31" s="104">
        <f>D33+D41+D43+D45+D49+D53+D57+D62+D66+D68+D70</f>
        <v>0</v>
      </c>
      <c r="E31" s="104">
        <f>E33+E41+E43+E45+E49+E53+E57+E62+E66+E68+E70</f>
        <v>0</v>
      </c>
      <c r="F31" s="104"/>
      <c r="G31" s="104">
        <f t="shared" ref="G31:K31" si="3">G33+G41+G43+G45+G49+G53+G57+G62+G66+G68+G70</f>
        <v>0</v>
      </c>
      <c r="H31" s="104">
        <f t="shared" si="3"/>
        <v>-540200</v>
      </c>
      <c r="I31" s="104">
        <f t="shared" si="3"/>
        <v>-540950</v>
      </c>
      <c r="J31" s="104">
        <f t="shared" si="3"/>
        <v>-541738</v>
      </c>
      <c r="K31" s="104">
        <f t="shared" si="3"/>
        <v>0</v>
      </c>
      <c r="L31" s="108"/>
      <c r="M31" s="108"/>
      <c r="N31" s="109"/>
      <c r="O31" s="109"/>
      <c r="P31" s="109"/>
      <c r="Q31" s="109"/>
      <c r="R31" s="109"/>
      <c r="S31" s="109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</row>
    <row r="32" spans="1:42" s="96" customFormat="1" ht="12.75" hidden="1" outlineLevel="1">
      <c r="A32" s="93"/>
      <c r="B32" s="106"/>
      <c r="C32" s="95"/>
      <c r="D32" s="95"/>
      <c r="E32" s="95"/>
      <c r="F32" s="95"/>
      <c r="G32" s="95"/>
      <c r="H32" s="95"/>
      <c r="I32" s="95"/>
      <c r="J32" s="95"/>
      <c r="K32" s="95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</row>
    <row r="33" spans="1:43" s="92" customFormat="1" ht="12.75" hidden="1" outlineLevel="1">
      <c r="A33" s="90"/>
      <c r="B33" s="105" t="s">
        <v>171</v>
      </c>
      <c r="C33" s="91">
        <f>SUM(C34:C40)</f>
        <v>0</v>
      </c>
      <c r="D33" s="91">
        <f>SUM(D34:D40)</f>
        <v>0</v>
      </c>
      <c r="E33" s="91">
        <f>SUM(E34:E40)</f>
        <v>0</v>
      </c>
      <c r="F33" s="91"/>
      <c r="G33" s="91">
        <f>SUM(G34:G40)</f>
        <v>0</v>
      </c>
      <c r="H33" s="91">
        <f>SUM(H34:H40)</f>
        <v>-102000</v>
      </c>
      <c r="I33" s="91">
        <f>SUM(I34:I40)</f>
        <v>-102750</v>
      </c>
      <c r="J33" s="91">
        <f>SUM(J34:J40)</f>
        <v>-103538</v>
      </c>
      <c r="K33" s="91">
        <f>SUM(K34:K40)</f>
        <v>0</v>
      </c>
      <c r="L33" s="91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</row>
    <row r="34" spans="1:43" s="96" customFormat="1" ht="12.75" hidden="1" outlineLevel="2">
      <c r="A34" s="93"/>
      <c r="B34" s="106" t="s">
        <v>462</v>
      </c>
      <c r="C34" s="95"/>
      <c r="D34" s="95"/>
      <c r="E34" s="95"/>
      <c r="F34" s="95"/>
      <c r="G34" s="95"/>
      <c r="H34" s="95">
        <v>-15000</v>
      </c>
      <c r="I34" s="95">
        <v>-15750</v>
      </c>
      <c r="J34" s="95">
        <v>-16538</v>
      </c>
      <c r="K34" s="95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</row>
    <row r="35" spans="1:43" s="96" customFormat="1" ht="12.75" hidden="1" outlineLevel="2">
      <c r="A35" s="93"/>
      <c r="B35" s="106" t="s">
        <v>323</v>
      </c>
      <c r="C35" s="95"/>
      <c r="D35" s="95"/>
      <c r="E35" s="95"/>
      <c r="F35" s="95"/>
      <c r="G35" s="95"/>
      <c r="H35" s="95">
        <v>-1000</v>
      </c>
      <c r="I35" s="95">
        <v>-1000</v>
      </c>
      <c r="J35" s="95">
        <v>-1000</v>
      </c>
      <c r="K35" s="95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</row>
    <row r="36" spans="1:43" s="96" customFormat="1" ht="12.75" hidden="1" outlineLevel="2">
      <c r="A36" s="93"/>
      <c r="B36" s="106" t="s">
        <v>761</v>
      </c>
      <c r="C36" s="95"/>
      <c r="D36" s="95"/>
      <c r="E36" s="95"/>
      <c r="F36" s="95"/>
      <c r="G36" s="95"/>
      <c r="H36" s="95">
        <v>-6000</v>
      </c>
      <c r="I36" s="95">
        <v>-6000</v>
      </c>
      <c r="J36" s="95">
        <v>-6000</v>
      </c>
      <c r="K36" s="95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</row>
    <row r="37" spans="1:43" s="96" customFormat="1" ht="12.75" hidden="1" outlineLevel="2">
      <c r="A37" s="93"/>
      <c r="B37" s="106" t="s">
        <v>762</v>
      </c>
      <c r="C37" s="95"/>
      <c r="D37" s="95"/>
      <c r="E37" s="95"/>
      <c r="F37" s="95"/>
      <c r="G37" s="95"/>
      <c r="H37" s="95">
        <v>-75000</v>
      </c>
      <c r="I37" s="95">
        <v>-75000</v>
      </c>
      <c r="J37" s="95">
        <v>-75000</v>
      </c>
      <c r="K37" s="95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</row>
    <row r="38" spans="1:43" s="96" customFormat="1" ht="12.75" hidden="1" outlineLevel="2">
      <c r="A38" s="93"/>
      <c r="B38" s="106" t="s">
        <v>328</v>
      </c>
      <c r="C38" s="95"/>
      <c r="D38" s="95"/>
      <c r="E38" s="95"/>
      <c r="F38" s="95"/>
      <c r="G38" s="95"/>
      <c r="H38" s="95">
        <v>-3000</v>
      </c>
      <c r="I38" s="95">
        <v>-3000</v>
      </c>
      <c r="J38" s="95">
        <v>-3000</v>
      </c>
      <c r="K38" s="95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</row>
    <row r="39" spans="1:43" s="96" customFormat="1" ht="12.75" hidden="1" outlineLevel="2">
      <c r="A39" s="93"/>
      <c r="B39" s="106" t="s">
        <v>763</v>
      </c>
      <c r="C39" s="95"/>
      <c r="D39" s="95"/>
      <c r="E39" s="95"/>
      <c r="F39" s="95"/>
      <c r="G39" s="95"/>
      <c r="H39" s="95">
        <v>-2000</v>
      </c>
      <c r="I39" s="95">
        <v>-2000</v>
      </c>
      <c r="J39" s="95">
        <v>-2000</v>
      </c>
      <c r="K39" s="95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</row>
    <row r="40" spans="1:43" s="96" customFormat="1" ht="12.75" hidden="1" outlineLevel="2">
      <c r="A40" s="93"/>
      <c r="B40" s="106"/>
      <c r="C40" s="95"/>
      <c r="D40" s="95"/>
      <c r="E40" s="95"/>
      <c r="F40" s="95"/>
      <c r="G40" s="95"/>
      <c r="H40" s="95"/>
      <c r="I40" s="95"/>
      <c r="J40" s="95"/>
      <c r="K40" s="95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</row>
    <row r="41" spans="1:43" s="92" customFormat="1" ht="12.75" hidden="1" outlineLevel="1">
      <c r="A41" s="90"/>
      <c r="B41" s="105" t="s">
        <v>172</v>
      </c>
      <c r="C41" s="91">
        <f>SUM(C42:C42)</f>
        <v>0</v>
      </c>
      <c r="D41" s="91">
        <f>SUM(D42:D42)</f>
        <v>0</v>
      </c>
      <c r="E41" s="91">
        <f>SUM(E42:E42)</f>
        <v>0</v>
      </c>
      <c r="F41" s="91"/>
      <c r="G41" s="91">
        <f>SUM(G42:G42)</f>
        <v>0</v>
      </c>
      <c r="H41" s="91">
        <f>SUM(H42:H42)</f>
        <v>0</v>
      </c>
      <c r="I41" s="91">
        <f>SUM(I42:I42)</f>
        <v>0</v>
      </c>
      <c r="J41" s="91">
        <f>SUM(J42:J42)</f>
        <v>0</v>
      </c>
      <c r="K41" s="91">
        <f>SUM(K42:K42)</f>
        <v>0</v>
      </c>
      <c r="L41" s="91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</row>
    <row r="42" spans="1:43" s="96" customFormat="1" ht="12.75" hidden="1" outlineLevel="2">
      <c r="A42" s="93"/>
      <c r="B42" s="106"/>
      <c r="C42" s="95"/>
      <c r="D42" s="95"/>
      <c r="E42" s="95"/>
      <c r="F42" s="95"/>
      <c r="G42" s="95"/>
      <c r="H42" s="95"/>
      <c r="I42" s="95"/>
      <c r="J42" s="95"/>
      <c r="K42" s="95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</row>
    <row r="43" spans="1:43" s="92" customFormat="1" ht="12.75" hidden="1" outlineLevel="1">
      <c r="A43" s="90"/>
      <c r="B43" s="105" t="s">
        <v>173</v>
      </c>
      <c r="C43" s="91">
        <f>SUM(C44:C44)</f>
        <v>0</v>
      </c>
      <c r="D43" s="91">
        <f>SUM(D44:D44)</f>
        <v>0</v>
      </c>
      <c r="E43" s="91">
        <f>SUM(E44:E44)</f>
        <v>0</v>
      </c>
      <c r="F43" s="91"/>
      <c r="G43" s="91">
        <f>SUM(G44:G44)</f>
        <v>0</v>
      </c>
      <c r="H43" s="91">
        <f>SUM(H44:H44)</f>
        <v>0</v>
      </c>
      <c r="I43" s="91">
        <f>SUM(I44:I44)</f>
        <v>0</v>
      </c>
      <c r="J43" s="91">
        <f>SUM(J44:J44)</f>
        <v>0</v>
      </c>
      <c r="K43" s="91">
        <f>SUM(K44:K44)</f>
        <v>0</v>
      </c>
      <c r="L43" s="91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</row>
    <row r="44" spans="1:43" s="96" customFormat="1" ht="12.75" hidden="1" outlineLevel="2">
      <c r="A44" s="93"/>
      <c r="B44" s="106"/>
      <c r="C44" s="95"/>
      <c r="D44" s="95"/>
      <c r="E44" s="95"/>
      <c r="F44" s="95"/>
      <c r="G44" s="95"/>
      <c r="H44" s="95"/>
      <c r="I44" s="95"/>
      <c r="J44" s="95"/>
      <c r="K44" s="95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</row>
    <row r="45" spans="1:43" s="92" customFormat="1" ht="12.75" hidden="1" outlineLevel="1">
      <c r="A45" s="90"/>
      <c r="B45" s="105" t="s">
        <v>174</v>
      </c>
      <c r="C45" s="91">
        <f>SUM(C46:C48)</f>
        <v>0</v>
      </c>
      <c r="D45" s="91">
        <f>SUM(D46:D48)</f>
        <v>0</v>
      </c>
      <c r="E45" s="91">
        <f>SUM(E46:E48)</f>
        <v>0</v>
      </c>
      <c r="F45" s="91"/>
      <c r="G45" s="91">
        <f>SUM(G46:G48)</f>
        <v>0</v>
      </c>
      <c r="H45" s="91">
        <f>SUM(H46:H48)</f>
        <v>-199000</v>
      </c>
      <c r="I45" s="91">
        <f>SUM(I46:I48)</f>
        <v>-199000</v>
      </c>
      <c r="J45" s="91">
        <f>SUM(J46:J48)</f>
        <v>-199000</v>
      </c>
      <c r="K45" s="91">
        <f>SUM(K46:K48)</f>
        <v>0</v>
      </c>
      <c r="L45" s="91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</row>
    <row r="46" spans="1:43" s="96" customFormat="1" ht="12.75" hidden="1" outlineLevel="2">
      <c r="A46" s="93"/>
      <c r="B46" s="106" t="s">
        <v>764</v>
      </c>
      <c r="C46" s="95"/>
      <c r="D46" s="95"/>
      <c r="E46" s="95"/>
      <c r="F46" s="95"/>
      <c r="G46" s="95"/>
      <c r="H46" s="95">
        <v>-196000</v>
      </c>
      <c r="I46" s="95">
        <v>-196000</v>
      </c>
      <c r="J46" s="95">
        <v>-196000</v>
      </c>
      <c r="K46" s="95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</row>
    <row r="47" spans="1:43" s="96" customFormat="1" ht="12.75" hidden="1" outlineLevel="2">
      <c r="A47" s="93"/>
      <c r="B47" s="106" t="s">
        <v>766</v>
      </c>
      <c r="C47" s="95"/>
      <c r="D47" s="95"/>
      <c r="E47" s="95"/>
      <c r="F47" s="95"/>
      <c r="G47" s="95"/>
      <c r="H47" s="95">
        <v>-3000</v>
      </c>
      <c r="I47" s="95">
        <v>-3000</v>
      </c>
      <c r="J47" s="95">
        <v>-3000</v>
      </c>
      <c r="K47" s="95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</row>
    <row r="48" spans="1:43" s="96" customFormat="1" ht="12.75" hidden="1" outlineLevel="2">
      <c r="A48" s="9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</row>
    <row r="49" spans="1:43" s="92" customFormat="1" ht="12.75" hidden="1" outlineLevel="1">
      <c r="A49" s="90"/>
      <c r="B49" s="105" t="s">
        <v>175</v>
      </c>
      <c r="C49" s="91">
        <f>SUM(C50:C52)</f>
        <v>0</v>
      </c>
      <c r="D49" s="91">
        <f>SUM(D50:D52)</f>
        <v>0</v>
      </c>
      <c r="E49" s="91">
        <f>SUM(E50:E52)</f>
        <v>0</v>
      </c>
      <c r="F49" s="91"/>
      <c r="G49" s="91">
        <f>SUM(G50:G52)</f>
        <v>0</v>
      </c>
      <c r="H49" s="91">
        <f>SUM(H50:H52)</f>
        <v>-104000</v>
      </c>
      <c r="I49" s="91">
        <f>SUM(I50:I52)</f>
        <v>-104000</v>
      </c>
      <c r="J49" s="91">
        <f>SUM(J50:J52)</f>
        <v>-104000</v>
      </c>
      <c r="K49" s="91">
        <f>SUM(K50:K52)</f>
        <v>0</v>
      </c>
      <c r="L49" s="91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96" customFormat="1" ht="12.75" hidden="1" outlineLevel="2">
      <c r="A50" s="93"/>
      <c r="B50" s="106" t="s">
        <v>765</v>
      </c>
      <c r="C50" s="95"/>
      <c r="D50" s="95"/>
      <c r="E50" s="95"/>
      <c r="F50" s="95"/>
      <c r="G50" s="95"/>
      <c r="H50" s="95">
        <v>-4000</v>
      </c>
      <c r="I50" s="95">
        <v>-4000</v>
      </c>
      <c r="J50" s="95">
        <v>-4000</v>
      </c>
      <c r="K50" s="95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</row>
    <row r="51" spans="1:43" s="96" customFormat="1" ht="12.75" hidden="1" outlineLevel="2">
      <c r="A51" s="93"/>
      <c r="B51" s="106" t="s">
        <v>767</v>
      </c>
      <c r="C51" s="95"/>
      <c r="D51" s="95"/>
      <c r="E51" s="95"/>
      <c r="F51" s="95"/>
      <c r="G51" s="95"/>
      <c r="H51" s="95">
        <v>-100000</v>
      </c>
      <c r="I51" s="95">
        <v>-100000</v>
      </c>
      <c r="J51" s="95">
        <v>-100000</v>
      </c>
      <c r="K51" s="95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</row>
    <row r="52" spans="1:43" s="96" customFormat="1" ht="12.75" hidden="1" outlineLevel="2">
      <c r="A52" s="93"/>
      <c r="B52" s="106"/>
      <c r="C52" s="95"/>
      <c r="D52" s="95"/>
      <c r="E52" s="95"/>
      <c r="F52" s="95"/>
      <c r="G52" s="95"/>
      <c r="H52" s="95"/>
      <c r="I52" s="95"/>
      <c r="J52" s="95"/>
      <c r="K52" s="95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</row>
    <row r="53" spans="1:43" s="92" customFormat="1" ht="12.75" hidden="1" outlineLevel="1">
      <c r="A53" s="90"/>
      <c r="B53" s="105" t="s">
        <v>176</v>
      </c>
      <c r="C53" s="91">
        <f>SUM(C54:C56)</f>
        <v>0</v>
      </c>
      <c r="D53" s="91">
        <f>SUM(D54:D56)</f>
        <v>0</v>
      </c>
      <c r="E53" s="91">
        <f>SUM(E54:E56)</f>
        <v>0</v>
      </c>
      <c r="F53" s="91"/>
      <c r="G53" s="91">
        <f>SUM(G54:G56)</f>
        <v>0</v>
      </c>
      <c r="H53" s="91">
        <f>SUM(H54:H56)</f>
        <v>-75000</v>
      </c>
      <c r="I53" s="91">
        <f>SUM(I54:I56)</f>
        <v>-75000</v>
      </c>
      <c r="J53" s="91">
        <f>SUM(J54:J56)</f>
        <v>-75000</v>
      </c>
      <c r="K53" s="91">
        <f>SUM(K54:K56)</f>
        <v>0</v>
      </c>
      <c r="L53" s="91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</row>
    <row r="54" spans="1:43" s="96" customFormat="1" ht="12.75" hidden="1" outlineLevel="2">
      <c r="A54" s="93"/>
      <c r="B54" s="106" t="s">
        <v>768</v>
      </c>
      <c r="C54" s="95"/>
      <c r="D54" s="95"/>
      <c r="E54" s="95"/>
      <c r="F54" s="95"/>
      <c r="G54" s="95"/>
      <c r="H54" s="95">
        <v>-60000</v>
      </c>
      <c r="I54" s="95">
        <v>-60000</v>
      </c>
      <c r="J54" s="95">
        <v>-60000</v>
      </c>
      <c r="K54" s="95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</row>
    <row r="55" spans="1:43" s="96" customFormat="1" ht="12.75" hidden="1" outlineLevel="2">
      <c r="A55" s="93"/>
      <c r="B55" s="106" t="s">
        <v>769</v>
      </c>
      <c r="C55" s="95"/>
      <c r="D55" s="95"/>
      <c r="E55" s="95"/>
      <c r="F55" s="95"/>
      <c r="G55" s="95"/>
      <c r="H55" s="95">
        <v>-15000</v>
      </c>
      <c r="I55" s="95">
        <v>-15000</v>
      </c>
      <c r="J55" s="95">
        <v>-15000</v>
      </c>
      <c r="K55" s="95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</row>
    <row r="56" spans="1:43" s="96" customFormat="1" ht="12.75" hidden="1" outlineLevel="2">
      <c r="A56" s="93"/>
      <c r="B56" s="106"/>
      <c r="C56" s="95"/>
      <c r="D56" s="95"/>
      <c r="E56" s="95"/>
      <c r="F56" s="95"/>
      <c r="G56" s="95"/>
      <c r="H56" s="95"/>
      <c r="I56" s="95"/>
      <c r="J56" s="95"/>
      <c r="K56" s="95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</row>
    <row r="57" spans="1:43" s="92" customFormat="1" ht="12.75" hidden="1" outlineLevel="1">
      <c r="A57" s="90"/>
      <c r="B57" s="105" t="s">
        <v>143</v>
      </c>
      <c r="C57" s="91">
        <f>SUM(C58:C61)</f>
        <v>0</v>
      </c>
      <c r="D57" s="91">
        <f>SUM(D58:D61)</f>
        <v>0</v>
      </c>
      <c r="E57" s="91">
        <f>SUM(E58:E61)</f>
        <v>0</v>
      </c>
      <c r="F57" s="91"/>
      <c r="G57" s="91">
        <f>SUM(G58:G61)</f>
        <v>0</v>
      </c>
      <c r="H57" s="91">
        <f>SUM(H58:H61)</f>
        <v>-53500</v>
      </c>
      <c r="I57" s="91">
        <f>SUM(I58:I61)</f>
        <v>-53500</v>
      </c>
      <c r="J57" s="91">
        <f>SUM(J58:J61)</f>
        <v>-53500</v>
      </c>
      <c r="K57" s="91">
        <f>SUM(K58:K61)</f>
        <v>0</v>
      </c>
      <c r="L57" s="91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</row>
    <row r="58" spans="1:43" s="96" customFormat="1" ht="12.75" hidden="1" outlineLevel="2">
      <c r="A58" s="93"/>
      <c r="B58" s="106" t="s">
        <v>770</v>
      </c>
      <c r="C58" s="95"/>
      <c r="D58" s="95"/>
      <c r="E58" s="95"/>
      <c r="F58" s="95"/>
      <c r="G58" s="95"/>
      <c r="H58" s="95">
        <v>-30000</v>
      </c>
      <c r="I58" s="95">
        <v>-30000</v>
      </c>
      <c r="J58" s="95">
        <v>-30000</v>
      </c>
      <c r="K58" s="95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</row>
    <row r="59" spans="1:43" s="96" customFormat="1" ht="12.75" hidden="1" outlineLevel="2">
      <c r="A59" s="93"/>
      <c r="B59" s="106" t="s">
        <v>771</v>
      </c>
      <c r="C59" s="95"/>
      <c r="D59" s="95"/>
      <c r="E59" s="95"/>
      <c r="F59" s="95"/>
      <c r="G59" s="95"/>
      <c r="H59" s="95">
        <v>-18000</v>
      </c>
      <c r="I59" s="95">
        <v>-18000</v>
      </c>
      <c r="J59" s="95">
        <v>-18000</v>
      </c>
      <c r="K59" s="95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</row>
    <row r="60" spans="1:43" s="96" customFormat="1" ht="12.75" hidden="1" outlineLevel="2">
      <c r="A60" s="93"/>
      <c r="B60" s="106" t="s">
        <v>772</v>
      </c>
      <c r="C60" s="95"/>
      <c r="D60" s="95"/>
      <c r="E60" s="95"/>
      <c r="F60" s="95"/>
      <c r="G60" s="95"/>
      <c r="H60" s="95">
        <v>-5500</v>
      </c>
      <c r="I60" s="95">
        <v>-5500</v>
      </c>
      <c r="J60" s="95">
        <v>-5500</v>
      </c>
      <c r="K60" s="95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</row>
    <row r="61" spans="1:43" s="96" customFormat="1" ht="12.75" hidden="1" outlineLevel="2">
      <c r="A61" s="93"/>
      <c r="B61" s="106"/>
      <c r="C61" s="95"/>
      <c r="D61" s="95"/>
      <c r="E61" s="95"/>
      <c r="F61" s="95"/>
      <c r="G61" s="95"/>
      <c r="H61" s="95"/>
      <c r="I61" s="95"/>
      <c r="J61" s="95"/>
      <c r="K61" s="95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</row>
    <row r="62" spans="1:43" s="92" customFormat="1" ht="12.75" hidden="1" outlineLevel="1">
      <c r="A62" s="90"/>
      <c r="B62" s="105" t="s">
        <v>178</v>
      </c>
      <c r="C62" s="91">
        <f>SUM(C63:C65)</f>
        <v>0</v>
      </c>
      <c r="D62" s="91">
        <f>SUM(D63:D65)</f>
        <v>0</v>
      </c>
      <c r="E62" s="91">
        <f>SUM(E63:E65)</f>
        <v>0</v>
      </c>
      <c r="F62" s="91"/>
      <c r="G62" s="91">
        <f>SUM(G63:G65)</f>
        <v>0</v>
      </c>
      <c r="H62" s="91">
        <f>SUM(H63:H65)</f>
        <v>-2000</v>
      </c>
      <c r="I62" s="91">
        <f>SUM(I63:I65)</f>
        <v>-2000</v>
      </c>
      <c r="J62" s="91">
        <f>SUM(J63:J65)</f>
        <v>-2000</v>
      </c>
      <c r="K62" s="91">
        <f>SUM(K63:K65)</f>
        <v>0</v>
      </c>
      <c r="L62" s="91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</row>
    <row r="63" spans="1:43" s="96" customFormat="1" ht="12.75" hidden="1" outlineLevel="2">
      <c r="A63" s="93"/>
      <c r="B63" s="106" t="s">
        <v>773</v>
      </c>
      <c r="C63" s="95"/>
      <c r="D63" s="95"/>
      <c r="E63" s="95"/>
      <c r="F63" s="95"/>
      <c r="G63" s="95"/>
      <c r="H63" s="95">
        <v>-1000</v>
      </c>
      <c r="I63" s="95">
        <v>-1000</v>
      </c>
      <c r="J63" s="95">
        <v>-1000</v>
      </c>
      <c r="K63" s="95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</row>
    <row r="64" spans="1:43" s="96" customFormat="1" ht="12.75" hidden="1" outlineLevel="2">
      <c r="A64" s="93"/>
      <c r="B64" s="106" t="s">
        <v>774</v>
      </c>
      <c r="C64" s="95"/>
      <c r="D64" s="95"/>
      <c r="E64" s="95"/>
      <c r="F64" s="95"/>
      <c r="G64" s="95"/>
      <c r="H64" s="95">
        <v>-1000</v>
      </c>
      <c r="I64" s="95">
        <v>-1000</v>
      </c>
      <c r="J64" s="95">
        <v>-1000</v>
      </c>
      <c r="K64" s="95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</row>
    <row r="65" spans="1:43" s="96" customFormat="1" ht="12.75" hidden="1" outlineLevel="2">
      <c r="A65" s="93"/>
      <c r="B65" s="106"/>
      <c r="C65" s="95"/>
      <c r="D65" s="95"/>
      <c r="E65" s="95"/>
      <c r="F65" s="95"/>
      <c r="G65" s="95"/>
      <c r="H65" s="95"/>
      <c r="I65" s="95"/>
      <c r="J65" s="95"/>
      <c r="K65" s="95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</row>
    <row r="66" spans="1:43" s="92" customFormat="1" ht="12.75" hidden="1" outlineLevel="1">
      <c r="A66" s="90"/>
      <c r="B66" s="105" t="s">
        <v>191</v>
      </c>
      <c r="C66" s="91">
        <f>SUM(C67:C67)</f>
        <v>0</v>
      </c>
      <c r="D66" s="91">
        <f>SUM(D67:D67)</f>
        <v>0</v>
      </c>
      <c r="E66" s="91">
        <f>SUM(E67:E67)</f>
        <v>0</v>
      </c>
      <c r="F66" s="91"/>
      <c r="G66" s="91">
        <f>SUM(G67:G67)</f>
        <v>0</v>
      </c>
      <c r="H66" s="91">
        <f>SUM(H67:H67)</f>
        <v>0</v>
      </c>
      <c r="I66" s="91">
        <f>SUM(I67:I67)</f>
        <v>0</v>
      </c>
      <c r="J66" s="91">
        <f>SUM(J67:J67)</f>
        <v>0</v>
      </c>
      <c r="K66" s="91">
        <f>SUM(K67:K67)</f>
        <v>0</v>
      </c>
      <c r="L66" s="91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</row>
    <row r="67" spans="1:43" s="96" customFormat="1" ht="12.75" hidden="1" outlineLevel="2">
      <c r="A67" s="93"/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</row>
    <row r="68" spans="1:43" s="92" customFormat="1" ht="12.75" hidden="1" outlineLevel="1">
      <c r="A68" s="90"/>
      <c r="B68" s="105" t="s">
        <v>499</v>
      </c>
      <c r="C68" s="91">
        <f>SUM(C69:C69)</f>
        <v>0</v>
      </c>
      <c r="D68" s="91">
        <f>SUM(D69:D69)</f>
        <v>0</v>
      </c>
      <c r="E68" s="91">
        <f>SUM(E69:E69)</f>
        <v>0</v>
      </c>
      <c r="F68" s="91"/>
      <c r="G68" s="91">
        <f>SUM(G69:G69)</f>
        <v>0</v>
      </c>
      <c r="H68" s="91">
        <f>SUM(H69:H69)</f>
        <v>0</v>
      </c>
      <c r="I68" s="91">
        <f>SUM(I69:I69)</f>
        <v>0</v>
      </c>
      <c r="J68" s="91">
        <f>SUM(J69:J69)</f>
        <v>0</v>
      </c>
      <c r="K68" s="91">
        <f>SUM(K69:K69)</f>
        <v>0</v>
      </c>
      <c r="L68" s="91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</row>
    <row r="69" spans="1:43" s="96" customFormat="1" ht="12.75" hidden="1" outlineLevel="2">
      <c r="A69" s="93"/>
      <c r="B69" s="106"/>
      <c r="C69" s="95"/>
      <c r="D69" s="95"/>
      <c r="E69" s="95"/>
      <c r="F69" s="95"/>
      <c r="G69" s="95"/>
      <c r="H69" s="95"/>
      <c r="I69" s="95"/>
      <c r="J69" s="95"/>
      <c r="K69" s="95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</row>
    <row r="70" spans="1:43" s="92" customFormat="1" ht="12.75" hidden="1" outlineLevel="1">
      <c r="A70" s="90"/>
      <c r="B70" s="105" t="s">
        <v>180</v>
      </c>
      <c r="C70" s="91">
        <f>SUM(C71:C75)</f>
        <v>0</v>
      </c>
      <c r="D70" s="91">
        <f>SUM(D71:D75)</f>
        <v>0</v>
      </c>
      <c r="E70" s="91">
        <f>SUM(E71:E75)</f>
        <v>0</v>
      </c>
      <c r="F70" s="91"/>
      <c r="G70" s="91">
        <f>SUM(G71:G75)</f>
        <v>0</v>
      </c>
      <c r="H70" s="91">
        <f>SUM(H71:H75)</f>
        <v>-4700</v>
      </c>
      <c r="I70" s="91">
        <f>SUM(I71:I75)</f>
        <v>-4700</v>
      </c>
      <c r="J70" s="91">
        <f>SUM(J71:J75)</f>
        <v>-4700</v>
      </c>
      <c r="K70" s="91">
        <f>SUM(K71:K75)</f>
        <v>0</v>
      </c>
      <c r="L70" s="91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</row>
    <row r="71" spans="1:43" s="96" customFormat="1" ht="12.75" hidden="1" outlineLevel="2">
      <c r="A71" s="93"/>
      <c r="B71" s="106" t="s">
        <v>145</v>
      </c>
      <c r="C71" s="95"/>
      <c r="D71" s="95"/>
      <c r="E71" s="95"/>
      <c r="F71" s="95"/>
      <c r="G71" s="95"/>
      <c r="H71" s="95">
        <v>-200</v>
      </c>
      <c r="I71" s="95">
        <v>-200</v>
      </c>
      <c r="J71" s="95">
        <v>-200</v>
      </c>
      <c r="K71" s="95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</row>
    <row r="72" spans="1:43" s="96" customFormat="1" ht="12.75" hidden="1" outlineLevel="2">
      <c r="A72" s="93"/>
      <c r="B72" s="106" t="s">
        <v>775</v>
      </c>
      <c r="C72" s="95"/>
      <c r="D72" s="95"/>
      <c r="E72" s="95"/>
      <c r="F72" s="95"/>
      <c r="G72" s="95"/>
      <c r="H72" s="95">
        <v>-1500</v>
      </c>
      <c r="I72" s="95">
        <v>-1500</v>
      </c>
      <c r="J72" s="95">
        <v>-1500</v>
      </c>
      <c r="K72" s="95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</row>
    <row r="73" spans="1:43" s="96" customFormat="1" ht="12.75" hidden="1" outlineLevel="2">
      <c r="A73" s="93"/>
      <c r="B73" s="106" t="s">
        <v>776</v>
      </c>
      <c r="C73" s="95"/>
      <c r="D73" s="95"/>
      <c r="E73" s="95"/>
      <c r="F73" s="95"/>
      <c r="G73" s="95"/>
      <c r="H73" s="95">
        <v>-3000</v>
      </c>
      <c r="I73" s="95">
        <v>-3000</v>
      </c>
      <c r="J73" s="95">
        <v>-3000</v>
      </c>
      <c r="K73" s="95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</row>
    <row r="74" spans="1:43" s="96" customFormat="1" ht="12.75" hidden="1" outlineLevel="2">
      <c r="A74" s="93"/>
      <c r="B74" s="106"/>
      <c r="C74" s="95"/>
      <c r="D74" s="95"/>
      <c r="E74" s="95"/>
      <c r="F74" s="95"/>
      <c r="G74" s="95"/>
      <c r="H74" s="95"/>
      <c r="I74" s="95"/>
      <c r="J74" s="95"/>
      <c r="K74" s="95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</row>
    <row r="75" spans="1:43" s="96" customFormat="1" ht="12.75" hidden="1" outlineLevel="1">
      <c r="A75" s="9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</row>
    <row r="76" spans="1:43" ht="15.75" collapsed="1">
      <c r="A76" s="83"/>
      <c r="B76" s="100" t="s">
        <v>181</v>
      </c>
      <c r="C76" s="110">
        <f>C29+C31</f>
        <v>0</v>
      </c>
      <c r="D76" s="110">
        <f>D29+D31</f>
        <v>0</v>
      </c>
      <c r="E76" s="110">
        <f>E29+E31</f>
        <v>0</v>
      </c>
      <c r="F76" s="110"/>
      <c r="G76" s="110">
        <f>G29+G31</f>
        <v>0</v>
      </c>
      <c r="H76" s="110">
        <f>H29+H31</f>
        <v>777400</v>
      </c>
      <c r="I76" s="110">
        <f>I29+I31</f>
        <v>835038</v>
      </c>
      <c r="J76" s="110">
        <f>J29+J31</f>
        <v>969621</v>
      </c>
      <c r="K76" s="110">
        <f>K29+K31</f>
        <v>0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</row>
    <row r="77" spans="1:43" ht="16.5" thickBot="1">
      <c r="A77" s="83"/>
      <c r="B77" s="101" t="s">
        <v>106</v>
      </c>
      <c r="C77" s="102" t="e">
        <f>C76/C20</f>
        <v>#DIV/0!</v>
      </c>
      <c r="D77" s="102" t="e">
        <f>D76/D20</f>
        <v>#DIV/0!</v>
      </c>
      <c r="E77" s="102" t="e">
        <f>E76/E20</f>
        <v>#DIV/0!</v>
      </c>
      <c r="F77" s="102"/>
      <c r="G77" s="102" t="e">
        <f>G76/G20</f>
        <v>#DIV/0!</v>
      </c>
      <c r="H77" s="102">
        <f>H76/H20</f>
        <v>0.31860655737704918</v>
      </c>
      <c r="I77" s="102">
        <f>I76/I20</f>
        <v>0.32770684326710819</v>
      </c>
      <c r="J77" s="102">
        <f>J76/J20</f>
        <v>0.3464400801339711</v>
      </c>
      <c r="K77" s="102" t="e">
        <f>K76/K20</f>
        <v>#DIV/0!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</row>
    <row r="78" spans="1:43" ht="15.75">
      <c r="A78" s="107"/>
      <c r="B78" s="83" t="s">
        <v>262</v>
      </c>
      <c r="C78" s="104">
        <f>C79</f>
        <v>0</v>
      </c>
      <c r="D78" s="104">
        <f>D79</f>
        <v>0</v>
      </c>
      <c r="E78" s="104">
        <f>E79</f>
        <v>0</v>
      </c>
      <c r="F78" s="104"/>
      <c r="G78" s="104"/>
      <c r="H78" s="104"/>
      <c r="I78" s="104"/>
      <c r="J78" s="104"/>
      <c r="K78" s="104"/>
      <c r="L78" s="108"/>
      <c r="M78" s="108"/>
      <c r="N78" s="109"/>
      <c r="O78" s="109"/>
      <c r="P78" s="109"/>
      <c r="Q78" s="109"/>
      <c r="R78" s="109"/>
      <c r="S78" s="109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</row>
    <row r="79" spans="1:43" s="96" customFormat="1" ht="12.75" hidden="1" outlineLevel="1">
      <c r="A79" s="93"/>
      <c r="B79" s="106"/>
      <c r="C79" s="95"/>
      <c r="D79" s="95"/>
      <c r="E79" s="95"/>
      <c r="F79" s="95"/>
      <c r="G79" s="95"/>
      <c r="H79" s="95"/>
      <c r="I79" s="95"/>
      <c r="J79" s="95"/>
      <c r="K79" s="95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</row>
    <row r="80" spans="1:43" s="96" customFormat="1" ht="12.75" hidden="1" outlineLevel="1">
      <c r="A80" s="93"/>
      <c r="B80" s="106"/>
      <c r="C80" s="95"/>
      <c r="D80" s="95"/>
      <c r="E80" s="95"/>
      <c r="F80" s="95"/>
      <c r="G80" s="95"/>
      <c r="H80" s="95"/>
      <c r="I80" s="95"/>
      <c r="J80" s="95"/>
      <c r="K80" s="95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</row>
    <row r="81" spans="1:42" ht="15.75" collapsed="1">
      <c r="A81" s="107"/>
      <c r="B81" s="97" t="s">
        <v>22</v>
      </c>
      <c r="C81" s="104">
        <f>SUM(C82:C86)</f>
        <v>0</v>
      </c>
      <c r="D81" s="104">
        <f>SUM(D82:D86)</f>
        <v>0</v>
      </c>
      <c r="E81" s="104">
        <f>SUM(E82:E86)</f>
        <v>0</v>
      </c>
      <c r="F81" s="104"/>
      <c r="G81" s="104">
        <f>SUM(G82:G86)</f>
        <v>0</v>
      </c>
      <c r="H81" s="104">
        <f>SUM(H82:H86)</f>
        <v>-37690</v>
      </c>
      <c r="I81" s="104">
        <f>SUM(I82:I86)</f>
        <v>-37595</v>
      </c>
      <c r="J81" s="104">
        <f>SUM(J82:J86)</f>
        <v>-37494</v>
      </c>
      <c r="K81" s="104">
        <f>SUM(K82:K86)</f>
        <v>0</v>
      </c>
      <c r="L81" s="108"/>
      <c r="M81" s="108"/>
      <c r="N81" s="109"/>
      <c r="O81" s="109"/>
      <c r="P81" s="109"/>
      <c r="Q81" s="109"/>
      <c r="R81" s="109"/>
      <c r="S81" s="109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</row>
    <row r="82" spans="1:42" s="96" customFormat="1" ht="12.75" hidden="1" outlineLevel="1">
      <c r="A82" s="93"/>
      <c r="B82" s="106" t="s">
        <v>514</v>
      </c>
      <c r="C82" s="95"/>
      <c r="D82" s="95"/>
      <c r="E82" s="95"/>
      <c r="F82" s="95"/>
      <c r="G82" s="95"/>
      <c r="H82" s="95">
        <v>-35000</v>
      </c>
      <c r="I82" s="95">
        <v>-35000</v>
      </c>
      <c r="J82" s="95">
        <v>-35000</v>
      </c>
      <c r="K82" s="95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</row>
    <row r="83" spans="1:42" s="96" customFormat="1" ht="12.75" hidden="1" outlineLevel="1">
      <c r="A83" s="93"/>
      <c r="B83" s="106" t="s">
        <v>382</v>
      </c>
      <c r="C83" s="95"/>
      <c r="D83" s="95"/>
      <c r="E83" s="95"/>
      <c r="F83" s="95"/>
      <c r="G83" s="95"/>
      <c r="H83" s="95">
        <v>-353</v>
      </c>
      <c r="I83" s="95">
        <v>-211</v>
      </c>
      <c r="J83" s="95">
        <v>-63</v>
      </c>
      <c r="K83" s="95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</row>
    <row r="84" spans="1:42" s="96" customFormat="1" ht="12.75" hidden="1" outlineLevel="1">
      <c r="A84" s="93"/>
      <c r="B84" s="106" t="s">
        <v>126</v>
      </c>
      <c r="C84" s="95"/>
      <c r="D84" s="95"/>
      <c r="E84" s="95"/>
      <c r="F84" s="95"/>
      <c r="G84" s="95"/>
      <c r="H84" s="95">
        <v>-1292</v>
      </c>
      <c r="I84" s="95">
        <v>-1318</v>
      </c>
      <c r="J84" s="95">
        <v>-1344</v>
      </c>
      <c r="K84" s="95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</row>
    <row r="85" spans="1:42" s="96" customFormat="1" ht="12.75" hidden="1" outlineLevel="1">
      <c r="A85" s="93"/>
      <c r="B85" s="106" t="s">
        <v>777</v>
      </c>
      <c r="C85" s="95"/>
      <c r="D85" s="95"/>
      <c r="E85" s="95"/>
      <c r="F85" s="95"/>
      <c r="G85" s="95"/>
      <c r="H85" s="95">
        <v>-1045</v>
      </c>
      <c r="I85" s="95">
        <v>-1066</v>
      </c>
      <c r="J85" s="95">
        <v>-1087</v>
      </c>
      <c r="K85" s="95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</row>
    <row r="86" spans="1:42" s="96" customFormat="1" ht="12.75" hidden="1" outlineLevel="1">
      <c r="A86" s="93"/>
      <c r="B86" s="106"/>
      <c r="C86" s="95"/>
      <c r="D86" s="95"/>
      <c r="E86" s="95"/>
      <c r="F86" s="95"/>
      <c r="G86" s="95"/>
      <c r="H86" s="95"/>
      <c r="I86" s="95"/>
      <c r="J86" s="95"/>
      <c r="K86" s="95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</row>
    <row r="87" spans="1:42" ht="15.75" collapsed="1">
      <c r="A87" s="107"/>
      <c r="B87" s="97" t="s">
        <v>21</v>
      </c>
      <c r="C87" s="104">
        <f>C89+C92</f>
        <v>0</v>
      </c>
      <c r="D87" s="104">
        <f>D89+D92</f>
        <v>0</v>
      </c>
      <c r="E87" s="104">
        <f>E89+E92</f>
        <v>0</v>
      </c>
      <c r="F87" s="104"/>
      <c r="G87" s="104">
        <f t="shared" ref="G87:K87" si="4">G89+G92</f>
        <v>0</v>
      </c>
      <c r="H87" s="104">
        <f t="shared" si="4"/>
        <v>-247001</v>
      </c>
      <c r="I87" s="104">
        <f t="shared" si="4"/>
        <v>-251940</v>
      </c>
      <c r="J87" s="104">
        <f t="shared" si="4"/>
        <v>-256980</v>
      </c>
      <c r="K87" s="104">
        <f t="shared" si="4"/>
        <v>0</v>
      </c>
      <c r="L87" s="108"/>
      <c r="M87" s="108"/>
      <c r="N87" s="109"/>
      <c r="O87" s="109"/>
      <c r="P87" s="109"/>
      <c r="Q87" s="109"/>
      <c r="R87" s="109"/>
      <c r="S87" s="109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</row>
    <row r="88" spans="1:42" s="96" customFormat="1" ht="12.75" hidden="1" outlineLevel="1">
      <c r="A88" s="93"/>
      <c r="B88" s="106"/>
      <c r="C88" s="95"/>
      <c r="D88" s="95"/>
      <c r="E88" s="95"/>
      <c r="F88" s="95"/>
      <c r="G88" s="95"/>
      <c r="H88" s="95"/>
      <c r="I88" s="95"/>
      <c r="J88" s="95"/>
      <c r="K88" s="95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</row>
    <row r="89" spans="1:42" s="96" customFormat="1" ht="12.75" hidden="1" outlineLevel="1">
      <c r="A89" s="93"/>
      <c r="B89" s="105" t="s">
        <v>182</v>
      </c>
      <c r="C89" s="91">
        <f>SUM(C90:C91)</f>
        <v>0</v>
      </c>
      <c r="D89" s="91">
        <f>SUM(D90:D91)</f>
        <v>0</v>
      </c>
      <c r="E89" s="91">
        <f>SUM(E90:E91)</f>
        <v>0</v>
      </c>
      <c r="F89" s="91"/>
      <c r="G89" s="95"/>
      <c r="H89" s="95">
        <v>-190000</v>
      </c>
      <c r="I89" s="95">
        <v>-193800</v>
      </c>
      <c r="J89" s="95">
        <v>-197676</v>
      </c>
      <c r="K89" s="95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</row>
    <row r="90" spans="1:42" s="96" customFormat="1" ht="12.75" hidden="1" outlineLevel="1">
      <c r="A90" s="93"/>
      <c r="B90" s="106" t="s">
        <v>778</v>
      </c>
      <c r="C90" s="95"/>
      <c r="D90" s="95"/>
      <c r="E90" s="95"/>
      <c r="F90" s="95"/>
      <c r="G90" s="95"/>
      <c r="H90" s="95"/>
      <c r="I90" s="95"/>
      <c r="J90" s="95"/>
      <c r="K90" s="95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</row>
    <row r="91" spans="1:42" s="96" customFormat="1" ht="12.75" hidden="1" outlineLevel="1">
      <c r="A91" s="93"/>
      <c r="B91" s="106"/>
      <c r="C91" s="95"/>
      <c r="D91" s="95"/>
      <c r="E91" s="95"/>
      <c r="F91" s="95"/>
      <c r="G91" s="95"/>
      <c r="H91" s="95"/>
      <c r="I91" s="95"/>
      <c r="J91" s="95"/>
      <c r="K91" s="95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</row>
    <row r="92" spans="1:42" s="96" customFormat="1" ht="12.75" hidden="1" outlineLevel="1">
      <c r="A92" s="93"/>
      <c r="B92" s="105" t="s">
        <v>19</v>
      </c>
      <c r="C92" s="91">
        <f>SUM(C93:C93)</f>
        <v>0</v>
      </c>
      <c r="D92" s="91">
        <f>SUM(D93:D93)</f>
        <v>0</v>
      </c>
      <c r="E92" s="91">
        <f>SUM(E93:E93)</f>
        <v>0</v>
      </c>
      <c r="F92" s="91"/>
      <c r="G92" s="95"/>
      <c r="H92" s="95">
        <v>-57001</v>
      </c>
      <c r="I92" s="95">
        <f>-251940+193800</f>
        <v>-58140</v>
      </c>
      <c r="J92" s="95">
        <f>-256980+197676</f>
        <v>-59304</v>
      </c>
      <c r="K92" s="95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</row>
    <row r="93" spans="1:42" s="96" customFormat="1" ht="12.75" hidden="1" outlineLevel="1">
      <c r="A93" s="93"/>
      <c r="B93" s="106"/>
      <c r="C93" s="95"/>
      <c r="D93" s="95"/>
      <c r="E93" s="95"/>
      <c r="F93" s="95"/>
      <c r="G93" s="95"/>
      <c r="H93" s="95"/>
      <c r="I93" s="95"/>
      <c r="J93" s="95"/>
      <c r="K93" s="95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</row>
    <row r="94" spans="1:42" ht="15.75" collapsed="1">
      <c r="A94" s="83"/>
      <c r="B94" s="97" t="s">
        <v>20</v>
      </c>
      <c r="C94" s="89"/>
      <c r="D94" s="89"/>
      <c r="E94" s="89"/>
      <c r="F94" s="89"/>
      <c r="G94" s="89"/>
      <c r="H94" s="89"/>
      <c r="I94" s="89"/>
      <c r="J94" s="89"/>
      <c r="K94" s="89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</row>
    <row r="95" spans="1:42" ht="15.75">
      <c r="A95" s="83"/>
      <c r="B95" s="100" t="s">
        <v>24</v>
      </c>
      <c r="C95" s="110">
        <f>C76+C78+C81+C87+C94</f>
        <v>0</v>
      </c>
      <c r="D95" s="110">
        <f>D76+D78+D81+D87+D94</f>
        <v>0</v>
      </c>
      <c r="E95" s="110">
        <f>E76+E78+E81+E87+E94</f>
        <v>0</v>
      </c>
      <c r="F95" s="110"/>
      <c r="G95" s="110">
        <f>G76+G78+G81+G87+G94</f>
        <v>0</v>
      </c>
      <c r="H95" s="110">
        <f>H76+H78+H81+H87+H94</f>
        <v>492709</v>
      </c>
      <c r="I95" s="110">
        <f>I76+I78+I81+I87+I94</f>
        <v>545503</v>
      </c>
      <c r="J95" s="110">
        <f>J76+J78+J81+J87+J94</f>
        <v>675147</v>
      </c>
      <c r="K95" s="110">
        <f>K76+K78+K81+K87+K94</f>
        <v>0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</row>
    <row r="96" spans="1:42" ht="16.5" thickBot="1">
      <c r="A96" s="83"/>
      <c r="B96" s="101" t="s">
        <v>106</v>
      </c>
      <c r="C96" s="102" t="e">
        <f>C95/C20</f>
        <v>#DIV/0!</v>
      </c>
      <c r="D96" s="102" t="e">
        <f>D95/D20</f>
        <v>#DIV/0!</v>
      </c>
      <c r="E96" s="102" t="e">
        <f>E95/E20</f>
        <v>#DIV/0!</v>
      </c>
      <c r="F96" s="102"/>
      <c r="G96" s="102" t="e">
        <f>G95/G20</f>
        <v>#DIV/0!</v>
      </c>
      <c r="H96" s="102">
        <f>H95/H20</f>
        <v>0.2019299180327869</v>
      </c>
      <c r="I96" s="102">
        <f>I95/I20</f>
        <v>0.21408015697817023</v>
      </c>
      <c r="J96" s="102">
        <f>J95/J20</f>
        <v>0.24122619124607467</v>
      </c>
      <c r="K96" s="102" t="e">
        <f>K95/K20</f>
        <v>#DIV/0!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</row>
    <row r="97" spans="1:42" ht="15.75">
      <c r="A97" s="83"/>
      <c r="B97" s="97" t="s">
        <v>183</v>
      </c>
      <c r="C97" s="89">
        <f>SUM(C98:C104)</f>
        <v>0</v>
      </c>
      <c r="D97" s="89">
        <f>SUM(D98:D104)</f>
        <v>0</v>
      </c>
      <c r="E97" s="89">
        <f>SUM(E98:E104)</f>
        <v>0</v>
      </c>
      <c r="F97" s="89"/>
      <c r="G97" s="89"/>
      <c r="H97" s="89"/>
      <c r="I97" s="89"/>
      <c r="J97" s="89"/>
      <c r="K97" s="89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</row>
    <row r="98" spans="1:42" s="96" customFormat="1" ht="12.75" hidden="1" outlineLevel="1">
      <c r="A98" s="93"/>
      <c r="B98" s="106"/>
      <c r="C98" s="95"/>
      <c r="D98" s="95"/>
      <c r="E98" s="95"/>
      <c r="F98" s="95"/>
      <c r="G98" s="95"/>
      <c r="H98" s="95"/>
      <c r="I98" s="95"/>
      <c r="J98" s="95"/>
      <c r="K98" s="95"/>
      <c r="L98" s="184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</row>
    <row r="99" spans="1:42" s="96" customFormat="1" ht="12.75" hidden="1" outlineLevel="1">
      <c r="A99" s="93"/>
      <c r="B99" s="106"/>
      <c r="C99" s="95"/>
      <c r="D99" s="95"/>
      <c r="E99" s="95"/>
      <c r="F99" s="95"/>
      <c r="G99" s="95"/>
      <c r="H99" s="95"/>
      <c r="I99" s="95"/>
      <c r="J99" s="95"/>
      <c r="K99" s="95"/>
      <c r="L99" s="184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</row>
    <row r="100" spans="1:42" s="96" customFormat="1" ht="12.75" hidden="1" outlineLevel="1">
      <c r="A100" s="93"/>
      <c r="B100" s="106"/>
      <c r="C100" s="95"/>
      <c r="D100" s="95"/>
      <c r="E100" s="95"/>
      <c r="F100" s="95"/>
      <c r="G100" s="95"/>
      <c r="H100" s="95"/>
      <c r="I100" s="95"/>
      <c r="J100" s="95"/>
      <c r="K100" s="95"/>
      <c r="L100" s="184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</row>
    <row r="101" spans="1:42" s="96" customFormat="1" ht="12.75" hidden="1" outlineLevel="1">
      <c r="A101" s="93"/>
      <c r="B101" s="106"/>
      <c r="C101" s="95"/>
      <c r="D101" s="95"/>
      <c r="E101" s="95"/>
      <c r="F101" s="95"/>
      <c r="G101" s="95"/>
      <c r="H101" s="95"/>
      <c r="I101" s="95"/>
      <c r="J101" s="95"/>
      <c r="K101" s="95"/>
      <c r="L101" s="184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</row>
    <row r="102" spans="1:42" s="96" customFormat="1" ht="12.75" hidden="1" outlineLevel="1">
      <c r="A102" s="93"/>
      <c r="B102" s="106"/>
      <c r="C102" s="95"/>
      <c r="D102" s="95"/>
      <c r="E102" s="95"/>
      <c r="F102" s="95"/>
      <c r="G102" s="95"/>
      <c r="H102" s="95"/>
      <c r="I102" s="95"/>
      <c r="J102" s="95"/>
      <c r="K102" s="95"/>
      <c r="L102" s="184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</row>
    <row r="103" spans="1:42" s="96" customFormat="1" ht="12.75" hidden="1" outlineLevel="1">
      <c r="A103" s="93"/>
      <c r="B103" s="106"/>
      <c r="C103" s="95"/>
      <c r="D103" s="95"/>
      <c r="E103" s="95"/>
      <c r="F103" s="95"/>
      <c r="G103" s="95"/>
      <c r="H103" s="95"/>
      <c r="I103" s="95"/>
      <c r="J103" s="95"/>
      <c r="K103" s="95"/>
      <c r="L103" s="184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</row>
    <row r="104" spans="1:42" s="96" customFormat="1" ht="12.75" hidden="1" outlineLevel="1">
      <c r="A104" s="93"/>
      <c r="B104" s="106"/>
      <c r="C104" s="95"/>
      <c r="D104" s="95"/>
      <c r="E104" s="95"/>
      <c r="F104" s="95"/>
      <c r="G104" s="95"/>
      <c r="H104" s="95"/>
      <c r="I104" s="95"/>
      <c r="J104" s="95"/>
      <c r="K104" s="95"/>
      <c r="L104" s="184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</row>
    <row r="105" spans="1:42" ht="15.75" collapsed="1">
      <c r="A105" s="83"/>
      <c r="B105" s="97" t="s">
        <v>12</v>
      </c>
      <c r="C105" s="89">
        <f>C106</f>
        <v>0</v>
      </c>
      <c r="D105" s="89">
        <f>D106</f>
        <v>0</v>
      </c>
      <c r="E105" s="89">
        <f>E106</f>
        <v>0</v>
      </c>
      <c r="F105" s="89"/>
      <c r="G105" s="89"/>
      <c r="H105" s="89"/>
      <c r="I105" s="89"/>
      <c r="J105" s="89"/>
      <c r="K105" s="89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</row>
    <row r="106" spans="1:42" s="96" customFormat="1" ht="12.75" hidden="1" outlineLevel="1">
      <c r="A106" s="93"/>
      <c r="B106" s="106"/>
      <c r="C106" s="95"/>
      <c r="D106" s="95"/>
      <c r="E106" s="95"/>
      <c r="F106" s="95"/>
      <c r="G106" s="95"/>
      <c r="H106" s="95"/>
      <c r="I106" s="95"/>
      <c r="J106" s="95"/>
      <c r="K106" s="95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</row>
    <row r="107" spans="1:42" s="96" customFormat="1" ht="12.75" hidden="1" outlineLevel="1">
      <c r="A107" s="93"/>
      <c r="B107" s="106"/>
      <c r="C107" s="95"/>
      <c r="D107" s="95"/>
      <c r="E107" s="95"/>
      <c r="F107" s="95"/>
      <c r="G107" s="95"/>
      <c r="H107" s="95"/>
      <c r="I107" s="95"/>
      <c r="J107" s="95"/>
      <c r="K107" s="95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</row>
    <row r="108" spans="1:42" ht="15.75" collapsed="1">
      <c r="A108" s="83"/>
      <c r="B108" s="97" t="s">
        <v>184</v>
      </c>
      <c r="C108" s="89">
        <f>SUM(C109:C112)</f>
        <v>0</v>
      </c>
      <c r="D108" s="89">
        <f>SUM(D109:D112)</f>
        <v>0</v>
      </c>
      <c r="E108" s="89">
        <f>SUM(E109:E112)</f>
        <v>0</v>
      </c>
      <c r="F108" s="89"/>
      <c r="G108" s="89"/>
      <c r="H108" s="89">
        <v>-190851</v>
      </c>
      <c r="I108" s="89">
        <v>-190851</v>
      </c>
      <c r="J108" s="89">
        <v>-190851</v>
      </c>
      <c r="K108" s="89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</row>
    <row r="109" spans="1:42" s="96" customFormat="1" ht="12.75" hidden="1" outlineLevel="1">
      <c r="A109" s="93"/>
      <c r="B109" s="106"/>
      <c r="C109" s="95"/>
      <c r="D109" s="95"/>
      <c r="E109" s="95"/>
      <c r="F109" s="95"/>
      <c r="G109" s="95"/>
      <c r="H109" s="95"/>
      <c r="I109" s="95"/>
      <c r="J109" s="95"/>
      <c r="K109" s="95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</row>
    <row r="110" spans="1:42" s="96" customFormat="1" ht="12.75" hidden="1" outlineLevel="1">
      <c r="A110" s="93"/>
      <c r="B110" s="106"/>
      <c r="C110" s="95"/>
      <c r="D110" s="95"/>
      <c r="E110" s="95"/>
      <c r="F110" s="95"/>
      <c r="G110" s="95"/>
      <c r="H110" s="95"/>
      <c r="I110" s="95"/>
      <c r="J110" s="95"/>
      <c r="K110" s="95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</row>
    <row r="111" spans="1:42" s="96" customFormat="1" ht="12.75" hidden="1" outlineLevel="1">
      <c r="A111" s="93"/>
      <c r="B111" s="106"/>
      <c r="C111" s="95"/>
      <c r="D111" s="95"/>
      <c r="E111" s="95"/>
      <c r="F111" s="95"/>
      <c r="G111" s="95"/>
      <c r="H111" s="95"/>
      <c r="I111" s="95"/>
      <c r="J111" s="95"/>
      <c r="K111" s="95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</row>
    <row r="112" spans="1:42" s="96" customFormat="1" ht="12.75" hidden="1" outlineLevel="1">
      <c r="A112" s="93"/>
      <c r="B112" s="106"/>
      <c r="C112" s="95"/>
      <c r="D112" s="95"/>
      <c r="E112" s="95"/>
      <c r="F112" s="95"/>
      <c r="G112" s="95"/>
      <c r="H112" s="95"/>
      <c r="I112" s="95"/>
      <c r="J112" s="95"/>
      <c r="K112" s="95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</row>
    <row r="113" spans="1:43" ht="15.75" collapsed="1">
      <c r="A113" s="83"/>
      <c r="B113" s="97" t="s">
        <v>23</v>
      </c>
      <c r="C113" s="89">
        <f>SUM(C114:C116)</f>
        <v>0</v>
      </c>
      <c r="D113" s="89">
        <f>SUM(D114:D116)</f>
        <v>0</v>
      </c>
      <c r="E113" s="89">
        <f>SUM(E114:E116)</f>
        <v>0</v>
      </c>
      <c r="F113" s="89"/>
      <c r="G113" s="89"/>
      <c r="H113" s="89"/>
      <c r="I113" s="89"/>
      <c r="J113" s="89"/>
      <c r="K113" s="89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</row>
    <row r="114" spans="1:43" s="96" customFormat="1" ht="12.75" hidden="1" outlineLevel="1">
      <c r="A114" s="93"/>
      <c r="B114" s="106"/>
      <c r="C114" s="95"/>
      <c r="D114" s="95"/>
      <c r="E114" s="95"/>
      <c r="F114" s="95"/>
      <c r="G114" s="95"/>
      <c r="H114" s="95"/>
      <c r="I114" s="95"/>
      <c r="J114" s="95"/>
      <c r="K114" s="95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</row>
    <row r="115" spans="1:43" s="96" customFormat="1" ht="12.75" hidden="1" outlineLevel="1">
      <c r="A115" s="93"/>
      <c r="B115" s="106"/>
      <c r="C115" s="95"/>
      <c r="D115" s="95"/>
      <c r="E115" s="95"/>
      <c r="F115" s="95"/>
      <c r="G115" s="95"/>
      <c r="H115" s="95"/>
      <c r="I115" s="95"/>
      <c r="J115" s="95"/>
      <c r="K115" s="95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</row>
    <row r="116" spans="1:43" s="96" customFormat="1" ht="12.75" hidden="1" outlineLevel="1">
      <c r="A116" s="93"/>
      <c r="B116" s="106"/>
      <c r="C116" s="95"/>
      <c r="D116" s="95"/>
      <c r="E116" s="95"/>
      <c r="F116" s="95"/>
      <c r="G116" s="95"/>
      <c r="H116" s="95"/>
      <c r="I116" s="95"/>
      <c r="J116" s="95"/>
      <c r="K116" s="95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</row>
    <row r="117" spans="1:43" ht="15.75" collapsed="1">
      <c r="A117" s="83"/>
      <c r="B117" s="100" t="s">
        <v>26</v>
      </c>
      <c r="C117" s="110">
        <f t="shared" ref="C117:K117" si="5">C95+C97+C105+C113+C108</f>
        <v>0</v>
      </c>
      <c r="D117" s="110">
        <f t="shared" si="5"/>
        <v>0</v>
      </c>
      <c r="E117" s="110">
        <f t="shared" si="5"/>
        <v>0</v>
      </c>
      <c r="F117" s="110"/>
      <c r="G117" s="110">
        <f t="shared" si="5"/>
        <v>0</v>
      </c>
      <c r="H117" s="110">
        <f t="shared" si="5"/>
        <v>301858</v>
      </c>
      <c r="I117" s="110">
        <f t="shared" si="5"/>
        <v>354652</v>
      </c>
      <c r="J117" s="110">
        <f t="shared" si="5"/>
        <v>484296</v>
      </c>
      <c r="K117" s="110">
        <f t="shared" si="5"/>
        <v>0</v>
      </c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</row>
    <row r="118" spans="1:43" ht="16.5" thickBot="1">
      <c r="A118" s="83"/>
      <c r="B118" s="101" t="s">
        <v>106</v>
      </c>
      <c r="C118" s="102" t="e">
        <f>C117/C20</f>
        <v>#DIV/0!</v>
      </c>
      <c r="D118" s="102" t="e">
        <f>D117/D20</f>
        <v>#DIV/0!</v>
      </c>
      <c r="E118" s="102" t="e">
        <f>E117/E20</f>
        <v>#DIV/0!</v>
      </c>
      <c r="F118" s="102"/>
      <c r="G118" s="102" t="e">
        <f>G117/G20</f>
        <v>#DIV/0!</v>
      </c>
      <c r="H118" s="102">
        <f>H117/H20</f>
        <v>0.12371229508196721</v>
      </c>
      <c r="I118" s="102">
        <f>I117/I20</f>
        <v>0.13918155506499877</v>
      </c>
      <c r="J118" s="102">
        <f>J117/J20</f>
        <v>0.17303621213707382</v>
      </c>
      <c r="K118" s="102" t="e">
        <f>K117/K20</f>
        <v>#DIV/0!</v>
      </c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</row>
    <row r="119" spans="1:43" s="111" customFormat="1" ht="15.75">
      <c r="A119" s="83"/>
      <c r="B119" s="97" t="s">
        <v>29</v>
      </c>
      <c r="C119" s="89">
        <f t="shared" ref="C119:E119" si="6">C120+C125</f>
        <v>0</v>
      </c>
      <c r="D119" s="89">
        <f t="shared" si="6"/>
        <v>0</v>
      </c>
      <c r="E119" s="89">
        <f t="shared" si="6"/>
        <v>0</v>
      </c>
      <c r="F119" s="89"/>
      <c r="G119" s="89"/>
      <c r="H119" s="89">
        <v>-73717</v>
      </c>
      <c r="I119" s="89">
        <v>-65148</v>
      </c>
      <c r="J119" s="89">
        <v>-56247</v>
      </c>
      <c r="K119" s="89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</row>
    <row r="120" spans="1:43" ht="15.75" hidden="1" outlineLevel="1">
      <c r="A120" s="83"/>
      <c r="B120" s="105" t="s">
        <v>27</v>
      </c>
      <c r="C120" s="91">
        <f>SUM(C121:C124)</f>
        <v>0</v>
      </c>
      <c r="D120" s="91">
        <f>SUM(D121:D124)</f>
        <v>0</v>
      </c>
      <c r="E120" s="91">
        <f>SUM(E121:E124)</f>
        <v>0</v>
      </c>
      <c r="F120" s="91"/>
      <c r="G120" s="91"/>
      <c r="H120" s="95"/>
      <c r="I120" s="95"/>
      <c r="J120" s="95"/>
      <c r="K120" s="95"/>
      <c r="L120" s="95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</row>
    <row r="121" spans="1:43" s="96" customFormat="1" ht="12.75" hidden="1" outlineLevel="2">
      <c r="A121" s="93"/>
      <c r="B121" s="106"/>
      <c r="C121" s="95"/>
      <c r="D121" s="95"/>
      <c r="E121" s="95"/>
      <c r="F121" s="95"/>
      <c r="G121" s="95"/>
      <c r="H121" s="95"/>
      <c r="I121" s="95"/>
      <c r="J121" s="95"/>
      <c r="K121" s="95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</row>
    <row r="122" spans="1:43" s="96" customFormat="1" ht="12.75" hidden="1" outlineLevel="2">
      <c r="A122" s="93"/>
      <c r="B122" s="106"/>
      <c r="C122" s="95"/>
      <c r="D122" s="95"/>
      <c r="E122" s="95"/>
      <c r="F122" s="95"/>
      <c r="G122" s="95"/>
      <c r="H122" s="95"/>
      <c r="I122" s="95"/>
      <c r="J122" s="95"/>
      <c r="K122" s="95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</row>
    <row r="123" spans="1:43" s="96" customFormat="1" ht="12.75" hidden="1" outlineLevel="2">
      <c r="A123" s="93"/>
      <c r="B123" s="106"/>
      <c r="C123" s="95"/>
      <c r="D123" s="95"/>
      <c r="E123" s="95"/>
      <c r="F123" s="95"/>
      <c r="G123" s="95"/>
      <c r="H123" s="95"/>
      <c r="I123" s="95"/>
      <c r="J123" s="95"/>
      <c r="K123" s="95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</row>
    <row r="124" spans="1:43" s="96" customFormat="1" ht="12.75" hidden="1" outlineLevel="2">
      <c r="A124" s="93"/>
      <c r="B124" s="106"/>
      <c r="C124" s="95"/>
      <c r="D124" s="95"/>
      <c r="E124" s="95"/>
      <c r="F124" s="95"/>
      <c r="G124" s="95"/>
      <c r="H124" s="95"/>
      <c r="I124" s="95"/>
      <c r="J124" s="95"/>
      <c r="K124" s="95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</row>
    <row r="125" spans="1:43" ht="15.75" hidden="1" outlineLevel="1">
      <c r="A125" s="83"/>
      <c r="B125" s="105" t="s">
        <v>185</v>
      </c>
      <c r="C125" s="91">
        <f>SUM(C126:C129)</f>
        <v>0</v>
      </c>
      <c r="D125" s="91">
        <f>SUM(D126:D129)</f>
        <v>0</v>
      </c>
      <c r="E125" s="91">
        <f>SUM(E126:E129)</f>
        <v>0</v>
      </c>
      <c r="F125" s="91"/>
      <c r="G125" s="91"/>
      <c r="H125" s="95"/>
      <c r="I125" s="95"/>
      <c r="J125" s="95"/>
      <c r="K125" s="95"/>
      <c r="L125" s="95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s="96" customFormat="1" ht="12.75" hidden="1" outlineLevel="2">
      <c r="A126" s="93"/>
      <c r="B126" s="106"/>
      <c r="C126" s="95"/>
      <c r="D126" s="95"/>
      <c r="E126" s="95"/>
      <c r="F126" s="95"/>
      <c r="G126" s="95"/>
      <c r="H126" s="95"/>
      <c r="I126" s="95"/>
      <c r="J126" s="95"/>
      <c r="K126" s="95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</row>
    <row r="127" spans="1:43" s="96" customFormat="1" ht="12.75" hidden="1" outlineLevel="2">
      <c r="A127" s="93"/>
      <c r="B127" s="106"/>
      <c r="C127" s="95"/>
      <c r="D127" s="95"/>
      <c r="E127" s="95"/>
      <c r="F127" s="95"/>
      <c r="G127" s="95"/>
      <c r="H127" s="95"/>
      <c r="I127" s="95"/>
      <c r="J127" s="95"/>
      <c r="K127" s="95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</row>
    <row r="128" spans="1:43" s="96" customFormat="1" ht="12.75" hidden="1" outlineLevel="2">
      <c r="A128" s="93"/>
      <c r="B128" s="106"/>
      <c r="C128" s="95"/>
      <c r="D128" s="95"/>
      <c r="E128" s="95"/>
      <c r="F128" s="95"/>
      <c r="G128" s="95"/>
      <c r="H128" s="95"/>
      <c r="I128" s="95"/>
      <c r="J128" s="95"/>
      <c r="K128" s="95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</row>
    <row r="129" spans="1:43" s="96" customFormat="1" ht="12.75" hidden="1" outlineLevel="1">
      <c r="A129" s="93"/>
      <c r="B129" s="106"/>
      <c r="C129" s="95"/>
      <c r="D129" s="95"/>
      <c r="E129" s="95"/>
      <c r="F129" s="95"/>
      <c r="G129" s="95"/>
      <c r="H129" s="95"/>
      <c r="I129" s="95"/>
      <c r="J129" s="95"/>
      <c r="K129" s="95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</row>
    <row r="130" spans="1:43" s="96" customFormat="1" ht="15.75" collapsed="1">
      <c r="A130" s="93"/>
      <c r="B130" s="100" t="s">
        <v>264</v>
      </c>
      <c r="C130" s="110">
        <f t="shared" ref="C130:K130" si="7">+C117+C119</f>
        <v>0</v>
      </c>
      <c r="D130" s="110">
        <f t="shared" si="7"/>
        <v>0</v>
      </c>
      <c r="E130" s="110">
        <f t="shared" si="7"/>
        <v>0</v>
      </c>
      <c r="F130" s="110"/>
      <c r="G130" s="110">
        <f t="shared" si="7"/>
        <v>0</v>
      </c>
      <c r="H130" s="110">
        <f t="shared" si="7"/>
        <v>228141</v>
      </c>
      <c r="I130" s="110">
        <f t="shared" si="7"/>
        <v>289504</v>
      </c>
      <c r="J130" s="110">
        <f t="shared" si="7"/>
        <v>428049</v>
      </c>
      <c r="K130" s="110">
        <f t="shared" si="7"/>
        <v>0</v>
      </c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</row>
    <row r="131" spans="1:43" s="96" customFormat="1" ht="16.5" thickBot="1">
      <c r="A131" s="93"/>
      <c r="B131" s="101" t="s">
        <v>106</v>
      </c>
      <c r="C131" s="102" t="e">
        <f>+C130/C20</f>
        <v>#DIV/0!</v>
      </c>
      <c r="D131" s="102" t="e">
        <f>+D130/D20</f>
        <v>#DIV/0!</v>
      </c>
      <c r="E131" s="102" t="e">
        <f>+E130/E20</f>
        <v>#DIV/0!</v>
      </c>
      <c r="F131" s="102"/>
      <c r="G131" s="102" t="e">
        <f>+G130/G20</f>
        <v>#DIV/0!</v>
      </c>
      <c r="H131" s="102">
        <f>+H130/H20</f>
        <v>9.3500409836065571E-2</v>
      </c>
      <c r="I131" s="102">
        <f>+I130/I20</f>
        <v>0.11361452048074565</v>
      </c>
      <c r="J131" s="102">
        <f>+J130/J20</f>
        <v>0.15293947827168161</v>
      </c>
      <c r="K131" s="102" t="e">
        <f>+K130/K20</f>
        <v>#DIV/0!</v>
      </c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</row>
    <row r="132" spans="1:43" ht="15.75">
      <c r="A132" s="83"/>
      <c r="B132" s="97" t="s">
        <v>30</v>
      </c>
      <c r="C132" s="89">
        <f t="shared" ref="C132:K132" si="8">C133+C136</f>
        <v>0</v>
      </c>
      <c r="D132" s="89">
        <f t="shared" si="8"/>
        <v>0</v>
      </c>
      <c r="E132" s="89">
        <f t="shared" si="8"/>
        <v>0</v>
      </c>
      <c r="F132" s="89"/>
      <c r="G132" s="89">
        <f t="shared" si="8"/>
        <v>0</v>
      </c>
      <c r="H132" s="89">
        <v>50000</v>
      </c>
      <c r="I132" s="89">
        <v>50000</v>
      </c>
      <c r="J132" s="89">
        <v>50000</v>
      </c>
      <c r="K132" s="89">
        <f t="shared" si="8"/>
        <v>0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</row>
    <row r="133" spans="1:43" ht="15.75" hidden="1" outlineLevel="1">
      <c r="A133" s="83"/>
      <c r="B133" s="105" t="s">
        <v>186</v>
      </c>
      <c r="C133" s="91">
        <f>C134</f>
        <v>0</v>
      </c>
      <c r="D133" s="91">
        <f>D134</f>
        <v>0</v>
      </c>
      <c r="E133" s="91">
        <f>E134</f>
        <v>0</v>
      </c>
      <c r="F133" s="91"/>
      <c r="G133" s="91"/>
      <c r="H133" s="95"/>
      <c r="I133" s="95"/>
      <c r="J133" s="95"/>
      <c r="K133" s="95"/>
      <c r="L133" s="95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s="96" customFormat="1" ht="12.75" hidden="1" outlineLevel="2">
      <c r="A134" s="93"/>
      <c r="B134" s="106"/>
      <c r="C134" s="95"/>
      <c r="D134" s="95"/>
      <c r="E134" s="95"/>
      <c r="F134" s="95"/>
      <c r="G134" s="95"/>
      <c r="H134" s="95"/>
      <c r="I134" s="95"/>
      <c r="J134" s="95"/>
      <c r="K134" s="95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</row>
    <row r="135" spans="1:43" s="96" customFormat="1" ht="12.75" hidden="1" outlineLevel="2">
      <c r="A135" s="93"/>
      <c r="B135" s="106"/>
      <c r="C135" s="95"/>
      <c r="D135" s="95"/>
      <c r="E135" s="95"/>
      <c r="F135" s="95"/>
      <c r="G135" s="95"/>
      <c r="H135" s="95"/>
      <c r="I135" s="95"/>
      <c r="J135" s="95"/>
      <c r="K135" s="95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</row>
    <row r="136" spans="1:43" ht="15.75" hidden="1" outlineLevel="1">
      <c r="A136" s="83"/>
      <c r="B136" s="105" t="s">
        <v>187</v>
      </c>
      <c r="C136" s="91">
        <f>C137</f>
        <v>0</v>
      </c>
      <c r="D136" s="91">
        <f>D137</f>
        <v>0</v>
      </c>
      <c r="E136" s="91">
        <f>E137</f>
        <v>0</v>
      </c>
      <c r="F136" s="91"/>
      <c r="G136" s="91"/>
      <c r="H136" s="95"/>
      <c r="I136" s="95"/>
      <c r="J136" s="95"/>
      <c r="K136" s="95"/>
      <c r="L136" s="95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s="96" customFormat="1" ht="12.75" hidden="1" outlineLevel="2">
      <c r="A137" s="93"/>
      <c r="B137" s="106"/>
      <c r="C137" s="95"/>
      <c r="D137" s="95"/>
      <c r="E137" s="95"/>
      <c r="F137" s="95"/>
      <c r="G137" s="95"/>
      <c r="H137" s="95"/>
      <c r="I137" s="95"/>
      <c r="J137" s="95"/>
      <c r="K137" s="95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</row>
    <row r="138" spans="1:43" s="96" customFormat="1" ht="12.75" hidden="1" outlineLevel="1">
      <c r="A138" s="93"/>
      <c r="B138" s="106"/>
      <c r="C138" s="95"/>
      <c r="D138" s="95"/>
      <c r="E138" s="95"/>
      <c r="F138" s="95"/>
      <c r="G138" s="95"/>
      <c r="H138" s="95"/>
      <c r="I138" s="95"/>
      <c r="J138" s="95"/>
      <c r="K138" s="95"/>
      <c r="L138" s="93"/>
      <c r="M138" s="95"/>
      <c r="N138" s="95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</row>
    <row r="139" spans="1:43" ht="15.75" collapsed="1">
      <c r="A139" s="83"/>
      <c r="B139" s="83" t="s">
        <v>259</v>
      </c>
      <c r="C139" s="89">
        <f>SUM(C140:C142)</f>
        <v>0</v>
      </c>
      <c r="D139" s="89">
        <f>SUM(D140:D142)</f>
        <v>0</v>
      </c>
      <c r="E139" s="89">
        <f>SUM(E140:E142)</f>
        <v>0</v>
      </c>
      <c r="F139" s="89"/>
      <c r="G139" s="89"/>
      <c r="H139" s="89"/>
      <c r="I139" s="89"/>
      <c r="J139" s="89"/>
      <c r="K139" s="89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</row>
    <row r="140" spans="1:43" ht="15.75" hidden="1" outlineLevel="1">
      <c r="A140" s="83"/>
      <c r="B140" s="183"/>
      <c r="C140" s="95"/>
      <c r="D140" s="95"/>
      <c r="E140" s="95"/>
      <c r="F140" s="95"/>
      <c r="G140" s="95"/>
      <c r="H140" s="95"/>
      <c r="I140" s="95"/>
      <c r="J140" s="95"/>
      <c r="K140" s="95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</row>
    <row r="141" spans="1:43" ht="15.75" hidden="1" outlineLevel="1">
      <c r="A141" s="83"/>
      <c r="B141" s="183"/>
      <c r="C141" s="95"/>
      <c r="D141" s="95"/>
      <c r="E141" s="95"/>
      <c r="F141" s="95"/>
      <c r="G141" s="95"/>
      <c r="H141" s="95"/>
      <c r="I141" s="95"/>
      <c r="J141" s="95"/>
      <c r="K141" s="95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</row>
    <row r="142" spans="1:43" ht="15.75" hidden="1" outlineLevel="1">
      <c r="A142" s="83"/>
      <c r="B142" s="83"/>
      <c r="C142" s="89"/>
      <c r="D142" s="89"/>
      <c r="E142" s="89"/>
      <c r="F142" s="89"/>
      <c r="G142" s="89"/>
      <c r="H142" s="89"/>
      <c r="I142" s="89"/>
      <c r="J142" s="89"/>
      <c r="K142" s="89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</row>
    <row r="143" spans="1:43" ht="15.75" hidden="1" outlineLevel="1">
      <c r="A143" s="83"/>
      <c r="B143" s="212" t="s">
        <v>265</v>
      </c>
      <c r="C143" s="89"/>
      <c r="D143" s="89"/>
      <c r="E143" s="89"/>
      <c r="F143" s="89"/>
      <c r="G143" s="89"/>
      <c r="H143" s="89"/>
      <c r="I143" s="89"/>
      <c r="J143" s="89"/>
      <c r="K143" s="89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</row>
    <row r="144" spans="1:43" ht="15.75" hidden="1" outlineLevel="1">
      <c r="A144" s="83"/>
      <c r="B144" s="83"/>
      <c r="C144" s="89"/>
      <c r="D144" s="89"/>
      <c r="E144" s="89"/>
      <c r="F144" s="89"/>
      <c r="G144" s="89"/>
      <c r="H144" s="89"/>
      <c r="I144" s="89"/>
      <c r="J144" s="89"/>
      <c r="K144" s="89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</row>
    <row r="145" spans="1:42" ht="15.75" collapsed="1">
      <c r="A145" s="83"/>
      <c r="B145" s="100" t="s">
        <v>32</v>
      </c>
      <c r="C145" s="110">
        <f t="shared" ref="C145:K145" si="9">C117+C119+C132+C139+C143</f>
        <v>0</v>
      </c>
      <c r="D145" s="110">
        <f t="shared" si="9"/>
        <v>0</v>
      </c>
      <c r="E145" s="110">
        <f t="shared" si="9"/>
        <v>0</v>
      </c>
      <c r="F145" s="110"/>
      <c r="G145" s="110">
        <f t="shared" si="9"/>
        <v>0</v>
      </c>
      <c r="H145" s="110">
        <f t="shared" si="9"/>
        <v>278141</v>
      </c>
      <c r="I145" s="110">
        <f t="shared" si="9"/>
        <v>339504</v>
      </c>
      <c r="J145" s="110">
        <f t="shared" si="9"/>
        <v>478049</v>
      </c>
      <c r="K145" s="110">
        <f t="shared" si="9"/>
        <v>0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</row>
    <row r="146" spans="1:42" ht="16.5" thickBot="1">
      <c r="A146" s="83"/>
      <c r="B146" s="101" t="s">
        <v>106</v>
      </c>
      <c r="C146" s="102" t="e">
        <f>C145/C20</f>
        <v>#DIV/0!</v>
      </c>
      <c r="D146" s="102" t="e">
        <f>D145/D20</f>
        <v>#DIV/0!</v>
      </c>
      <c r="E146" s="102" t="e">
        <f>E145/E20</f>
        <v>#DIV/0!</v>
      </c>
      <c r="F146" s="102"/>
      <c r="G146" s="102" t="e">
        <f>G145/G20</f>
        <v>#DIV/0!</v>
      </c>
      <c r="H146" s="102">
        <f>H145/H20</f>
        <v>0.1139922131147541</v>
      </c>
      <c r="I146" s="102">
        <f>I145/I20</f>
        <v>0.13323679175864606</v>
      </c>
      <c r="J146" s="102">
        <f>J145/J20</f>
        <v>0.17080419449245091</v>
      </c>
      <c r="K146" s="102" t="e">
        <f>K145/K20</f>
        <v>#DIV/0!</v>
      </c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</row>
    <row r="147" spans="1:42" ht="15.7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</row>
    <row r="148" spans="1:42" ht="15.75">
      <c r="A148" s="83"/>
      <c r="B148" s="112" t="s">
        <v>189</v>
      </c>
      <c r="C148" s="113"/>
      <c r="D148" s="113"/>
      <c r="E148" s="113"/>
      <c r="F148" s="113"/>
      <c r="G148" s="113"/>
      <c r="H148" s="113"/>
      <c r="I148" s="113"/>
      <c r="J148" s="113"/>
      <c r="K148" s="11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</row>
    <row r="149" spans="1:42" ht="15.75">
      <c r="A149" s="83"/>
      <c r="B149" s="114" t="s">
        <v>34</v>
      </c>
      <c r="C149" s="115" t="str">
        <f>IFERROR(C15/#REF!-1,"na ")</f>
        <v xml:space="preserve">na </v>
      </c>
      <c r="D149" s="115" t="str">
        <f>IFERROR(D15/C15-1,"na ")</f>
        <v xml:space="preserve">na </v>
      </c>
      <c r="E149" s="115" t="str">
        <f>IFERROR(E15/D15-1,"na ")</f>
        <v xml:space="preserve">na </v>
      </c>
      <c r="F149" s="115"/>
      <c r="G149" s="115" t="str">
        <f>IFERROR(G15/#REF!-1,"na ")</f>
        <v xml:space="preserve">na </v>
      </c>
      <c r="H149" s="115" t="str">
        <f>IFERROR(H15/G15-1,"na ")</f>
        <v xml:space="preserve">na </v>
      </c>
      <c r="I149" s="115">
        <f>IFERROR(I15/H15-1,"na ")</f>
        <v>0.10000000000000009</v>
      </c>
      <c r="J149" s="115">
        <f>IFERROR(J15/I15-1,"na ")</f>
        <v>0.10000000000000009</v>
      </c>
      <c r="K149" s="115">
        <f>IFERROR(K15/J15-1,"na ")</f>
        <v>-1</v>
      </c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</row>
    <row r="150" spans="1:42" ht="15.75">
      <c r="A150" s="83"/>
      <c r="B150" s="114" t="s">
        <v>16</v>
      </c>
      <c r="C150" s="115" t="e">
        <f>C29/C15</f>
        <v>#DIV/0!</v>
      </c>
      <c r="D150" s="115" t="e">
        <f>D29/D15</f>
        <v>#DIV/0!</v>
      </c>
      <c r="E150" s="115" t="e">
        <f>E29/E15</f>
        <v>#DIV/0!</v>
      </c>
      <c r="F150" s="115"/>
      <c r="G150" s="115" t="e">
        <f>G29/G15</f>
        <v>#DIV/0!</v>
      </c>
      <c r="H150" s="115">
        <f>H29/H15</f>
        <v>0.5728695652173913</v>
      </c>
      <c r="I150" s="115">
        <f>I29/I15</f>
        <v>0.54386877470355732</v>
      </c>
      <c r="J150" s="115">
        <f>J29/J15</f>
        <v>0.54306827164929927</v>
      </c>
      <c r="K150" s="115" t="e">
        <f>K29/K15</f>
        <v>#DIV/0!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</row>
    <row r="151" spans="1:42" ht="15.75">
      <c r="A151" s="83"/>
      <c r="B151" s="114" t="s">
        <v>24</v>
      </c>
      <c r="C151" s="115" t="e">
        <f>C95/C15</f>
        <v>#DIV/0!</v>
      </c>
      <c r="D151" s="115" t="e">
        <f>D95/D15</f>
        <v>#DIV/0!</v>
      </c>
      <c r="E151" s="115" t="e">
        <f>E95/E15</f>
        <v>#DIV/0!</v>
      </c>
      <c r="F151" s="115"/>
      <c r="G151" s="115" t="e">
        <f>G95/G15</f>
        <v>#DIV/0!</v>
      </c>
      <c r="H151" s="115">
        <f>H95/H15</f>
        <v>0.21422130434782607</v>
      </c>
      <c r="I151" s="115">
        <f>I95/I15</f>
        <v>0.21561383399209486</v>
      </c>
      <c r="J151" s="115">
        <f>J95/J15</f>
        <v>0.24259683794466402</v>
      </c>
      <c r="K151" s="115" t="e">
        <f>K95/K15</f>
        <v>#DIV/0!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</row>
    <row r="152" spans="1:42" ht="15.75">
      <c r="A152" s="83"/>
      <c r="B152" s="114" t="s">
        <v>26</v>
      </c>
      <c r="C152" s="115" t="e">
        <f>C117/C15</f>
        <v>#DIV/0!</v>
      </c>
      <c r="D152" s="115" t="e">
        <f>D117/D15</f>
        <v>#DIV/0!</v>
      </c>
      <c r="E152" s="115" t="e">
        <f>E117/E15</f>
        <v>#DIV/0!</v>
      </c>
      <c r="F152" s="115"/>
      <c r="G152" s="115" t="e">
        <f>G117/G15</f>
        <v>#DIV/0!</v>
      </c>
      <c r="H152" s="115">
        <f>H117/H15</f>
        <v>0.13124260869565219</v>
      </c>
      <c r="I152" s="115">
        <f>I117/I15</f>
        <v>0.14017865612648223</v>
      </c>
      <c r="J152" s="115">
        <f>J117/J15</f>
        <v>0.17401940352137982</v>
      </c>
      <c r="K152" s="115" t="e">
        <f>K117/K15</f>
        <v>#DIV/0!</v>
      </c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</row>
    <row r="153" spans="1:42" ht="15.75">
      <c r="A153" s="83"/>
      <c r="B153" s="116" t="s">
        <v>35</v>
      </c>
      <c r="C153" s="117" t="e">
        <f>C145/C15</f>
        <v>#DIV/0!</v>
      </c>
      <c r="D153" s="117" t="e">
        <f>D145/D15</f>
        <v>#DIV/0!</v>
      </c>
      <c r="E153" s="117" t="e">
        <f>E145/E15</f>
        <v>#DIV/0!</v>
      </c>
      <c r="F153" s="117"/>
      <c r="G153" s="117" t="e">
        <f>G145/G15</f>
        <v>#DIV/0!</v>
      </c>
      <c r="H153" s="117">
        <f>H145/H15</f>
        <v>0.1209308695652174</v>
      </c>
      <c r="I153" s="117">
        <f>I145/I15</f>
        <v>0.13419130434782608</v>
      </c>
      <c r="J153" s="117">
        <f>J145/J15</f>
        <v>0.17177470355731225</v>
      </c>
      <c r="K153" s="117" t="e">
        <f>K145/K15</f>
        <v>#DIV/0!</v>
      </c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</row>
    <row r="154" spans="1:42" ht="15.7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</row>
    <row r="155" spans="1:42" ht="15.7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</row>
    <row r="156" spans="1:42" ht="15.75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</row>
    <row r="157" spans="1:42" ht="15.75">
      <c r="A157" s="107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9"/>
      <c r="O157" s="109"/>
      <c r="P157" s="109"/>
      <c r="Q157" s="109"/>
      <c r="R157" s="109"/>
      <c r="S157" s="109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</row>
    <row r="158" spans="1:42" ht="15.75">
      <c r="A158" s="107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9"/>
      <c r="O158" s="109"/>
      <c r="P158" s="109"/>
      <c r="Q158" s="109"/>
      <c r="R158" s="109"/>
      <c r="S158" s="109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</row>
    <row r="159" spans="1:42" ht="15.75">
      <c r="A159" s="107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9"/>
      <c r="O159" s="109"/>
      <c r="P159" s="109"/>
      <c r="Q159" s="109"/>
      <c r="R159" s="109"/>
      <c r="S159" s="109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</row>
    <row r="160" spans="1:42" ht="15.75">
      <c r="A160" s="107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9"/>
      <c r="O160" s="109"/>
      <c r="P160" s="109"/>
      <c r="Q160" s="109"/>
      <c r="R160" s="109"/>
      <c r="S160" s="109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</row>
    <row r="161" spans="1:42" ht="15.75">
      <c r="A161" s="107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9"/>
      <c r="O161" s="109"/>
      <c r="P161" s="109"/>
      <c r="Q161" s="109"/>
      <c r="R161" s="109"/>
      <c r="S161" s="109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</row>
    <row r="162" spans="1:42" ht="15.75">
      <c r="A162" s="107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9"/>
      <c r="O162" s="109"/>
      <c r="P162" s="109"/>
      <c r="Q162" s="109"/>
      <c r="R162" s="109"/>
      <c r="S162" s="109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</row>
    <row r="163" spans="1:42" ht="15.75">
      <c r="A163" s="107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9"/>
      <c r="O163" s="109"/>
      <c r="P163" s="109"/>
      <c r="Q163" s="109"/>
      <c r="R163" s="109"/>
      <c r="S163" s="109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</row>
    <row r="164" spans="1:42" ht="15.7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</row>
    <row r="165" spans="1:42" ht="15.75">
      <c r="A165" s="107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9"/>
      <c r="O165" s="109"/>
      <c r="P165" s="109"/>
      <c r="Q165" s="109"/>
      <c r="R165" s="109"/>
      <c r="S165" s="109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</row>
    <row r="166" spans="1:42" ht="15.75">
      <c r="A166" s="107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9"/>
      <c r="O166" s="109"/>
      <c r="P166" s="109"/>
      <c r="Q166" s="109"/>
      <c r="R166" s="109"/>
      <c r="S166" s="109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</row>
    <row r="167" spans="1:42" ht="15.75">
      <c r="A167" s="107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9"/>
      <c r="O167" s="109"/>
      <c r="P167" s="109"/>
      <c r="Q167" s="109"/>
      <c r="R167" s="109"/>
      <c r="S167" s="109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</row>
    <row r="168" spans="1:42" ht="15.75">
      <c r="A168" s="107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9"/>
      <c r="O168" s="109"/>
      <c r="P168" s="109"/>
      <c r="Q168" s="109"/>
      <c r="R168" s="109"/>
      <c r="S168" s="109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</row>
    <row r="169" spans="1:42" ht="15.75">
      <c r="A169" s="107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9"/>
      <c r="O169" s="109"/>
      <c r="P169" s="109"/>
      <c r="Q169" s="109"/>
      <c r="R169" s="109"/>
      <c r="S169" s="109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</row>
    <row r="170" spans="1:42" ht="15.7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</row>
    <row r="171" spans="1:42" ht="15.75">
      <c r="A171" s="107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9"/>
      <c r="O171" s="109"/>
      <c r="P171" s="109"/>
      <c r="Q171" s="109"/>
      <c r="R171" s="109"/>
      <c r="S171" s="109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</row>
    <row r="172" spans="1:42" ht="15.75">
      <c r="A172" s="107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9"/>
      <c r="O172" s="109"/>
      <c r="P172" s="109"/>
      <c r="Q172" s="109"/>
      <c r="R172" s="109"/>
      <c r="S172" s="109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</row>
    <row r="173" spans="1:42" ht="15.7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</row>
    <row r="174" spans="1:42" ht="15.75">
      <c r="A174" s="107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9"/>
      <c r="O174" s="109"/>
      <c r="P174" s="109"/>
      <c r="Q174" s="109"/>
      <c r="R174" s="109"/>
      <c r="S174" s="109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</row>
    <row r="175" spans="1:42" ht="15.75">
      <c r="A175" s="107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9"/>
      <c r="O175" s="109"/>
      <c r="P175" s="109"/>
      <c r="Q175" s="109"/>
      <c r="R175" s="109"/>
      <c r="S175" s="109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</row>
    <row r="176" spans="1:42" ht="15.75">
      <c r="A176" s="107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9"/>
      <c r="O176" s="109"/>
      <c r="P176" s="109"/>
      <c r="Q176" s="109"/>
      <c r="R176" s="109"/>
      <c r="S176" s="109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</row>
    <row r="177" spans="1:42" ht="15.75">
      <c r="A177" s="107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9"/>
      <c r="O177" s="109"/>
      <c r="P177" s="109"/>
      <c r="Q177" s="109"/>
      <c r="R177" s="109"/>
      <c r="S177" s="109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</row>
    <row r="178" spans="1:42" ht="15.7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</row>
    <row r="179" spans="1:42" ht="15.75">
      <c r="A179" s="107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9"/>
      <c r="O179" s="109"/>
      <c r="P179" s="109"/>
      <c r="Q179" s="109"/>
      <c r="R179" s="109"/>
      <c r="S179" s="109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</row>
    <row r="180" spans="1:42" ht="15.75">
      <c r="A180" s="107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9"/>
      <c r="O180" s="109"/>
      <c r="P180" s="109"/>
      <c r="Q180" s="109"/>
      <c r="R180" s="109"/>
      <c r="S180" s="109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</row>
    <row r="181" spans="1:42" ht="15.75">
      <c r="A181" s="107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9"/>
      <c r="O181" s="109"/>
      <c r="P181" s="109"/>
      <c r="Q181" s="109"/>
      <c r="R181" s="109"/>
      <c r="S181" s="109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</row>
    <row r="182" spans="1:42" ht="15.75">
      <c r="A182" s="107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9"/>
      <c r="O182" s="109"/>
      <c r="P182" s="109"/>
      <c r="Q182" s="109"/>
      <c r="R182" s="109"/>
      <c r="S182" s="109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</row>
    <row r="183" spans="1:42" ht="15.7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</row>
    <row r="184" spans="1:42" ht="15.75">
      <c r="A184" s="107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9"/>
      <c r="O184" s="109"/>
      <c r="P184" s="109"/>
      <c r="Q184" s="109"/>
      <c r="R184" s="109"/>
      <c r="S184" s="109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</row>
    <row r="185" spans="1:42" ht="15.75">
      <c r="A185" s="107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9"/>
      <c r="O185" s="109"/>
      <c r="P185" s="109"/>
      <c r="Q185" s="109"/>
      <c r="R185" s="109"/>
      <c r="S185" s="109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</row>
    <row r="186" spans="1:42" ht="15.7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</row>
    <row r="187" spans="1:42" ht="15.75">
      <c r="A187" s="107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9"/>
      <c r="O187" s="109"/>
      <c r="P187" s="109"/>
      <c r="Q187" s="109"/>
      <c r="R187" s="109"/>
      <c r="S187" s="109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</row>
    <row r="188" spans="1:42" ht="15.75">
      <c r="A188" s="107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9"/>
      <c r="O188" s="109"/>
      <c r="P188" s="109"/>
      <c r="Q188" s="109"/>
      <c r="R188" s="109"/>
      <c r="S188" s="109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</row>
    <row r="189" spans="1:42" ht="15.75">
      <c r="A189" s="107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9"/>
      <c r="O189" s="109"/>
      <c r="P189" s="109"/>
      <c r="Q189" s="109"/>
      <c r="R189" s="109"/>
      <c r="S189" s="109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</row>
    <row r="190" spans="1:42" ht="15.75">
      <c r="A190" s="107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9"/>
      <c r="O190" s="109"/>
      <c r="P190" s="109"/>
      <c r="Q190" s="109"/>
      <c r="R190" s="109"/>
      <c r="S190" s="109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</row>
    <row r="191" spans="1:42" ht="15.75">
      <c r="A191" s="107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9"/>
      <c r="O191" s="109"/>
      <c r="P191" s="109"/>
      <c r="Q191" s="109"/>
      <c r="R191" s="109"/>
      <c r="S191" s="109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</row>
    <row r="192" spans="1:42" ht="15.75">
      <c r="A192" s="107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9"/>
      <c r="O192" s="109"/>
      <c r="P192" s="109"/>
      <c r="Q192" s="109"/>
      <c r="R192" s="109"/>
      <c r="S192" s="109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</row>
    <row r="193" spans="1:42" ht="15.75">
      <c r="A193" s="107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9"/>
      <c r="O193" s="109"/>
      <c r="P193" s="109"/>
      <c r="Q193" s="109"/>
      <c r="R193" s="109"/>
      <c r="S193" s="109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</row>
    <row r="194" spans="1:42" ht="15.75">
      <c r="A194" s="107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9"/>
      <c r="O194" s="109"/>
      <c r="P194" s="109"/>
      <c r="Q194" s="109"/>
      <c r="R194" s="109"/>
      <c r="S194" s="109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</row>
    <row r="195" spans="1:42" ht="15.75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</row>
    <row r="196" spans="1:42" ht="15.75">
      <c r="A196" s="107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9"/>
      <c r="O196" s="109"/>
      <c r="P196" s="109"/>
      <c r="Q196" s="109"/>
      <c r="R196" s="109"/>
      <c r="S196" s="109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</row>
    <row r="197" spans="1:42" ht="15.75">
      <c r="A197" s="107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9"/>
      <c r="O197" s="109"/>
      <c r="P197" s="109"/>
      <c r="Q197" s="109"/>
      <c r="R197" s="109"/>
      <c r="S197" s="109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</row>
    <row r="198" spans="1:42" ht="15.75">
      <c r="A198" s="107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9"/>
      <c r="O198" s="109"/>
      <c r="P198" s="109"/>
      <c r="Q198" s="109"/>
      <c r="R198" s="109"/>
      <c r="S198" s="109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</row>
    <row r="199" spans="1:42" ht="15.75">
      <c r="A199" s="107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9"/>
      <c r="O199" s="109"/>
      <c r="P199" s="109"/>
      <c r="Q199" s="109"/>
      <c r="R199" s="109"/>
      <c r="S199" s="109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</row>
    <row r="200" spans="1:42" ht="15.7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</row>
    <row r="201" spans="1:42" ht="15.75">
      <c r="A201" s="107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9"/>
      <c r="O201" s="109"/>
      <c r="P201" s="109"/>
      <c r="Q201" s="109"/>
      <c r="R201" s="109"/>
      <c r="S201" s="109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</row>
    <row r="202" spans="1:42" ht="15.75">
      <c r="A202" s="107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9"/>
      <c r="O202" s="109"/>
      <c r="P202" s="109"/>
      <c r="Q202" s="109"/>
      <c r="R202" s="109"/>
      <c r="S202" s="109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</row>
    <row r="203" spans="1:42" ht="15.75">
      <c r="A203" s="107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</row>
    <row r="204" spans="1:42" ht="15.75">
      <c r="A204" s="107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</row>
    <row r="205" spans="1:42" ht="15.7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3E50-4A3D-2146-ADF8-42E24710EB04}">
  <sheetPr codeName="Feuil14">
    <tabColor rgb="FF006C4C"/>
  </sheetPr>
  <dimension ref="B2:H110"/>
  <sheetViews>
    <sheetView zoomScaleNormal="100" workbookViewId="0">
      <selection activeCell="D96" sqref="D96"/>
    </sheetView>
  </sheetViews>
  <sheetFormatPr baseColWidth="10" defaultColWidth="9.140625" defaultRowHeight="15" outlineLevelRow="2"/>
  <cols>
    <col min="1" max="1" width="9.140625" style="32"/>
    <col min="2" max="2" width="20" style="32" customWidth="1"/>
    <col min="3" max="6" width="9.42578125" style="32" bestFit="1" customWidth="1"/>
    <col min="7" max="7" width="9.140625" style="32"/>
    <col min="8" max="8" width="49.42578125" style="32" customWidth="1"/>
    <col min="9" max="16384" width="9.140625" style="32"/>
  </cols>
  <sheetData>
    <row r="2" spans="2:8" ht="15.75" thickBot="1">
      <c r="B2" s="1" t="s">
        <v>0</v>
      </c>
      <c r="C2" s="2"/>
      <c r="D2" s="2"/>
      <c r="E2" s="2"/>
      <c r="F2" s="2" t="s">
        <v>269</v>
      </c>
      <c r="G2" s="51"/>
      <c r="H2" s="4" t="s">
        <v>1</v>
      </c>
    </row>
    <row r="3" spans="2:8">
      <c r="B3" s="55"/>
      <c r="C3" s="54">
        <v>44074</v>
      </c>
      <c r="D3" s="54">
        <v>44439</v>
      </c>
      <c r="E3" s="54">
        <v>44804</v>
      </c>
      <c r="F3" s="54">
        <v>45169</v>
      </c>
      <c r="G3" s="51"/>
      <c r="H3" s="6"/>
    </row>
    <row r="4" spans="2:8">
      <c r="B4" s="53" t="s">
        <v>2</v>
      </c>
      <c r="C4" s="58" t="s">
        <v>3</v>
      </c>
      <c r="D4" s="58" t="s">
        <v>3</v>
      </c>
      <c r="E4" s="58" t="s">
        <v>3</v>
      </c>
      <c r="F4" s="58" t="s">
        <v>3</v>
      </c>
      <c r="G4" s="51"/>
      <c r="H4" s="9"/>
    </row>
    <row r="5" spans="2:8">
      <c r="B5" s="51" t="s">
        <v>4</v>
      </c>
      <c r="C5" s="222">
        <v>2632.1950000000002</v>
      </c>
      <c r="D5" s="222">
        <v>2613.0120000000002</v>
      </c>
      <c r="E5" s="222">
        <v>3325.0920000000001</v>
      </c>
      <c r="F5" s="222">
        <v>4817.8239999999996</v>
      </c>
      <c r="G5" s="51"/>
      <c r="H5" s="9"/>
    </row>
    <row r="6" spans="2:8">
      <c r="B6" s="51" t="s">
        <v>5</v>
      </c>
      <c r="C6" s="222">
        <v>15.369</v>
      </c>
      <c r="D6" s="222">
        <v>26.808</v>
      </c>
      <c r="E6" s="222">
        <v>54.512</v>
      </c>
      <c r="F6" s="222">
        <v>64.867999999999995</v>
      </c>
      <c r="G6" s="51"/>
      <c r="H6" s="9"/>
    </row>
    <row r="7" spans="2:8">
      <c r="B7" s="51" t="s">
        <v>6</v>
      </c>
      <c r="C7" s="222"/>
      <c r="D7" s="222"/>
      <c r="E7" s="222"/>
      <c r="F7" s="222"/>
      <c r="G7" s="51"/>
      <c r="H7" s="9"/>
    </row>
    <row r="8" spans="2:8">
      <c r="B8" s="59" t="s">
        <v>7</v>
      </c>
      <c r="C8" s="223">
        <f>SUM(C5:C7)</f>
        <v>2647.5640000000003</v>
      </c>
      <c r="D8" s="223">
        <f t="shared" ref="D8:F8" si="0">SUM(D5:D7)</f>
        <v>2639.82</v>
      </c>
      <c r="E8" s="223">
        <f t="shared" si="0"/>
        <v>3379.6040000000003</v>
      </c>
      <c r="F8" s="223">
        <f t="shared" si="0"/>
        <v>4882.692</v>
      </c>
      <c r="G8" s="51"/>
      <c r="H8" s="9"/>
    </row>
    <row r="9" spans="2:8">
      <c r="B9" s="51" t="s">
        <v>8</v>
      </c>
      <c r="C9" s="222">
        <v>0</v>
      </c>
      <c r="D9" s="222">
        <v>0</v>
      </c>
      <c r="E9" s="222"/>
      <c r="F9" s="222"/>
      <c r="G9" s="51"/>
      <c r="H9" s="9"/>
    </row>
    <row r="10" spans="2:8">
      <c r="B10" s="51" t="s">
        <v>9</v>
      </c>
      <c r="C10" s="222">
        <v>0</v>
      </c>
      <c r="D10" s="222">
        <v>0</v>
      </c>
      <c r="E10" s="222"/>
      <c r="F10" s="222"/>
      <c r="G10" s="51"/>
      <c r="H10" s="9"/>
    </row>
    <row r="11" spans="2:8">
      <c r="B11" s="51" t="s">
        <v>10</v>
      </c>
      <c r="C11" s="222">
        <v>1.25</v>
      </c>
      <c r="D11" s="222">
        <v>0</v>
      </c>
      <c r="E11" s="222"/>
      <c r="F11" s="222">
        <v>0.85499999999999998</v>
      </c>
      <c r="G11" s="51"/>
      <c r="H11" s="9"/>
    </row>
    <row r="12" spans="2:8">
      <c r="B12" s="51" t="s">
        <v>13</v>
      </c>
      <c r="C12" s="222">
        <f>SUM(C9:C11)</f>
        <v>1.25</v>
      </c>
      <c r="D12" s="222">
        <f>SUM(D9:D11)</f>
        <v>0</v>
      </c>
      <c r="E12" s="222">
        <f>SUM(E9:E11)</f>
        <v>0</v>
      </c>
      <c r="F12" s="222">
        <f>SUM(F9:F11)</f>
        <v>0.85499999999999998</v>
      </c>
      <c r="G12" s="51"/>
      <c r="H12" s="9"/>
    </row>
    <row r="13" spans="2:8">
      <c r="B13" s="59" t="s">
        <v>14</v>
      </c>
      <c r="C13" s="223">
        <f>C8+C12</f>
        <v>2648.8140000000003</v>
      </c>
      <c r="D13" s="223">
        <f>D8+D12</f>
        <v>2639.82</v>
      </c>
      <c r="E13" s="223">
        <f>E8+E12</f>
        <v>3379.6040000000003</v>
      </c>
      <c r="F13" s="223">
        <f>F8+F12</f>
        <v>4883.5469999999996</v>
      </c>
      <c r="G13" s="51"/>
      <c r="H13" s="9"/>
    </row>
    <row r="14" spans="2:8">
      <c r="B14" s="51" t="s">
        <v>15</v>
      </c>
      <c r="C14" s="222">
        <f>(-2296722-700)/1000</f>
        <v>-2297.422</v>
      </c>
      <c r="D14" s="222">
        <f>(-2284937-800)/1000</f>
        <v>-2285.7370000000001</v>
      </c>
      <c r="E14" s="222">
        <v>-2802.28</v>
      </c>
      <c r="F14" s="222">
        <v>-4265.5630000000001</v>
      </c>
      <c r="G14" s="51"/>
      <c r="H14" s="9"/>
    </row>
    <row r="15" spans="2:8">
      <c r="B15" s="55" t="s">
        <v>16</v>
      </c>
      <c r="C15" s="224">
        <f t="shared" ref="C15:E15" si="1">SUM(C13:C14)</f>
        <v>351.39200000000028</v>
      </c>
      <c r="D15" s="224">
        <f t="shared" ref="D15" si="2">SUM(D13:D14)</f>
        <v>354.08300000000008</v>
      </c>
      <c r="E15" s="224">
        <f t="shared" si="1"/>
        <v>577.32400000000007</v>
      </c>
      <c r="F15" s="224">
        <f>SUM(F13:F14)</f>
        <v>617.98399999999947</v>
      </c>
      <c r="G15" s="51"/>
      <c r="H15" s="9"/>
    </row>
    <row r="16" spans="2:8">
      <c r="B16" s="51" t="s">
        <v>17</v>
      </c>
      <c r="C16" s="222">
        <f>(-18222-112117)/1000</f>
        <v>-130.339</v>
      </c>
      <c r="D16" s="222">
        <f>(-18665-101931)/1000</f>
        <v>-120.596</v>
      </c>
      <c r="E16" s="222">
        <f>(-28236-139648)/1000</f>
        <v>-167.88399999999999</v>
      </c>
      <c r="F16" s="222">
        <f>(-2388-23622-148027)/1000</f>
        <v>-174.03700000000001</v>
      </c>
      <c r="G16" s="51"/>
      <c r="H16" s="9"/>
    </row>
    <row r="17" spans="2:8">
      <c r="B17" s="51" t="s">
        <v>22</v>
      </c>
      <c r="C17" s="222">
        <v>-8.3800000000000008</v>
      </c>
      <c r="D17" s="222">
        <v>-5.7939999999999996</v>
      </c>
      <c r="E17" s="222">
        <v>-4.883</v>
      </c>
      <c r="F17" s="222">
        <v>-4.5190000000000001</v>
      </c>
      <c r="G17" s="52"/>
      <c r="H17" s="9"/>
    </row>
    <row r="18" spans="2:8" hidden="1" outlineLevel="1">
      <c r="B18" s="57" t="s">
        <v>18</v>
      </c>
      <c r="C18" s="225">
        <v>-150.29300000000001</v>
      </c>
      <c r="D18" s="225">
        <v>-167.691</v>
      </c>
      <c r="E18" s="225">
        <v>-224.483</v>
      </c>
      <c r="F18" s="225">
        <v>-260.79000000000002</v>
      </c>
      <c r="G18" s="51"/>
      <c r="H18" s="9"/>
    </row>
    <row r="19" spans="2:8" hidden="1" outlineLevel="1">
      <c r="B19" s="57" t="s">
        <v>19</v>
      </c>
      <c r="C19" s="225">
        <v>-19.777999999999999</v>
      </c>
      <c r="D19" s="225">
        <v>-16.815000000000001</v>
      </c>
      <c r="E19" s="225">
        <v>-27.57</v>
      </c>
      <c r="F19" s="225">
        <v>-47.54</v>
      </c>
      <c r="G19" s="51"/>
      <c r="H19" s="9"/>
    </row>
    <row r="20" spans="2:8" hidden="1" outlineLevel="1">
      <c r="B20" s="57" t="s">
        <v>20</v>
      </c>
      <c r="C20" s="225"/>
      <c r="D20" s="225"/>
      <c r="E20" s="225"/>
      <c r="F20" s="225"/>
      <c r="G20" s="51"/>
      <c r="H20" s="9"/>
    </row>
    <row r="21" spans="2:8" collapsed="1">
      <c r="B21" s="51" t="s">
        <v>21</v>
      </c>
      <c r="C21" s="222">
        <f t="shared" ref="C21:E21" si="3">SUM(C18:C20)</f>
        <v>-170.071</v>
      </c>
      <c r="D21" s="222">
        <f t="shared" ref="D21" si="4">SUM(D18:D20)</f>
        <v>-184.506</v>
      </c>
      <c r="E21" s="222">
        <f t="shared" si="3"/>
        <v>-252.053</v>
      </c>
      <c r="F21" s="222">
        <f>SUM(F18:F20)</f>
        <v>-308.33000000000004</v>
      </c>
      <c r="G21" s="51"/>
      <c r="H21" s="9"/>
    </row>
    <row r="22" spans="2:8" ht="15.75" thickBot="1">
      <c r="B22" s="56" t="s">
        <v>24</v>
      </c>
      <c r="C22" s="226">
        <f>SUM(C15:C17,C21)</f>
        <v>42.602000000000288</v>
      </c>
      <c r="D22" s="226">
        <f>SUM(D15:D17,D21)</f>
        <v>43.187000000000069</v>
      </c>
      <c r="E22" s="226">
        <f>SUM(E15:E17,E21)</f>
        <v>152.50400000000008</v>
      </c>
      <c r="F22" s="226">
        <f>SUM(F15:F17,F21)</f>
        <v>131.09799999999939</v>
      </c>
      <c r="G22" s="81"/>
      <c r="H22" s="9"/>
    </row>
    <row r="23" spans="2:8">
      <c r="B23" s="51" t="s">
        <v>11</v>
      </c>
      <c r="C23" s="222">
        <v>28.841999999999999</v>
      </c>
      <c r="D23" s="222">
        <v>0</v>
      </c>
      <c r="E23" s="222"/>
      <c r="F23" s="222"/>
      <c r="G23" s="51"/>
      <c r="H23" s="9"/>
    </row>
    <row r="24" spans="2:8">
      <c r="B24" s="51" t="s">
        <v>12</v>
      </c>
      <c r="C24" s="222">
        <v>1.4E-2</v>
      </c>
      <c r="D24" s="222">
        <v>0.01</v>
      </c>
      <c r="E24" s="222">
        <v>3.5000000000000003E-2</v>
      </c>
      <c r="F24" s="222">
        <v>2.4529999999999998</v>
      </c>
      <c r="G24" s="51"/>
      <c r="H24" s="9"/>
    </row>
    <row r="25" spans="2:8">
      <c r="B25" s="51" t="s">
        <v>23</v>
      </c>
      <c r="C25" s="222">
        <v>-28.85</v>
      </c>
      <c r="D25" s="222">
        <v>-7.0000000000000001E-3</v>
      </c>
      <c r="E25" s="222">
        <v>-2.1999999999999999E-2</v>
      </c>
      <c r="F25" s="222">
        <v>-8.9999999999999993E-3</v>
      </c>
      <c r="G25" s="51"/>
      <c r="H25" s="9"/>
    </row>
    <row r="26" spans="2:8">
      <c r="B26" s="51" t="s">
        <v>25</v>
      </c>
      <c r="C26" s="222">
        <f>(7829-13573)/1000</f>
        <v>-5.7439999999999998</v>
      </c>
      <c r="D26" s="222">
        <f>(3478-12885)/1000</f>
        <v>-9.407</v>
      </c>
      <c r="E26" s="222">
        <f>(5160-10781)/1000</f>
        <v>-5.6210000000000004</v>
      </c>
      <c r="F26" s="222">
        <f>(8159-16254)/1000</f>
        <v>-8.0950000000000006</v>
      </c>
      <c r="G26" s="51"/>
      <c r="H26" s="9"/>
    </row>
    <row r="27" spans="2:8" ht="15.75" thickBot="1">
      <c r="B27" s="56" t="s">
        <v>26</v>
      </c>
      <c r="C27" s="226">
        <f t="shared" ref="C27:E27" si="5">SUM(C22:C26)</f>
        <v>36.864000000000281</v>
      </c>
      <c r="D27" s="226">
        <f t="shared" ref="D27" si="6">SUM(D22:D26)</f>
        <v>33.783000000000072</v>
      </c>
      <c r="E27" s="226">
        <f t="shared" si="5"/>
        <v>146.89600000000007</v>
      </c>
      <c r="F27" s="226">
        <f>SUM(F22:F26)</f>
        <v>125.44699999999941</v>
      </c>
      <c r="G27" s="51"/>
      <c r="H27" s="9"/>
    </row>
    <row r="28" spans="2:8" hidden="1" outlineLevel="1">
      <c r="B28" s="57" t="s">
        <v>27</v>
      </c>
      <c r="C28" s="225">
        <v>2.8000000000000001E-2</v>
      </c>
      <c r="D28" s="225">
        <v>2.246</v>
      </c>
      <c r="E28" s="225">
        <v>8.6389999999999993</v>
      </c>
      <c r="F28" s="225">
        <v>25.109000000000002</v>
      </c>
      <c r="G28" s="51"/>
      <c r="H28" s="9"/>
    </row>
    <row r="29" spans="2:8" hidden="1" outlineLevel="1">
      <c r="B29" s="57" t="s">
        <v>28</v>
      </c>
      <c r="C29" s="225">
        <v>-0.497</v>
      </c>
      <c r="D29" s="225">
        <v>-0.76600000000000001</v>
      </c>
      <c r="E29" s="225">
        <v>-6.1070000000000002</v>
      </c>
      <c r="F29" s="225">
        <v>-6.4530000000000003</v>
      </c>
      <c r="G29" s="51"/>
      <c r="H29" s="9"/>
    </row>
    <row r="30" spans="2:8" collapsed="1">
      <c r="B30" s="51" t="s">
        <v>29</v>
      </c>
      <c r="C30" s="222">
        <f>SUM(C28:C29)</f>
        <v>-0.46899999999999997</v>
      </c>
      <c r="D30" s="222">
        <f>SUM(D28:D29)</f>
        <v>1.48</v>
      </c>
      <c r="E30" s="222">
        <f t="shared" ref="E30:F30" si="7">SUM(E28:E29)</f>
        <v>2.5319999999999991</v>
      </c>
      <c r="F30" s="222">
        <f t="shared" si="7"/>
        <v>18.656000000000002</v>
      </c>
      <c r="G30" s="51"/>
      <c r="H30" s="9"/>
    </row>
    <row r="31" spans="2:8">
      <c r="B31" s="51" t="s">
        <v>30</v>
      </c>
      <c r="C31" s="222">
        <v>0</v>
      </c>
      <c r="D31" s="222">
        <v>0</v>
      </c>
      <c r="E31" s="222">
        <f>(1316-2545)/1000</f>
        <v>-1.2290000000000001</v>
      </c>
      <c r="F31" s="222">
        <f>(25834-365)/1000</f>
        <v>25.469000000000001</v>
      </c>
      <c r="G31" s="51"/>
      <c r="H31" s="9"/>
    </row>
    <row r="32" spans="2:8">
      <c r="B32" s="51" t="s">
        <v>31</v>
      </c>
      <c r="C32" s="222">
        <v>-11.599</v>
      </c>
      <c r="D32" s="222">
        <v>-9.1509999999999998</v>
      </c>
      <c r="E32" s="222">
        <v>-38.085999999999999</v>
      </c>
      <c r="F32" s="222">
        <v>-40.978999999999999</v>
      </c>
      <c r="G32" s="51"/>
      <c r="H32" s="9"/>
    </row>
    <row r="33" spans="2:8" ht="15.75" thickBot="1">
      <c r="B33" s="56" t="s">
        <v>32</v>
      </c>
      <c r="C33" s="226">
        <f>SUM(C27,C30:C32)</f>
        <v>24.79600000000028</v>
      </c>
      <c r="D33" s="226">
        <f>SUM(D27,D30:D32)</f>
        <v>26.112000000000069</v>
      </c>
      <c r="E33" s="226">
        <f>SUM(E27,E30:E32)</f>
        <v>110.11300000000007</v>
      </c>
      <c r="F33" s="226">
        <f>SUM(F27,F30:F32)</f>
        <v>128.59299999999939</v>
      </c>
      <c r="G33" s="51"/>
      <c r="H33" s="9"/>
    </row>
    <row r="34" spans="2:8">
      <c r="B34" s="13" t="s">
        <v>33</v>
      </c>
      <c r="C34" s="14"/>
      <c r="D34" s="14"/>
      <c r="E34" s="14"/>
      <c r="F34" s="14"/>
      <c r="G34" s="51"/>
      <c r="H34" s="9"/>
    </row>
    <row r="35" spans="2:8">
      <c r="B35" s="15" t="s">
        <v>34</v>
      </c>
      <c r="C35" s="16" t="str">
        <f>IFERROR(C8/#REF!-1,"na ")</f>
        <v xml:space="preserve">na </v>
      </c>
      <c r="D35" s="16">
        <f>IFERROR(D8/C8-1,"na ")</f>
        <v>-2.9249529000998642E-3</v>
      </c>
      <c r="E35" s="16">
        <f>IFERROR(E8/D8-1,"na ")</f>
        <v>0.2802403194157177</v>
      </c>
      <c r="F35" s="16">
        <f>IFERROR(F8/E8-1,"na ")</f>
        <v>0.44475269883690505</v>
      </c>
      <c r="G35" s="51"/>
      <c r="H35" s="9"/>
    </row>
    <row r="36" spans="2:8">
      <c r="B36" s="15" t="s">
        <v>16</v>
      </c>
      <c r="C36" s="16">
        <f>C15/C8</f>
        <v>0.13272275948758944</v>
      </c>
      <c r="D36" s="16">
        <f>D15/D8</f>
        <v>0.13413149381397219</v>
      </c>
      <c r="E36" s="16">
        <f>E15/E8</f>
        <v>0.1708259310854171</v>
      </c>
      <c r="F36" s="16">
        <f>F15/F8</f>
        <v>0.12656624665246127</v>
      </c>
      <c r="G36" s="51"/>
      <c r="H36" s="9"/>
    </row>
    <row r="37" spans="2:8">
      <c r="B37" s="15" t="s">
        <v>24</v>
      </c>
      <c r="C37" s="16">
        <f>C22/C8</f>
        <v>1.6091018007496811E-2</v>
      </c>
      <c r="D37" s="16">
        <f>D22/D8</f>
        <v>1.63598275640006E-2</v>
      </c>
      <c r="E37" s="16">
        <f>E22/E8</f>
        <v>4.5124813439681118E-2</v>
      </c>
      <c r="F37" s="16">
        <f>F22/F8</f>
        <v>2.6849533003515148E-2</v>
      </c>
      <c r="G37" s="51"/>
      <c r="H37" s="9"/>
    </row>
    <row r="38" spans="2:8">
      <c r="B38" s="15" t="s">
        <v>26</v>
      </c>
      <c r="C38" s="16">
        <f>C27/C8</f>
        <v>1.392374273105401E-2</v>
      </c>
      <c r="D38" s="16">
        <f>D27/D8</f>
        <v>1.2797463463417987E-2</v>
      </c>
      <c r="E38" s="16">
        <f>E27/E8</f>
        <v>4.3465447431119165E-2</v>
      </c>
      <c r="F38" s="16">
        <f>F27/F8</f>
        <v>2.5692179641885953E-2</v>
      </c>
      <c r="G38" s="51"/>
      <c r="H38" s="9"/>
    </row>
    <row r="39" spans="2:8">
      <c r="B39" s="17" t="s">
        <v>35</v>
      </c>
      <c r="C39" s="18">
        <f>C33/C8</f>
        <v>9.3655904068797868E-3</v>
      </c>
      <c r="D39" s="18">
        <f>D33/D8</f>
        <v>9.8915835170580065E-3</v>
      </c>
      <c r="E39" s="18">
        <f>E33/E8</f>
        <v>3.2581627906701514E-2</v>
      </c>
      <c r="F39" s="18">
        <f>F33/F8</f>
        <v>2.6336496342591217E-2</v>
      </c>
      <c r="G39" s="51"/>
      <c r="H39" s="9"/>
    </row>
    <row r="40" spans="2:8">
      <c r="B40" s="51"/>
      <c r="C40" s="52"/>
      <c r="D40" s="52"/>
      <c r="E40" s="52"/>
      <c r="F40" s="52"/>
      <c r="G40" s="51"/>
      <c r="H40" s="60"/>
    </row>
    <row r="42" spans="2:8">
      <c r="B42" s="1" t="s">
        <v>36</v>
      </c>
      <c r="C42" s="2"/>
      <c r="D42" s="2"/>
      <c r="E42" s="2"/>
      <c r="F42" s="2" t="str">
        <f>F2</f>
        <v>PROBOIS 43</v>
      </c>
    </row>
    <row r="43" spans="2:8">
      <c r="B43" s="53" t="s">
        <v>2</v>
      </c>
      <c r="C43" s="64">
        <f>C3</f>
        <v>44074</v>
      </c>
      <c r="D43" s="64">
        <f>D3</f>
        <v>44439</v>
      </c>
      <c r="E43" s="64">
        <f>E3</f>
        <v>44804</v>
      </c>
      <c r="F43" s="64">
        <f>F3</f>
        <v>45169</v>
      </c>
    </row>
    <row r="44" spans="2:8" hidden="1" outlineLevel="1">
      <c r="B44" s="55" t="s">
        <v>37</v>
      </c>
      <c r="C44" s="223"/>
      <c r="D44" s="223"/>
      <c r="E44" s="223"/>
      <c r="F44" s="223"/>
    </row>
    <row r="45" spans="2:8" hidden="1" outlineLevel="1">
      <c r="B45" s="51" t="s">
        <v>38</v>
      </c>
      <c r="C45" s="222">
        <f>(363+45000)/1000</f>
        <v>45.363</v>
      </c>
      <c r="D45" s="222">
        <f>(66+45000)/1000</f>
        <v>45.066000000000003</v>
      </c>
      <c r="E45" s="222">
        <f>(377+45000)/1000</f>
        <v>45.377000000000002</v>
      </c>
      <c r="F45" s="222">
        <f>(5079+45000)/1000</f>
        <v>50.079000000000001</v>
      </c>
    </row>
    <row r="46" spans="2:8" hidden="1" outlineLevel="1">
      <c r="B46" s="51" t="s">
        <v>39</v>
      </c>
      <c r="C46" s="222">
        <f>36.642</f>
        <v>36.642000000000003</v>
      </c>
      <c r="D46" s="222">
        <f>25.659</f>
        <v>25.658999999999999</v>
      </c>
      <c r="E46" s="222">
        <f>18.747</f>
        <v>18.747</v>
      </c>
      <c r="F46" s="222">
        <f>(1140+64588)/1000</f>
        <v>65.727999999999994</v>
      </c>
    </row>
    <row r="47" spans="2:8" hidden="1" outlineLevel="1">
      <c r="B47" s="51" t="s">
        <v>40</v>
      </c>
      <c r="C47" s="222">
        <v>0</v>
      </c>
      <c r="D47" s="222">
        <v>10</v>
      </c>
      <c r="E47" s="222">
        <f>(153+10000)/1000</f>
        <v>10.153</v>
      </c>
      <c r="F47" s="222">
        <f>(153+10000)/1000</f>
        <v>10.153</v>
      </c>
    </row>
    <row r="48" spans="2:8" hidden="1" outlineLevel="1">
      <c r="B48" s="55" t="s">
        <v>41</v>
      </c>
      <c r="C48" s="223">
        <f>SUM(C44:C47)</f>
        <v>82.004999999999995</v>
      </c>
      <c r="D48" s="223">
        <f>SUM(D44:D47)</f>
        <v>80.724999999999994</v>
      </c>
      <c r="E48" s="223">
        <f>SUM(E44:E47)</f>
        <v>74.277000000000001</v>
      </c>
      <c r="F48" s="223">
        <f>SUM(F44:F47)</f>
        <v>125.96</v>
      </c>
    </row>
    <row r="49" spans="2:7" hidden="1" outlineLevel="1">
      <c r="B49" s="51" t="s">
        <v>42</v>
      </c>
      <c r="C49" s="222">
        <f>(800+257981)/1000</f>
        <v>258.78100000000001</v>
      </c>
      <c r="D49" s="222">
        <v>312.83800000000002</v>
      </c>
      <c r="E49" s="222">
        <v>366.75099999999998</v>
      </c>
      <c r="F49" s="222">
        <v>225.47900000000001</v>
      </c>
    </row>
    <row r="50" spans="2:7" hidden="1" outlineLevel="1">
      <c r="B50" s="51" t="s">
        <v>43</v>
      </c>
      <c r="C50" s="222">
        <f>(405453+2643+1574)/1000</f>
        <v>409.67</v>
      </c>
      <c r="D50" s="222">
        <f>(168112+6480+1711+1856)/1000</f>
        <v>178.15899999999999</v>
      </c>
      <c r="E50" s="222">
        <f>(280597+17285+2105)/1000</f>
        <v>299.98700000000002</v>
      </c>
      <c r="F50" s="222">
        <f>(517018+1623+2156)/1000</f>
        <v>520.79700000000003</v>
      </c>
    </row>
    <row r="51" spans="2:7" hidden="1" outlineLevel="1">
      <c r="B51" s="51" t="s">
        <v>44</v>
      </c>
      <c r="C51" s="222">
        <f>-(415502+20242)/1000</f>
        <v>-435.74400000000003</v>
      </c>
      <c r="D51" s="222">
        <f>-(453262+29610)/1000</f>
        <v>-482.87200000000001</v>
      </c>
      <c r="E51" s="222">
        <f>(-688269-52545)/1000</f>
        <v>-740.81399999999996</v>
      </c>
      <c r="F51" s="222">
        <f>(-758454-35687)/1000</f>
        <v>-794.14099999999996</v>
      </c>
    </row>
    <row r="52" spans="2:7" hidden="1" outlineLevel="1">
      <c r="B52" s="55" t="s">
        <v>45</v>
      </c>
      <c r="C52" s="223">
        <f t="shared" ref="C52:F52" si="8">SUM(C49:C51)</f>
        <v>232.70699999999999</v>
      </c>
      <c r="D52" s="223">
        <f t="shared" si="8"/>
        <v>8.125</v>
      </c>
      <c r="E52" s="223">
        <f t="shared" si="8"/>
        <v>-74.075999999999908</v>
      </c>
      <c r="F52" s="223">
        <f t="shared" si="8"/>
        <v>-47.864999999999895</v>
      </c>
    </row>
    <row r="53" spans="2:7" hidden="1" outlineLevel="1">
      <c r="B53" s="51" t="s">
        <v>46</v>
      </c>
      <c r="C53" s="222">
        <f>(11002+181)/1000</f>
        <v>11.183</v>
      </c>
      <c r="D53" s="222">
        <f>(512250+7049)/1000</f>
        <v>519.29899999999998</v>
      </c>
      <c r="E53" s="222">
        <f>(834661+7569)/1000</f>
        <v>842.23</v>
      </c>
      <c r="F53" s="222">
        <f>(459718+12207)/1000</f>
        <v>471.92500000000001</v>
      </c>
    </row>
    <row r="54" spans="2:7" hidden="1" outlineLevel="1">
      <c r="B54" s="51" t="s">
        <v>47</v>
      </c>
      <c r="C54" s="222">
        <f>-34.915</f>
        <v>-34.914999999999999</v>
      </c>
      <c r="D54" s="222">
        <f>-61.196</f>
        <v>-61.195999999999998</v>
      </c>
      <c r="E54" s="222">
        <f>-89.618</f>
        <v>-89.617999999999995</v>
      </c>
      <c r="F54" s="222">
        <f>-55713/1000</f>
        <v>-55.713000000000001</v>
      </c>
    </row>
    <row r="55" spans="2:7" hidden="1" outlineLevel="1">
      <c r="B55" s="51" t="s">
        <v>48</v>
      </c>
      <c r="C55" s="222">
        <f>-0.002</f>
        <v>-2E-3</v>
      </c>
      <c r="D55" s="222">
        <f>-13.04</f>
        <v>-13.04</v>
      </c>
      <c r="E55" s="222">
        <v>-6.556</v>
      </c>
      <c r="F55" s="222">
        <v>-4.0839999999999996</v>
      </c>
    </row>
    <row r="56" spans="2:7" hidden="1" outlineLevel="1">
      <c r="B56" s="55" t="s">
        <v>49</v>
      </c>
      <c r="C56" s="227">
        <f t="shared" ref="C56" si="9">SUM(C53:C55)</f>
        <v>-23.733999999999998</v>
      </c>
      <c r="D56" s="227">
        <f t="shared" ref="D56" si="10">SUM(D53:D55)</f>
        <v>445.06299999999993</v>
      </c>
      <c r="E56" s="227">
        <f>SUM(E53:E55)</f>
        <v>746.05600000000004</v>
      </c>
      <c r="F56" s="227">
        <f>SUM(F53:F55)</f>
        <v>412.12799999999999</v>
      </c>
    </row>
    <row r="57" spans="2:7" ht="15.75" hidden="1" outlineLevel="1" thickBot="1">
      <c r="B57" s="56" t="s">
        <v>50</v>
      </c>
      <c r="C57" s="226">
        <f t="shared" ref="C57" si="11">SUM(C52,C56)</f>
        <v>208.97299999999998</v>
      </c>
      <c r="D57" s="226">
        <f t="shared" ref="D57" si="12">SUM(D52,D56)</f>
        <v>453.18799999999993</v>
      </c>
      <c r="E57" s="226">
        <f>SUM(E52,E56)</f>
        <v>671.98000000000013</v>
      </c>
      <c r="F57" s="226">
        <f>SUM(F52,F56)</f>
        <v>364.26300000000009</v>
      </c>
    </row>
    <row r="58" spans="2:7" hidden="1" outlineLevel="1">
      <c r="B58" s="55" t="s">
        <v>51</v>
      </c>
      <c r="C58" s="227">
        <v>0</v>
      </c>
      <c r="D58" s="227">
        <v>0</v>
      </c>
      <c r="E58" s="227"/>
      <c r="F58" s="227"/>
    </row>
    <row r="59" spans="2:7" hidden="1" outlineLevel="2">
      <c r="B59" s="57" t="s">
        <v>52</v>
      </c>
      <c r="C59" s="225">
        <v>323.73200000000003</v>
      </c>
      <c r="D59" s="225">
        <v>269.26499999999999</v>
      </c>
      <c r="E59" s="225">
        <v>121.422</v>
      </c>
      <c r="F59" s="225">
        <v>326.55900000000003</v>
      </c>
      <c r="G59" s="65"/>
    </row>
    <row r="60" spans="2:7" hidden="1" outlineLevel="2">
      <c r="B60" s="57" t="s">
        <v>53</v>
      </c>
      <c r="C60" s="225"/>
      <c r="D60" s="225"/>
      <c r="E60" s="225"/>
      <c r="F60" s="225"/>
    </row>
    <row r="61" spans="2:7" hidden="1" outlineLevel="1">
      <c r="B61" s="51" t="s">
        <v>54</v>
      </c>
      <c r="C61" s="222">
        <f t="shared" ref="C61:F61" si="13">SUM(C59:C60)</f>
        <v>323.73200000000003</v>
      </c>
      <c r="D61" s="222">
        <f t="shared" si="13"/>
        <v>269.26499999999999</v>
      </c>
      <c r="E61" s="222">
        <f t="shared" si="13"/>
        <v>121.422</v>
      </c>
      <c r="F61" s="222">
        <f t="shared" si="13"/>
        <v>326.55900000000003</v>
      </c>
    </row>
    <row r="62" spans="2:7" hidden="1" outlineLevel="2">
      <c r="B62" s="57" t="s">
        <v>55</v>
      </c>
      <c r="C62" s="225">
        <f>-240.208</f>
        <v>-240.208</v>
      </c>
      <c r="D62" s="225">
        <f>-440.055</f>
        <v>-440.05500000000001</v>
      </c>
      <c r="E62" s="225">
        <v>-420.55399999999997</v>
      </c>
      <c r="F62" s="225">
        <v>-351.17700000000002</v>
      </c>
      <c r="G62" s="65"/>
    </row>
    <row r="63" spans="2:7" hidden="1" outlineLevel="2">
      <c r="B63" s="57" t="s">
        <v>56</v>
      </c>
      <c r="C63" s="225">
        <f>-37.49</f>
        <v>-37.49</v>
      </c>
      <c r="D63" s="225">
        <v>0</v>
      </c>
      <c r="E63" s="225">
        <v>0</v>
      </c>
      <c r="F63" s="225">
        <v>0</v>
      </c>
    </row>
    <row r="64" spans="2:7" hidden="1" outlineLevel="2">
      <c r="B64" s="57" t="s">
        <v>57</v>
      </c>
      <c r="C64" s="225"/>
      <c r="D64" s="225"/>
      <c r="E64" s="225"/>
      <c r="F64" s="225"/>
    </row>
    <row r="65" spans="2:6" hidden="1" outlineLevel="2">
      <c r="B65" s="57" t="s">
        <v>58</v>
      </c>
      <c r="C65" s="225"/>
      <c r="D65" s="225"/>
      <c r="E65" s="225"/>
      <c r="F65" s="225"/>
    </row>
    <row r="66" spans="2:6" hidden="1" outlineLevel="2">
      <c r="B66" s="57" t="s">
        <v>59</v>
      </c>
      <c r="C66" s="225"/>
      <c r="D66" s="225"/>
      <c r="E66" s="225"/>
      <c r="F66" s="225"/>
    </row>
    <row r="67" spans="2:6" hidden="1" outlineLevel="1">
      <c r="B67" s="51" t="s">
        <v>60</v>
      </c>
      <c r="C67" s="222">
        <f t="shared" ref="C67" si="14">SUM(C62:C66)</f>
        <v>-277.69799999999998</v>
      </c>
      <c r="D67" s="222">
        <f t="shared" ref="D67" si="15">SUM(D62:D66)</f>
        <v>-440.05500000000001</v>
      </c>
      <c r="E67" s="222">
        <f>SUM(E62:E66)</f>
        <v>-420.55399999999997</v>
      </c>
      <c r="F67" s="222">
        <f>SUM(F62:F66)</f>
        <v>-351.17700000000002</v>
      </c>
    </row>
    <row r="68" spans="2:6" hidden="1" outlineLevel="1">
      <c r="B68" s="55" t="s">
        <v>61</v>
      </c>
      <c r="C68" s="223">
        <f t="shared" ref="C68" si="16">SUM(C61,C67)</f>
        <v>46.034000000000049</v>
      </c>
      <c r="D68" s="223">
        <f t="shared" ref="D68" si="17">SUM(D61,D67)</f>
        <v>-170.79000000000002</v>
      </c>
      <c r="E68" s="223">
        <f>SUM(E61,E67)</f>
        <v>-299.13199999999995</v>
      </c>
      <c r="F68" s="223">
        <f>SUM(F61,F67)</f>
        <v>-24.617999999999995</v>
      </c>
    </row>
    <row r="69" spans="2:6" ht="15.75" hidden="1" outlineLevel="1" thickBot="1">
      <c r="B69" s="56" t="s">
        <v>62</v>
      </c>
      <c r="C69" s="226">
        <f>SUM(C48,C57,C58,C68)</f>
        <v>337.012</v>
      </c>
      <c r="D69" s="226">
        <f t="shared" ref="D69" si="18">SUM(D48,D57,D58,D68)</f>
        <v>363.12299999999988</v>
      </c>
      <c r="E69" s="226">
        <f>SUM(E48,E57,E58,E68)</f>
        <v>447.12500000000023</v>
      </c>
      <c r="F69" s="226">
        <f>SUM(F48,F57,F58,F68)</f>
        <v>465.60500000000008</v>
      </c>
    </row>
    <row r="70" spans="2:6" collapsed="1">
      <c r="B70" s="51" t="s">
        <v>63</v>
      </c>
      <c r="C70" s="222">
        <v>10</v>
      </c>
      <c r="D70" s="222">
        <f>C70</f>
        <v>10</v>
      </c>
      <c r="E70" s="222">
        <v>10</v>
      </c>
      <c r="F70" s="222">
        <v>10</v>
      </c>
    </row>
    <row r="71" spans="2:6">
      <c r="B71" s="51" t="s">
        <v>64</v>
      </c>
      <c r="C71" s="222">
        <v>0</v>
      </c>
      <c r="D71" s="222">
        <v>0</v>
      </c>
      <c r="E71" s="222">
        <v>0</v>
      </c>
      <c r="F71" s="222">
        <v>0</v>
      </c>
    </row>
    <row r="72" spans="2:6">
      <c r="B72" s="51" t="s">
        <v>65</v>
      </c>
      <c r="C72" s="222">
        <f>(1000+301218)/1000</f>
        <v>302.21800000000002</v>
      </c>
      <c r="D72" s="222">
        <f>(1000+326012)/1000</f>
        <v>327.012</v>
      </c>
      <c r="E72" s="222">
        <f>(1000+326012)/1000</f>
        <v>327.012</v>
      </c>
      <c r="F72" s="222">
        <f>(1000+326012)/1000</f>
        <v>327.012</v>
      </c>
    </row>
    <row r="73" spans="2:6">
      <c r="B73" s="51" t="s">
        <v>66</v>
      </c>
      <c r="C73" s="222">
        <v>24.795000000000002</v>
      </c>
      <c r="D73" s="222">
        <v>26.111000000000001</v>
      </c>
      <c r="E73" s="222">
        <v>110.11199999999999</v>
      </c>
      <c r="F73" s="222">
        <v>128.59299999999999</v>
      </c>
    </row>
    <row r="74" spans="2:6">
      <c r="B74" s="51" t="s">
        <v>160</v>
      </c>
      <c r="C74" s="222">
        <v>0</v>
      </c>
      <c r="D74" s="222">
        <v>0</v>
      </c>
      <c r="E74" s="222"/>
      <c r="F74" s="222"/>
    </row>
    <row r="75" spans="2:6" ht="15.75" thickBot="1">
      <c r="B75" s="56" t="s">
        <v>67</v>
      </c>
      <c r="C75" s="226">
        <f t="shared" ref="C75:F75" si="19">SUM(C70:C74)</f>
        <v>337.01300000000003</v>
      </c>
      <c r="D75" s="226">
        <f t="shared" si="19"/>
        <v>363.12299999999999</v>
      </c>
      <c r="E75" s="226">
        <f t="shared" si="19"/>
        <v>447.12400000000002</v>
      </c>
      <c r="F75" s="226">
        <f t="shared" si="19"/>
        <v>465.60500000000002</v>
      </c>
    </row>
    <row r="76" spans="2:6">
      <c r="B76" s="13" t="s">
        <v>68</v>
      </c>
      <c r="C76" s="14"/>
      <c r="D76" s="14"/>
      <c r="E76" s="14"/>
      <c r="F76" s="14"/>
    </row>
    <row r="77" spans="2:6" hidden="1" outlineLevel="1">
      <c r="B77" s="15" t="s">
        <v>42</v>
      </c>
      <c r="C77" s="228">
        <f>(C$49/(C$8/365))</f>
        <v>35.676215947943092</v>
      </c>
      <c r="D77" s="228">
        <f>(D$49/(D$8/365))</f>
        <v>43.255172701169023</v>
      </c>
      <c r="E77" s="228">
        <f>(E$49/(E$8/365))</f>
        <v>39.609408380390128</v>
      </c>
      <c r="F77" s="228">
        <f>(F$49/(F$8/365))</f>
        <v>16.855422172850552</v>
      </c>
    </row>
    <row r="78" spans="2:6" hidden="1" outlineLevel="1">
      <c r="B78" s="15" t="s">
        <v>69</v>
      </c>
      <c r="C78" s="228">
        <f>(C$50/(C$8/365))</f>
        <v>56.478162567552658</v>
      </c>
      <c r="D78" s="228">
        <f>(D$50/(D$8/365))</f>
        <v>24.633510996961913</v>
      </c>
      <c r="E78" s="228">
        <f>(E$50/(E$8/365))</f>
        <v>32.398841698613211</v>
      </c>
      <c r="F78" s="228">
        <f>(F$50/(F$8/365))</f>
        <v>38.931578113057306</v>
      </c>
    </row>
    <row r="79" spans="2:6" hidden="1" outlineLevel="1">
      <c r="B79" s="15" t="s">
        <v>70</v>
      </c>
      <c r="C79" s="228">
        <f>(C$51/(C$8/365))</f>
        <v>-60.07279144149112</v>
      </c>
      <c r="D79" s="228">
        <f>(D$51/(D$8/365))</f>
        <v>-66.765264298323373</v>
      </c>
      <c r="E79" s="228">
        <f>(E$51/(E$8/365))</f>
        <v>-80.008518749533962</v>
      </c>
      <c r="F79" s="228">
        <f>(F$51/(F$8/365))</f>
        <v>-59.365093067512753</v>
      </c>
    </row>
    <row r="80" spans="2:6" hidden="1" outlineLevel="1">
      <c r="B80" s="24" t="s">
        <v>71</v>
      </c>
      <c r="C80" s="228">
        <f>(C$52/(C$8/365))</f>
        <v>32.081587074004631</v>
      </c>
      <c r="D80" s="228">
        <f>(D$52/(D$8/365))</f>
        <v>1.1234193998075626</v>
      </c>
      <c r="E80" s="228">
        <f>(E$52/(E$8/365))</f>
        <v>-8.0002686705306196</v>
      </c>
      <c r="F80" s="228">
        <f>(F$52/(F$8/365))</f>
        <v>-3.578092781604894</v>
      </c>
    </row>
    <row r="81" spans="2:7" hidden="1" outlineLevel="1">
      <c r="B81" s="25" t="s">
        <v>50</v>
      </c>
      <c r="C81" s="229">
        <f>(C$57/(C$8/365))</f>
        <v>28.809556633947278</v>
      </c>
      <c r="D81" s="229">
        <f>(D$57/(D$8/365))</f>
        <v>62.660946579691029</v>
      </c>
      <c r="E81" s="229">
        <f>(E$57/(E$8/365))</f>
        <v>72.574390372363169</v>
      </c>
      <c r="F81" s="229">
        <f>(F$57/(F$8/365))</f>
        <v>27.230059770307044</v>
      </c>
    </row>
    <row r="82" spans="2:7" collapsed="1">
      <c r="B82" s="25" t="s">
        <v>72</v>
      </c>
      <c r="C82" s="229">
        <f t="shared" ref="C82:F82" si="20">SUM(C48,C49,C50,C53,C61)</f>
        <v>1085.3710000000001</v>
      </c>
      <c r="D82" s="229">
        <f t="shared" si="20"/>
        <v>1360.2860000000001</v>
      </c>
      <c r="E82" s="229">
        <f t="shared" si="20"/>
        <v>1704.6669999999999</v>
      </c>
      <c r="F82" s="229">
        <f t="shared" si="20"/>
        <v>1670.72</v>
      </c>
    </row>
    <row r="83" spans="2:7">
      <c r="B83" s="28" t="s">
        <v>73</v>
      </c>
      <c r="C83" s="29">
        <f>IFERROR(C68/C75,"na ")</f>
        <v>0.13659413731814513</v>
      </c>
      <c r="D83" s="29">
        <f>IFERROR(D68/D75,"na ")</f>
        <v>-0.47033649755041684</v>
      </c>
      <c r="E83" s="29">
        <f>IFERROR(E68/E75,"na ")</f>
        <v>-0.66901351750297444</v>
      </c>
      <c r="F83" s="29">
        <f>IFERROR(F68/F75,"na ")</f>
        <v>-5.2873143544420687E-2</v>
      </c>
    </row>
    <row r="84" spans="2:7">
      <c r="B84" s="17" t="s">
        <v>74</v>
      </c>
      <c r="C84" s="30">
        <f>C67/C22</f>
        <v>-6.518426364959347</v>
      </c>
      <c r="D84" s="30">
        <f>D67/D22</f>
        <v>-10.18952462546598</v>
      </c>
      <c r="E84" s="30">
        <f>E67/E22</f>
        <v>-2.7576588155064772</v>
      </c>
      <c r="F84" s="30">
        <f>F67/F22</f>
        <v>-2.6787365177195812</v>
      </c>
    </row>
    <row r="85" spans="2:7">
      <c r="B85" s="51"/>
      <c r="C85" s="52"/>
      <c r="D85" s="52"/>
      <c r="E85" s="52"/>
      <c r="F85" s="52"/>
    </row>
    <row r="86" spans="2:7">
      <c r="B86" s="19" t="s">
        <v>75</v>
      </c>
      <c r="C86" s="20">
        <f>C69-C75</f>
        <v>-1.0000000000331966E-3</v>
      </c>
      <c r="D86" s="20">
        <f>D69-D75</f>
        <v>0</v>
      </c>
      <c r="E86" s="20">
        <f t="shared" ref="E86:F86" si="21">E69-E75</f>
        <v>1.0000000002037268E-3</v>
      </c>
      <c r="F86" s="20">
        <f t="shared" si="21"/>
        <v>0</v>
      </c>
    </row>
    <row r="89" spans="2:7">
      <c r="B89" s="1" t="s">
        <v>76</v>
      </c>
      <c r="C89" s="2"/>
      <c r="D89" s="2"/>
      <c r="E89" s="2"/>
      <c r="F89" s="2" t="str">
        <f>F42</f>
        <v>PROBOIS 43</v>
      </c>
    </row>
    <row r="90" spans="2:7">
      <c r="B90" s="53" t="s">
        <v>2</v>
      </c>
      <c r="C90" s="64">
        <f t="shared" ref="C90:E90" si="22">C43</f>
        <v>44074</v>
      </c>
      <c r="D90" s="64">
        <f t="shared" ref="D90" si="23">D43</f>
        <v>44439</v>
      </c>
      <c r="E90" s="64">
        <f t="shared" si="22"/>
        <v>44804</v>
      </c>
      <c r="F90" s="64">
        <f t="shared" ref="F90" si="24">F43</f>
        <v>45169</v>
      </c>
    </row>
    <row r="91" spans="2:7">
      <c r="B91" s="61" t="s">
        <v>77</v>
      </c>
      <c r="C91" s="227"/>
      <c r="D91" s="227">
        <f>D33</f>
        <v>26.112000000000069</v>
      </c>
      <c r="E91" s="227">
        <f>E33</f>
        <v>110.11300000000007</v>
      </c>
      <c r="F91" s="227">
        <f>F33</f>
        <v>128.59299999999939</v>
      </c>
      <c r="G91" s="230"/>
    </row>
    <row r="92" spans="2:7">
      <c r="B92" s="62" t="s">
        <v>78</v>
      </c>
      <c r="C92" s="231"/>
      <c r="D92" s="231">
        <f>-D26</f>
        <v>9.407</v>
      </c>
      <c r="E92" s="231">
        <f>-E26</f>
        <v>5.6210000000000004</v>
      </c>
      <c r="F92" s="231">
        <f>-F26</f>
        <v>8.0950000000000006</v>
      </c>
      <c r="G92" s="230"/>
    </row>
    <row r="93" spans="2:7">
      <c r="B93" s="62" t="s">
        <v>79</v>
      </c>
      <c r="C93" s="231"/>
      <c r="D93" s="231"/>
      <c r="E93" s="231"/>
      <c r="F93" s="231"/>
      <c r="G93" s="230"/>
    </row>
    <row r="94" spans="2:7">
      <c r="B94" s="62" t="s">
        <v>80</v>
      </c>
      <c r="C94" s="231"/>
      <c r="D94" s="231">
        <f>D57-C57</f>
        <v>244.21499999999995</v>
      </c>
      <c r="E94" s="231">
        <f>E57-D57</f>
        <v>218.7920000000002</v>
      </c>
      <c r="F94" s="231">
        <f>F57-E57</f>
        <v>-307.71700000000004</v>
      </c>
      <c r="G94" s="230"/>
    </row>
    <row r="95" spans="2:7">
      <c r="B95" s="63" t="s">
        <v>81</v>
      </c>
      <c r="C95" s="232"/>
      <c r="D95" s="232">
        <f>SUM(D91:D93)-D94</f>
        <v>-208.69599999999988</v>
      </c>
      <c r="E95" s="232">
        <f>SUM(E91:E93)-E94</f>
        <v>-103.05800000000013</v>
      </c>
      <c r="F95" s="232">
        <f>SUM(F91:F93)-F94</f>
        <v>444.4049999999994</v>
      </c>
      <c r="G95" s="230"/>
    </row>
    <row r="96" spans="2:7">
      <c r="B96" s="62" t="s">
        <v>82</v>
      </c>
      <c r="C96" s="222"/>
      <c r="D96" s="222">
        <f>C48-D48+D26</f>
        <v>-8.1269999999999989</v>
      </c>
      <c r="E96" s="222">
        <f>D48-E48+E26</f>
        <v>0.82699999999999285</v>
      </c>
      <c r="F96" s="222">
        <f>E48-F48+F26</f>
        <v>-59.777999999999992</v>
      </c>
      <c r="G96" s="230"/>
    </row>
    <row r="97" spans="2:7">
      <c r="B97" s="63" t="s">
        <v>83</v>
      </c>
      <c r="C97" s="223"/>
      <c r="D97" s="223">
        <f>D96</f>
        <v>-8.1269999999999989</v>
      </c>
      <c r="E97" s="223">
        <f>E96</f>
        <v>0.82699999999999285</v>
      </c>
      <c r="F97" s="223">
        <f>F96</f>
        <v>-59.777999999999992</v>
      </c>
      <c r="G97" s="230"/>
    </row>
    <row r="98" spans="2:7">
      <c r="B98" s="62" t="s">
        <v>84</v>
      </c>
      <c r="C98" s="222"/>
      <c r="D98" s="222">
        <f>D70-C70</f>
        <v>0</v>
      </c>
      <c r="E98" s="222">
        <f t="shared" ref="E98:F98" si="25">E70-D70</f>
        <v>0</v>
      </c>
      <c r="F98" s="222">
        <f t="shared" si="25"/>
        <v>0</v>
      </c>
      <c r="G98" s="230"/>
    </row>
    <row r="99" spans="2:7">
      <c r="B99" s="62" t="s">
        <v>85</v>
      </c>
      <c r="C99" s="222"/>
      <c r="D99" s="222"/>
      <c r="E99" s="222">
        <f>-D72-D73+E72</f>
        <v>-26.11099999999999</v>
      </c>
      <c r="F99" s="222">
        <f>-E72-E73+F72</f>
        <v>-110.11200000000002</v>
      </c>
      <c r="G99" s="230"/>
    </row>
    <row r="100" spans="2:7">
      <c r="B100" s="62" t="s">
        <v>86</v>
      </c>
      <c r="C100" s="222"/>
      <c r="D100" s="222">
        <f>C65-D65</f>
        <v>0</v>
      </c>
      <c r="E100" s="222">
        <f>D65-E65</f>
        <v>0</v>
      </c>
      <c r="F100" s="222">
        <f>E65-F65</f>
        <v>0</v>
      </c>
      <c r="G100" s="230"/>
    </row>
    <row r="101" spans="2:7">
      <c r="B101" s="62" t="s">
        <v>87</v>
      </c>
      <c r="C101" s="222"/>
      <c r="D101" s="222">
        <f>C62-D62+C63-D63</f>
        <v>162.357</v>
      </c>
      <c r="E101" s="222">
        <f>D62-E62+D63-E63</f>
        <v>-19.501000000000033</v>
      </c>
      <c r="F101" s="222">
        <f>E62-F62+E63-F63</f>
        <v>-69.376999999999953</v>
      </c>
      <c r="G101" s="230"/>
    </row>
    <row r="102" spans="2:7">
      <c r="B102" s="62" t="s">
        <v>88</v>
      </c>
      <c r="C102" s="222"/>
      <c r="D102" s="222"/>
      <c r="E102" s="222"/>
      <c r="F102" s="222"/>
      <c r="G102" s="230"/>
    </row>
    <row r="103" spans="2:7">
      <c r="B103" s="62" t="s">
        <v>89</v>
      </c>
      <c r="C103" s="222"/>
      <c r="D103" s="222"/>
      <c r="E103" s="222"/>
      <c r="F103" s="222"/>
      <c r="G103" s="230"/>
    </row>
    <row r="104" spans="2:7">
      <c r="B104" s="63" t="s">
        <v>90</v>
      </c>
      <c r="C104" s="232"/>
      <c r="D104" s="232">
        <f>SUM(D98:D103)</f>
        <v>162.357</v>
      </c>
      <c r="E104" s="232">
        <f>SUM(E98:E103)</f>
        <v>-45.612000000000023</v>
      </c>
      <c r="F104" s="232">
        <f>SUM(F98:F103)</f>
        <v>-179.48899999999998</v>
      </c>
      <c r="G104" s="230"/>
    </row>
    <row r="105" spans="2:7">
      <c r="B105" s="62" t="s">
        <v>91</v>
      </c>
      <c r="C105" s="222"/>
      <c r="D105" s="222">
        <f>D74-C74</f>
        <v>0</v>
      </c>
      <c r="E105" s="222">
        <f>E74-D74</f>
        <v>0</v>
      </c>
      <c r="F105" s="222">
        <f>-(F58-E58)</f>
        <v>0</v>
      </c>
      <c r="G105" s="230"/>
    </row>
    <row r="106" spans="2:7" ht="15.75" thickBot="1">
      <c r="B106" s="56" t="s">
        <v>92</v>
      </c>
      <c r="C106" s="226"/>
      <c r="D106" s="226">
        <f>D97+D104+D105+D95</f>
        <v>-54.465999999999894</v>
      </c>
      <c r="E106" s="226">
        <f>E97+E104+E105+E95</f>
        <v>-147.84300000000016</v>
      </c>
      <c r="F106" s="226">
        <f>F97+F104+F105+F95</f>
        <v>205.13799999999944</v>
      </c>
      <c r="G106" s="230"/>
    </row>
    <row r="107" spans="2:7">
      <c r="B107" s="31" t="s">
        <v>93</v>
      </c>
      <c r="C107" s="233"/>
      <c r="D107" s="233">
        <f t="shared" ref="D107" si="26">C108</f>
        <v>323.73200000000003</v>
      </c>
      <c r="E107" s="233">
        <f>D108</f>
        <v>269.26600000000013</v>
      </c>
      <c r="F107" s="233">
        <f>E108</f>
        <v>121.42299999999997</v>
      </c>
      <c r="G107" s="230"/>
    </row>
    <row r="108" spans="2:7">
      <c r="B108" s="31" t="s">
        <v>94</v>
      </c>
      <c r="C108" s="233">
        <f>C59</f>
        <v>323.73200000000003</v>
      </c>
      <c r="D108" s="233">
        <f t="shared" ref="D108" si="27">SUM(D106:D107)</f>
        <v>269.26600000000013</v>
      </c>
      <c r="E108" s="233">
        <f>SUM(E106:E107)</f>
        <v>121.42299999999997</v>
      </c>
      <c r="F108" s="233">
        <f>SUM(F106:F107)</f>
        <v>326.56099999999941</v>
      </c>
      <c r="G108" s="230"/>
    </row>
    <row r="110" spans="2:7">
      <c r="C110" s="65"/>
      <c r="D110" s="65"/>
      <c r="E110" s="65"/>
      <c r="F110" s="65"/>
    </row>
  </sheetData>
  <conditionalFormatting sqref="C86:F86">
    <cfRule type="cellIs" dxfId="166" priority="1" operator="equal">
      <formula>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30E0-EC60-014D-99F6-37497F2D9F59}">
  <sheetPr codeName="Feuil31">
    <tabColor theme="9" tint="0.79998168889431442"/>
  </sheetPr>
  <dimension ref="B2:XFD67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4" sqref="A4"/>
      <selection pane="bottomRight" activeCell="M12" sqref="M12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 16384:16384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 16384:16384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/>
      <c r="H3" s="248">
        <v>45535</v>
      </c>
      <c r="I3" s="248">
        <v>45900</v>
      </c>
      <c r="J3" s="248">
        <v>46265</v>
      </c>
      <c r="K3" s="248">
        <v>46630</v>
      </c>
      <c r="L3" s="248">
        <v>46996</v>
      </c>
      <c r="M3" s="195"/>
    </row>
    <row r="4" spans="2:13 16384:16384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 16384:16384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 16384:16384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 16384:16384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 16384:16384">
      <c r="B8" s="151" t="s">
        <v>26</v>
      </c>
      <c r="C8" s="191"/>
      <c r="D8" s="191"/>
      <c r="E8" s="191"/>
      <c r="F8" s="191"/>
      <c r="G8" s="152"/>
      <c r="H8" s="191"/>
      <c r="I8" s="191">
        <f>'Profilyss - P&amp;L'!H117</f>
        <v>301858</v>
      </c>
      <c r="J8" s="191">
        <f>'Profilyss - P&amp;L'!I117</f>
        <v>354652</v>
      </c>
      <c r="K8" s="191">
        <f>'Profilyss - P&amp;L'!J117</f>
        <v>484296</v>
      </c>
      <c r="L8" s="191"/>
      <c r="M8" s="191"/>
    </row>
    <row r="9" spans="2:13 16384:16384">
      <c r="B9" s="148" t="s">
        <v>225</v>
      </c>
      <c r="C9" s="191"/>
      <c r="D9" s="191"/>
      <c r="E9" s="191"/>
      <c r="F9" s="191"/>
      <c r="G9" s="152"/>
      <c r="H9" s="191"/>
      <c r="I9" s="191"/>
      <c r="J9" s="191"/>
      <c r="K9" s="191"/>
      <c r="L9" s="191"/>
      <c r="M9" s="191"/>
    </row>
    <row r="10" spans="2:13 16384:16384">
      <c r="B10" s="148" t="s">
        <v>226</v>
      </c>
      <c r="C10" s="191"/>
      <c r="D10" s="191"/>
      <c r="E10" s="191"/>
      <c r="F10" s="191"/>
      <c r="G10" s="152"/>
      <c r="H10" s="191"/>
      <c r="I10" s="191">
        <f>'Profilyss - P&amp;L'!H132</f>
        <v>50000</v>
      </c>
      <c r="J10" s="191">
        <f>'Profilyss - P&amp;L'!I132</f>
        <v>50000</v>
      </c>
      <c r="K10" s="191">
        <f>'Profilyss - P&amp;L'!J132</f>
        <v>50000</v>
      </c>
      <c r="L10" s="191"/>
      <c r="M10" s="191"/>
    </row>
    <row r="11" spans="2:13 16384:16384">
      <c r="B11" s="148" t="s">
        <v>227</v>
      </c>
      <c r="C11" s="152"/>
      <c r="D11" s="152"/>
      <c r="E11" s="152"/>
      <c r="F11" s="152"/>
      <c r="G11" s="152"/>
      <c r="H11" s="152"/>
      <c r="I11" s="152">
        <f>'Profilyss - P&amp;L'!H139</f>
        <v>0</v>
      </c>
      <c r="J11" s="152">
        <f>'Profilyss - P&amp;L'!I139</f>
        <v>0</v>
      </c>
      <c r="K11" s="152">
        <f>'Profilyss - P&amp;L'!J139</f>
        <v>0</v>
      </c>
      <c r="L11" s="152"/>
      <c r="M11" s="191"/>
    </row>
    <row r="12" spans="2:13 16384:16384">
      <c r="B12" s="153" t="s">
        <v>228</v>
      </c>
      <c r="C12" s="154"/>
      <c r="D12" s="154"/>
      <c r="E12" s="154"/>
      <c r="F12" s="154"/>
      <c r="G12" s="154"/>
      <c r="H12" s="154"/>
      <c r="I12" s="154">
        <f>SUM(I8:I10)</f>
        <v>351858</v>
      </c>
      <c r="J12" s="154">
        <f>SUM(J8:J10)</f>
        <v>404652</v>
      </c>
      <c r="K12" s="154">
        <f>SUM(K8:K10)</f>
        <v>534296</v>
      </c>
      <c r="L12" s="154"/>
      <c r="M12" s="199"/>
    </row>
    <row r="13" spans="2:13 16384:16384">
      <c r="B13" s="148" t="s">
        <v>229</v>
      </c>
      <c r="C13" s="191"/>
      <c r="D13" s="191"/>
      <c r="E13" s="191"/>
      <c r="F13" s="191"/>
      <c r="G13" s="152"/>
      <c r="H13" s="191"/>
      <c r="I13" s="191">
        <f>-'Profilyss - P&amp;L'!H108</f>
        <v>190851</v>
      </c>
      <c r="J13" s="191">
        <f>-'Profilyss - P&amp;L'!I108</f>
        <v>190851</v>
      </c>
      <c r="K13" s="191">
        <f>-'Profilyss - P&amp;L'!J108</f>
        <v>190851</v>
      </c>
      <c r="L13" s="191"/>
      <c r="M13" s="191"/>
    </row>
    <row r="14" spans="2:13 16384:16384">
      <c r="B14" s="148" t="s">
        <v>230</v>
      </c>
      <c r="C14" s="191"/>
      <c r="D14" s="191"/>
      <c r="E14" s="191"/>
      <c r="F14" s="191"/>
      <c r="G14" s="152"/>
      <c r="H14" s="191"/>
      <c r="I14" s="191">
        <f>-'Profilyss - P&amp;L'!H132</f>
        <v>-50000</v>
      </c>
      <c r="J14" s="191">
        <f>-'Profilyss - P&amp;L'!I132</f>
        <v>-50000</v>
      </c>
      <c r="K14" s="191">
        <f>-'Profilyss - P&amp;L'!J132</f>
        <v>-50000</v>
      </c>
      <c r="L14" s="191"/>
      <c r="M14" s="191"/>
    </row>
    <row r="15" spans="2:13 16384:16384">
      <c r="B15" s="153" t="s">
        <v>231</v>
      </c>
      <c r="C15" s="154"/>
      <c r="D15" s="154"/>
      <c r="E15" s="154"/>
      <c r="F15" s="154"/>
      <c r="G15" s="154"/>
      <c r="H15" s="154"/>
      <c r="I15" s="154">
        <f>SUM(I16:I27)</f>
        <v>-389921</v>
      </c>
      <c r="J15" s="154">
        <f>SUM(J16:J27)</f>
        <v>-36478</v>
      </c>
      <c r="K15" s="154">
        <f>SUM(K16:K27)</f>
        <v>-46990</v>
      </c>
      <c r="L15" s="154"/>
      <c r="M15" s="199"/>
    </row>
    <row r="16" spans="2:13 16384:16384" s="145" customFormat="1" ht="15" hidden="1" outlineLevel="1">
      <c r="B16" s="155" t="s">
        <v>232</v>
      </c>
      <c r="C16" s="156"/>
      <c r="D16" s="156"/>
      <c r="E16" s="156"/>
      <c r="F16" s="156"/>
      <c r="G16" s="156"/>
      <c r="H16" s="156"/>
      <c r="I16" s="156">
        <f>-('Profilyss - Bilan'!I14-'Profilyss - Bilan'!H14)</f>
        <v>-342656</v>
      </c>
      <c r="J16" s="156">
        <f>-('Profilyss - Bilan'!J14-'Profilyss - Bilan'!I14)</f>
        <v>-27105</v>
      </c>
      <c r="K16" s="156">
        <f>-('Profilyss - Bilan'!K14-'Profilyss - Bilan'!J14)</f>
        <v>-36634</v>
      </c>
      <c r="L16" s="156"/>
      <c r="M16" s="200"/>
      <c r="XFD16" s="156"/>
    </row>
    <row r="17" spans="2:13 16384:16384" s="145" customFormat="1" ht="15" hidden="1" outlineLevel="1">
      <c r="B17" s="155" t="s">
        <v>233</v>
      </c>
      <c r="C17" s="156"/>
      <c r="D17" s="156"/>
      <c r="E17" s="156"/>
      <c r="F17" s="156"/>
      <c r="G17" s="156"/>
      <c r="H17" s="156"/>
      <c r="I17" s="156">
        <f>-('Profilyss - Bilan'!I15-'Profilyss - Bilan'!H15)</f>
        <v>0</v>
      </c>
      <c r="J17" s="156">
        <f>-('Profilyss - Bilan'!J15-'Profilyss - Bilan'!I15)</f>
        <v>0</v>
      </c>
      <c r="K17" s="156">
        <f>-('Profilyss - Bilan'!K15-'Profilyss - Bilan'!J15)</f>
        <v>0</v>
      </c>
      <c r="L17" s="156"/>
      <c r="M17" s="200"/>
      <c r="XFD17" s="156"/>
    </row>
    <row r="18" spans="2:13 16384:16384" s="145" customFormat="1" ht="15" hidden="1" outlineLevel="1">
      <c r="B18" s="155" t="s">
        <v>234</v>
      </c>
      <c r="C18" s="156"/>
      <c r="D18" s="156"/>
      <c r="E18" s="156"/>
      <c r="F18" s="156"/>
      <c r="G18" s="156"/>
      <c r="H18" s="156"/>
      <c r="I18" s="156">
        <f>-('Profilyss - Bilan'!I16-'Profilyss - Bilan'!H16)</f>
        <v>-229996</v>
      </c>
      <c r="J18" s="156">
        <f>-('Profilyss - Bilan'!J16-'Profilyss - Bilan'!I16)</f>
        <v>-23008</v>
      </c>
      <c r="K18" s="156">
        <f>-('Profilyss - Bilan'!K16-'Profilyss - Bilan'!J16)</f>
        <v>-25292</v>
      </c>
      <c r="L18" s="156"/>
      <c r="M18" s="200"/>
      <c r="XFD18" s="156"/>
    </row>
    <row r="19" spans="2:13 16384:16384" s="145" customFormat="1" ht="15" hidden="1" outlineLevel="1">
      <c r="B19" s="155" t="s">
        <v>235</v>
      </c>
      <c r="C19" s="156"/>
      <c r="D19" s="156"/>
      <c r="E19" s="156"/>
      <c r="F19" s="156"/>
      <c r="G19" s="156"/>
      <c r="H19" s="156"/>
      <c r="I19" s="156">
        <f>-('Profilyss - Bilan'!I17-'Profilyss - Bilan'!H17)</f>
        <v>0</v>
      </c>
      <c r="J19" s="156">
        <f>-('Profilyss - Bilan'!J17-'Profilyss - Bilan'!I17)</f>
        <v>0</v>
      </c>
      <c r="K19" s="156">
        <f>-('Profilyss - Bilan'!K17-'Profilyss - Bilan'!J17)</f>
        <v>0</v>
      </c>
      <c r="L19" s="156"/>
      <c r="M19" s="200"/>
      <c r="XFD19" s="156"/>
    </row>
    <row r="20" spans="2:13 16384:16384" s="145" customFormat="1" ht="15" hidden="1" outlineLevel="1">
      <c r="B20" s="155" t="s">
        <v>236</v>
      </c>
      <c r="C20" s="156"/>
      <c r="D20" s="156"/>
      <c r="E20" s="156"/>
      <c r="F20" s="156"/>
      <c r="G20" s="156"/>
      <c r="H20" s="156"/>
      <c r="I20" s="156">
        <f>-('Profilyss - Bilan'!I19-'Profilyss - Bilan'!F19)</f>
        <v>0</v>
      </c>
      <c r="J20" s="156">
        <f>-('Profilyss - Bilan'!J19-'Profilyss - Bilan'!G19)</f>
        <v>0</v>
      </c>
      <c r="K20" s="156">
        <f>-('Profilyss - Bilan'!K19-'Profilyss - Bilan'!H19)</f>
        <v>0</v>
      </c>
      <c r="L20" s="156"/>
      <c r="M20" s="200"/>
      <c r="XFD20" s="156"/>
    </row>
    <row r="21" spans="2:13 16384:16384" s="145" customFormat="1" ht="15" hidden="1" outlineLevel="1">
      <c r="B21" s="155" t="s">
        <v>237</v>
      </c>
      <c r="C21" s="156"/>
      <c r="D21" s="156"/>
      <c r="E21" s="156"/>
      <c r="F21" s="156"/>
      <c r="G21" s="156"/>
      <c r="H21" s="156"/>
      <c r="I21" s="156">
        <f>'Profilyss - Bilan'!I42-'Profilyss - Bilan'!H42</f>
        <v>0</v>
      </c>
      <c r="J21" s="156">
        <f>'Profilyss - Bilan'!J42-'Profilyss - Bilan'!I42</f>
        <v>0</v>
      </c>
      <c r="K21" s="156">
        <f>'Profilyss - Bilan'!K42-'Profilyss - Bilan'!J42</f>
        <v>0</v>
      </c>
      <c r="L21" s="156"/>
      <c r="M21" s="200"/>
      <c r="XFD21" s="156"/>
    </row>
    <row r="22" spans="2:13 16384:16384" s="145" customFormat="1" ht="15" hidden="1" outlineLevel="1">
      <c r="B22" s="155" t="s">
        <v>238</v>
      </c>
      <c r="C22" s="156"/>
      <c r="D22" s="156"/>
      <c r="E22" s="156"/>
      <c r="F22" s="156"/>
      <c r="G22" s="156"/>
      <c r="H22" s="156"/>
      <c r="I22" s="156">
        <f>'Profilyss - Bilan'!I43-'Profilyss - Bilan'!H43</f>
        <v>160546</v>
      </c>
      <c r="J22" s="156">
        <f>'Profilyss - Bilan'!J43-'Profilyss - Bilan'!I43</f>
        <v>11687</v>
      </c>
      <c r="K22" s="156">
        <f>'Profilyss - Bilan'!K43-'Profilyss - Bilan'!J43</f>
        <v>12791</v>
      </c>
      <c r="L22" s="156"/>
      <c r="M22" s="200"/>
      <c r="XFD22" s="156"/>
    </row>
    <row r="23" spans="2:13 16384:16384" s="145" customFormat="1" ht="15" hidden="1" outlineLevel="1">
      <c r="B23" s="155" t="s">
        <v>239</v>
      </c>
      <c r="C23" s="156"/>
      <c r="D23" s="156"/>
      <c r="E23" s="156"/>
      <c r="F23" s="156"/>
      <c r="G23" s="156"/>
      <c r="H23" s="156"/>
      <c r="I23" s="156">
        <f>'Profilyss - Bilan'!I44-'Profilyss - Bilan'!H44</f>
        <v>22185</v>
      </c>
      <c r="J23" s="156">
        <f>'Profilyss - Bilan'!J44-'Profilyss - Bilan'!I44</f>
        <v>1948</v>
      </c>
      <c r="K23" s="156">
        <f>'Profilyss - Bilan'!K44-'Profilyss - Bilan'!J44</f>
        <v>2145</v>
      </c>
      <c r="L23" s="156"/>
      <c r="M23" s="200"/>
      <c r="XFD23" s="156"/>
    </row>
    <row r="24" spans="2:13 16384:16384" s="145" customFormat="1" ht="15" hidden="1" outlineLevel="1">
      <c r="B24" s="155" t="s">
        <v>251</v>
      </c>
      <c r="C24" s="156"/>
      <c r="D24" s="156"/>
      <c r="E24" s="156"/>
      <c r="F24" s="156"/>
      <c r="G24" s="156"/>
      <c r="H24" s="156"/>
      <c r="I24" s="156">
        <f>'Profilyss - Bilan'!I45-'Profilyss - Bilan'!H45</f>
        <v>0</v>
      </c>
      <c r="J24" s="156">
        <f>'Profilyss - Bilan'!J45-'Profilyss - Bilan'!I45</f>
        <v>0</v>
      </c>
      <c r="K24" s="156">
        <f>'Profilyss - Bilan'!K45-'Profilyss - Bilan'!J45</f>
        <v>0</v>
      </c>
      <c r="L24" s="156"/>
      <c r="M24" s="200"/>
      <c r="XFD24" s="156"/>
    </row>
    <row r="25" spans="2:13 16384:16384" s="145" customFormat="1" ht="15" hidden="1" outlineLevel="1">
      <c r="B25" s="155" t="s">
        <v>240</v>
      </c>
      <c r="C25" s="200"/>
      <c r="D25" s="156"/>
      <c r="E25" s="156"/>
      <c r="F25" s="156"/>
      <c r="G25" s="156"/>
      <c r="H25" s="156"/>
      <c r="I25" s="156">
        <f>'Profilyss - Bilan'!I46-'Profilyss - Bilan'!H46</f>
        <v>0</v>
      </c>
      <c r="J25" s="156">
        <f>'Profilyss - Bilan'!J46-'Profilyss - Bilan'!I46</f>
        <v>0</v>
      </c>
      <c r="K25" s="156">
        <f>'Profilyss - Bilan'!K46-'Profilyss - Bilan'!J46</f>
        <v>0</v>
      </c>
      <c r="L25" s="156"/>
      <c r="M25" s="200"/>
      <c r="XFD25" s="156"/>
    </row>
    <row r="26" spans="2:13 16384:16384" s="145" customFormat="1" ht="15" hidden="1" outlineLevel="1">
      <c r="B26" s="157" t="s">
        <v>241</v>
      </c>
      <c r="C26" s="156"/>
      <c r="D26" s="156"/>
      <c r="E26" s="156"/>
      <c r="F26" s="156"/>
      <c r="G26" s="156"/>
      <c r="H26" s="156"/>
      <c r="I26" s="156">
        <f>'Profilyss - Bilan'!I47-'Profilyss - Bilan'!H47</f>
        <v>0</v>
      </c>
      <c r="J26" s="156">
        <f>'Profilyss - Bilan'!J47-'Profilyss - Bilan'!I47</f>
        <v>0</v>
      </c>
      <c r="K26" s="156">
        <f>'Profilyss - Bilan'!K47-'Profilyss - Bilan'!J47</f>
        <v>0</v>
      </c>
      <c r="L26" s="156"/>
      <c r="M26" s="200"/>
      <c r="XFD26" s="156"/>
    </row>
    <row r="27" spans="2:13 16384:16384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 16384:16384">
      <c r="B28" s="159" t="s">
        <v>242</v>
      </c>
      <c r="C28" s="160"/>
      <c r="D28" s="160">
        <f t="shared" ref="D28:F28" si="0">SUM(D12:D15)</f>
        <v>0</v>
      </c>
      <c r="E28" s="160">
        <f t="shared" si="0"/>
        <v>0</v>
      </c>
      <c r="F28" s="160">
        <f t="shared" si="0"/>
        <v>0</v>
      </c>
      <c r="G28" s="160"/>
      <c r="H28" s="160">
        <f t="shared" ref="H28:L28" si="1">SUM(H12:H15)</f>
        <v>0</v>
      </c>
      <c r="I28" s="160">
        <f t="shared" si="1"/>
        <v>102788</v>
      </c>
      <c r="J28" s="160">
        <f t="shared" si="1"/>
        <v>509025</v>
      </c>
      <c r="K28" s="160">
        <f t="shared" si="1"/>
        <v>628157</v>
      </c>
      <c r="L28" s="160">
        <f t="shared" si="1"/>
        <v>0</v>
      </c>
      <c r="M28" s="202"/>
    </row>
    <row r="29" spans="2:13 16384:16384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 16384:16384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 16384:16384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 16384:16384">
      <c r="B32" s="151" t="s">
        <v>196</v>
      </c>
      <c r="C32" s="158"/>
      <c r="D32" s="158"/>
      <c r="E32" s="158"/>
      <c r="F32" s="158"/>
      <c r="G32" s="158"/>
      <c r="H32" s="158"/>
      <c r="I32" s="158">
        <v>-2257226</v>
      </c>
      <c r="J32" s="158"/>
      <c r="K32" s="158"/>
      <c r="L32" s="158"/>
      <c r="M32" s="201"/>
    </row>
    <row r="33" spans="2:17">
      <c r="B33" s="151" t="s">
        <v>197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0</v>
      </c>
      <c r="E35" s="160">
        <f>SUM(E31:E34)</f>
        <v>0</v>
      </c>
      <c r="F35" s="160">
        <f>SUM(F31:F34)</f>
        <v>0</v>
      </c>
      <c r="G35" s="160"/>
      <c r="H35" s="160">
        <f t="shared" ref="H35:L35" si="2">SUM(H31:H33)</f>
        <v>0</v>
      </c>
      <c r="I35" s="160">
        <f t="shared" si="2"/>
        <v>-2257226</v>
      </c>
      <c r="J35" s="160">
        <f t="shared" si="2"/>
        <v>0</v>
      </c>
      <c r="K35" s="160">
        <f t="shared" si="2"/>
        <v>0</v>
      </c>
      <c r="L35" s="160">
        <f t="shared" si="2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SUM(D39:D39)</f>
        <v>0</v>
      </c>
      <c r="E38" s="205">
        <f>SUM(E39:E39)</f>
        <v>0</v>
      </c>
      <c r="F38" s="205">
        <f>SUM(F39:F39)</f>
        <v>0</v>
      </c>
      <c r="G38" s="134"/>
      <c r="H38" s="205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 s="137" customFormat="1" ht="12.75" hidden="1" outlineLevel="1">
      <c r="B39" s="164"/>
      <c r="C39" s="206"/>
      <c r="D39" s="206"/>
      <c r="E39" s="206"/>
      <c r="F39" s="206"/>
      <c r="G39" s="133"/>
      <c r="H39" s="206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collapsed="1">
      <c r="B40" s="161" t="s">
        <v>28</v>
      </c>
      <c r="C40" s="205"/>
      <c r="D40" s="205">
        <f>SUM(D41:D41)</f>
        <v>0</v>
      </c>
      <c r="E40" s="205">
        <f>SUM(E41:E41)</f>
        <v>0</v>
      </c>
      <c r="F40" s="205">
        <f>SUM(F41:F41)</f>
        <v>0</v>
      </c>
      <c r="G40" s="134"/>
      <c r="H40" s="205"/>
      <c r="I40" s="205">
        <f>'Profilyss - P&amp;L'!H119</f>
        <v>-73717</v>
      </c>
      <c r="J40" s="205">
        <f>'Profilyss - P&amp;L'!I119</f>
        <v>-65148</v>
      </c>
      <c r="K40" s="205">
        <f>'Profilyss - P&amp;L'!J119</f>
        <v>-56247</v>
      </c>
      <c r="L40" s="205"/>
      <c r="M40" s="205"/>
      <c r="N40" s="134"/>
      <c r="O40" s="134"/>
      <c r="P40" s="134"/>
      <c r="Q40" s="134"/>
    </row>
    <row r="41" spans="2:17" s="137" customFormat="1" ht="12.75" hidden="1" outlineLevel="1">
      <c r="B41" s="164"/>
      <c r="C41" s="206"/>
      <c r="D41" s="206"/>
      <c r="E41" s="206"/>
      <c r="F41" s="206"/>
      <c r="G41" s="133"/>
      <c r="H41" s="206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collapsed="1">
      <c r="B42" s="161" t="s">
        <v>213</v>
      </c>
      <c r="C42" s="152"/>
      <c r="D42" s="152">
        <f>SUM(D43:D43)</f>
        <v>0</v>
      </c>
      <c r="E42" s="152">
        <f>SUM(E43:E43)</f>
        <v>0</v>
      </c>
      <c r="F42" s="152">
        <f>SUM(F43:F43)</f>
        <v>0</v>
      </c>
      <c r="G42" s="152"/>
      <c r="H42" s="152"/>
      <c r="I42" s="152">
        <f>'Profilyss - Bilan'!I37-'Profilyss - Bilan'!H37</f>
        <v>1970469</v>
      </c>
      <c r="J42" s="152">
        <f>'Profilyss - Bilan'!J37-'Profilyss - Bilan'!I37</f>
        <v>-238100</v>
      </c>
      <c r="K42" s="152">
        <f>'Profilyss - Bilan'!K37-'Profilyss - Bilan'!J37</f>
        <v>-247001</v>
      </c>
      <c r="L42" s="152"/>
      <c r="M42" s="205"/>
      <c r="N42" s="134"/>
      <c r="O42" s="134"/>
      <c r="P42" s="134"/>
      <c r="Q42" s="134"/>
    </row>
    <row r="43" spans="2:17" s="137" customFormat="1" ht="12.75" hidden="1" outlineLevel="1">
      <c r="B43" s="165"/>
      <c r="C43" s="206"/>
      <c r="D43" s="206"/>
      <c r="E43" s="206"/>
      <c r="F43" s="206"/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collapsed="1">
      <c r="B44" s="161" t="s">
        <v>214</v>
      </c>
      <c r="C44" s="152"/>
      <c r="D44" s="152">
        <f>SUM(D45:D45)</f>
        <v>0</v>
      </c>
      <c r="E44" s="152">
        <f>SUM(E45:E45)</f>
        <v>0</v>
      </c>
      <c r="F44" s="152">
        <f>SUM(F45:F45)</f>
        <v>0</v>
      </c>
      <c r="G44" s="152"/>
      <c r="H44" s="152">
        <v>0</v>
      </c>
      <c r="I44" s="152">
        <f>'Probois 43 - Bilan'!I43</f>
        <v>0</v>
      </c>
      <c r="J44" s="152">
        <f>'Probois 43 - Bilan'!J43</f>
        <v>0</v>
      </c>
      <c r="K44" s="152">
        <f>'Probois 43 - Bilan'!K43</f>
        <v>0</v>
      </c>
      <c r="L44" s="152">
        <f>'Probois 43 - Bilan'!L43</f>
        <v>0</v>
      </c>
      <c r="M44" s="205"/>
      <c r="N44" s="134"/>
      <c r="O44" s="134"/>
      <c r="P44" s="134"/>
      <c r="Q44" s="134"/>
    </row>
    <row r="45" spans="2:17" s="137" customFormat="1" ht="12.75" hidden="1" outlineLevel="1">
      <c r="B45" s="164"/>
      <c r="C45" s="206"/>
      <c r="D45" s="206"/>
      <c r="E45" s="206"/>
      <c r="F45" s="206"/>
      <c r="G45" s="133"/>
      <c r="H45" s="206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collapsed="1">
      <c r="B46" s="161" t="s">
        <v>162</v>
      </c>
      <c r="C46" s="134"/>
      <c r="D46" s="134"/>
      <c r="E46" s="134"/>
      <c r="F46" s="134"/>
      <c r="G46" s="134"/>
      <c r="H46" s="134">
        <f>'Probois 43 - Bilan'!F30</f>
        <v>0</v>
      </c>
      <c r="I46" s="134">
        <v>600000</v>
      </c>
      <c r="J46" s="134">
        <f>'Probois 43 - Bilan'!I30</f>
        <v>0</v>
      </c>
      <c r="K46" s="134">
        <f>'Probois 43 - Bilan'!J30</f>
        <v>0</v>
      </c>
      <c r="L46" s="134">
        <f>'Probois 43 - Bilan'!K30</f>
        <v>0</v>
      </c>
      <c r="M46" s="205"/>
      <c r="N46" s="134"/>
      <c r="O46" s="134"/>
      <c r="P46" s="134"/>
      <c r="Q46" s="134"/>
    </row>
    <row r="47" spans="2:17" s="137" customFormat="1" ht="12.75" hidden="1" outlineLevel="1">
      <c r="B47" s="162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207"/>
      <c r="N47" s="138"/>
      <c r="O47" s="138"/>
      <c r="P47" s="138"/>
      <c r="Q47" s="138"/>
    </row>
    <row r="48" spans="2:17" s="137" customFormat="1" collapsed="1">
      <c r="B48" s="161" t="s">
        <v>263</v>
      </c>
      <c r="C48" s="134"/>
      <c r="D48" s="134"/>
      <c r="E48" s="134"/>
      <c r="F48" s="134"/>
      <c r="G48" s="134"/>
      <c r="H48" s="134"/>
      <c r="I48" s="134">
        <v>0</v>
      </c>
      <c r="J48" s="134">
        <f>+'Probois 43 - Bilan'!J28-('Probois 43 - Bilan'!I28+'Probois 43 - Bilan'!I29)</f>
        <v>0</v>
      </c>
      <c r="K48" s="134">
        <f>+'Probois 43 - Bilan'!K28-('Probois 43 - Bilan'!J28+'Probois 43 - Bilan'!J29)</f>
        <v>0</v>
      </c>
      <c r="L48" s="134">
        <f>+'Probois 43 - Bilan'!L28-('Probois 43 - Bilan'!K28+'Probois 43 - Bilan'!K29)</f>
        <v>0</v>
      </c>
      <c r="M48" s="207"/>
      <c r="N48" s="138"/>
      <c r="O48" s="138"/>
      <c r="P48" s="138"/>
      <c r="Q48" s="138"/>
    </row>
    <row r="49" spans="2:17" s="137" customFormat="1" ht="12.75" hidden="1" outlineLevel="1">
      <c r="B49" s="162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207"/>
      <c r="N49" s="138"/>
      <c r="O49" s="138"/>
      <c r="P49" s="138"/>
      <c r="Q49" s="138"/>
    </row>
    <row r="50" spans="2:17" collapsed="1">
      <c r="B50" s="161" t="s">
        <v>252</v>
      </c>
      <c r="C50" s="205"/>
      <c r="D50" s="205">
        <f>'SC des SUCS - Bilan'!D26-'SC des SUCS - Bilan'!C26</f>
        <v>0</v>
      </c>
      <c r="E50" s="205"/>
      <c r="F50" s="205">
        <f>'SC des SUCS - Bilan'!F26-'SC des SUCS - Bilan'!E26</f>
        <v>0</v>
      </c>
      <c r="G50" s="134"/>
      <c r="H50" s="205">
        <f t="shared" ref="H50:J50" si="3">SUM(H51:H52)</f>
        <v>0</v>
      </c>
      <c r="I50" s="134">
        <v>50000</v>
      </c>
      <c r="J50" s="134">
        <f t="shared" si="3"/>
        <v>0</v>
      </c>
      <c r="K50" s="134">
        <f t="shared" ref="K50:L50" si="4">SUM(K51:K52)</f>
        <v>0</v>
      </c>
      <c r="L50" s="134">
        <f t="shared" si="4"/>
        <v>0</v>
      </c>
      <c r="M50" s="205"/>
      <c r="N50" s="134"/>
      <c r="O50" s="134"/>
      <c r="P50" s="134"/>
      <c r="Q50" s="134"/>
    </row>
    <row r="51" spans="2:17" s="137" customFormat="1" ht="12.75" hidden="1" outlineLevel="1">
      <c r="B51" s="166" t="s">
        <v>101</v>
      </c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207"/>
      <c r="N51" s="138"/>
      <c r="O51" s="138"/>
      <c r="P51" s="138"/>
      <c r="Q51" s="138"/>
    </row>
    <row r="52" spans="2:17" s="137" customFormat="1" ht="12.75" hidden="1" outlineLevel="1">
      <c r="B52" s="166" t="s">
        <v>253</v>
      </c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207"/>
      <c r="N52" s="138"/>
      <c r="O52" s="138"/>
      <c r="P52" s="138"/>
      <c r="Q52" s="138"/>
    </row>
    <row r="53" spans="2:17" s="137" customFormat="1" ht="12.75" collapsed="1">
      <c r="B53" s="162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207"/>
      <c r="N53" s="138"/>
      <c r="O53" s="138"/>
      <c r="P53" s="138"/>
      <c r="Q53" s="138"/>
    </row>
    <row r="54" spans="2:17">
      <c r="B54" s="159" t="s">
        <v>246</v>
      </c>
      <c r="C54" s="208"/>
      <c r="D54" s="208">
        <f>D38+D40+D42+D44+D46+D48+D50</f>
        <v>0</v>
      </c>
      <c r="E54" s="208">
        <f>E38+E40+E42+E44+E46+E48+E50</f>
        <v>0</v>
      </c>
      <c r="F54" s="208">
        <f>F38+F40+F42+F44+F46+F48+F50</f>
        <v>0</v>
      </c>
      <c r="G54" s="221"/>
      <c r="H54" s="208">
        <f>H38+H40+H42+H44+H46+H48+H50</f>
        <v>0</v>
      </c>
      <c r="I54" s="208">
        <f>I38+I40+I42+I44+I46+I48+I50</f>
        <v>2546752</v>
      </c>
      <c r="J54" s="208">
        <f>J38+J40+J42+J44+J46+J48+J50</f>
        <v>-303248</v>
      </c>
      <c r="K54" s="208">
        <f>K38+K40+K42+K44+K46+K48+K50</f>
        <v>-303248</v>
      </c>
      <c r="L54" s="208">
        <f>L38+L40+L42+L44+L46+L48+L50</f>
        <v>0</v>
      </c>
      <c r="M54" s="208"/>
    </row>
    <row r="55" spans="2:17">
      <c r="B55" s="163"/>
      <c r="C55" s="163"/>
      <c r="D55" s="163"/>
      <c r="E55" s="163"/>
      <c r="F55" s="163"/>
      <c r="G55" s="151"/>
      <c r="H55" s="163"/>
      <c r="I55" s="163"/>
      <c r="J55" s="163"/>
      <c r="K55" s="163"/>
      <c r="L55" s="163"/>
      <c r="M55" s="203"/>
    </row>
    <row r="56" spans="2:17">
      <c r="B56" s="162" t="s">
        <v>247</v>
      </c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207"/>
    </row>
    <row r="57" spans="2:17">
      <c r="B57" s="159" t="s">
        <v>248</v>
      </c>
      <c r="C57" s="160"/>
      <c r="D57" s="160">
        <f>D54+D56+D35+D28</f>
        <v>0</v>
      </c>
      <c r="E57" s="160">
        <f>E54+E56+E35+E28</f>
        <v>0</v>
      </c>
      <c r="F57" s="160">
        <f>F54+F56+F35+F28</f>
        <v>0</v>
      </c>
      <c r="G57" s="160"/>
      <c r="H57" s="160">
        <f>H54+H56+H35+H28</f>
        <v>0</v>
      </c>
      <c r="I57" s="160">
        <f>I54+I56+I35+I28</f>
        <v>392314</v>
      </c>
      <c r="J57" s="160">
        <f>J54+J56+J35+J28</f>
        <v>205777</v>
      </c>
      <c r="K57" s="160">
        <f>K54+K56+K35+K28</f>
        <v>324909</v>
      </c>
      <c r="L57" s="160">
        <f>L54+L56+L35+L28</f>
        <v>0</v>
      </c>
      <c r="M57" s="202"/>
    </row>
    <row r="58" spans="2:17">
      <c r="B58" s="151"/>
      <c r="C58" s="151"/>
      <c r="D58" s="151"/>
      <c r="E58" s="151"/>
      <c r="F58" s="151"/>
      <c r="G58" s="151"/>
      <c r="H58" s="151"/>
      <c r="I58" s="151"/>
      <c r="J58" s="151"/>
      <c r="K58" s="151"/>
      <c r="L58" s="151"/>
      <c r="M58" s="203"/>
    </row>
    <row r="59" spans="2:17">
      <c r="B59" s="151" t="s">
        <v>249</v>
      </c>
      <c r="C59" s="152"/>
      <c r="D59" s="152">
        <f>C60</f>
        <v>0</v>
      </c>
      <c r="E59" s="152">
        <f>D60</f>
        <v>0</v>
      </c>
      <c r="F59" s="152">
        <f t="shared" ref="F59:L59" si="5">E60</f>
        <v>0</v>
      </c>
      <c r="G59" s="152"/>
      <c r="H59" s="152">
        <f>F60</f>
        <v>0</v>
      </c>
      <c r="I59" s="152">
        <f t="shared" si="5"/>
        <v>0</v>
      </c>
      <c r="J59" s="152">
        <f t="shared" si="5"/>
        <v>392314</v>
      </c>
      <c r="K59" s="152">
        <f t="shared" si="5"/>
        <v>598091</v>
      </c>
      <c r="L59" s="152">
        <f t="shared" si="5"/>
        <v>923000</v>
      </c>
      <c r="M59" s="191"/>
    </row>
    <row r="60" spans="2:17">
      <c r="B60" s="159" t="s">
        <v>250</v>
      </c>
      <c r="C60" s="160">
        <v>0</v>
      </c>
      <c r="D60" s="160">
        <f t="shared" ref="D60:F60" si="6">D57+D59</f>
        <v>0</v>
      </c>
      <c r="E60" s="160">
        <f t="shared" si="6"/>
        <v>0</v>
      </c>
      <c r="F60" s="160">
        <f t="shared" si="6"/>
        <v>0</v>
      </c>
      <c r="G60" s="160"/>
      <c r="H60" s="160">
        <f>H57+H59</f>
        <v>0</v>
      </c>
      <c r="I60" s="160">
        <f t="shared" ref="I60:L60" si="7">I57+I59</f>
        <v>392314</v>
      </c>
      <c r="J60" s="160">
        <f t="shared" si="7"/>
        <v>598091</v>
      </c>
      <c r="K60" s="160">
        <f t="shared" si="7"/>
        <v>923000</v>
      </c>
      <c r="L60" s="160">
        <f t="shared" si="7"/>
        <v>923000</v>
      </c>
      <c r="M60" s="202"/>
    </row>
    <row r="61" spans="2:17">
      <c r="B61" s="159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205"/>
    </row>
    <row r="62" spans="2:17">
      <c r="B62" s="168" t="s">
        <v>221</v>
      </c>
      <c r="C62" s="167"/>
      <c r="D62" s="167" t="str">
        <f>IF(ABS(D60-'Profilyss - Bilan'!D18)&lt;0.1,"Validé","Erreur")</f>
        <v>Validé</v>
      </c>
      <c r="E62" s="167" t="str">
        <f>IF(ABS(E60-'Profilyss - Bilan'!E18)&lt;0.1,"Validé","Erreur")</f>
        <v>Validé</v>
      </c>
      <c r="F62" s="167" t="str">
        <f>IF(ABS(F60-'Profilyss - Bilan'!F18)&lt;0.1,"Validé","Erreur")</f>
        <v>Validé</v>
      </c>
      <c r="G62" s="167"/>
      <c r="H62" s="167" t="str">
        <f>IF(ABS(H60-'Profilyss - Bilan'!H18)&lt;0.1,"Validé","Erreur")</f>
        <v>Validé</v>
      </c>
      <c r="I62" s="167" t="str">
        <f>IF(ABS(I60-'Profilyss - Bilan'!I18)&lt;0.1,"Validé","Erreur")</f>
        <v>Validé</v>
      </c>
      <c r="J62" s="167" t="str">
        <f>IF(ABS(J60-'Profilyss - Bilan'!J18)&lt;0.1,"Validé","Erreur")</f>
        <v>Validé</v>
      </c>
      <c r="K62" s="167" t="str">
        <f>IF(ABS(K60-'Profilyss - Bilan'!K18)&lt;0.1,"Validé","Erreur")</f>
        <v>Validé</v>
      </c>
      <c r="L62" s="167" t="str">
        <f>IF(ABS(L60-'Profilyss - Bilan'!L18)&lt;0.1,"Validé","Erreur")</f>
        <v>Erreur</v>
      </c>
      <c r="M62" s="209"/>
    </row>
    <row r="63" spans="2:17">
      <c r="C63" s="151"/>
      <c r="D63" s="151"/>
      <c r="E63" s="151"/>
      <c r="F63" s="151"/>
      <c r="G63" s="151"/>
      <c r="H63" s="151"/>
    </row>
    <row r="64" spans="2:17">
      <c r="C64" s="134"/>
      <c r="D64" s="134"/>
      <c r="E64" s="134"/>
      <c r="F64" s="134"/>
      <c r="G64" s="134"/>
      <c r="H64" s="134"/>
      <c r="I64" s="134"/>
      <c r="J64" s="134"/>
      <c r="K64" s="134"/>
    </row>
    <row r="65" spans="2:16384">
      <c r="C65" s="136"/>
      <c r="D65" s="136"/>
      <c r="E65" s="136"/>
      <c r="F65" s="136"/>
      <c r="G65" s="136"/>
      <c r="H65" s="136"/>
      <c r="I65" s="136"/>
      <c r="J65" s="136"/>
      <c r="K65" s="136"/>
      <c r="L65" s="136"/>
    </row>
    <row r="66" spans="2:16384" s="210" customFormat="1">
      <c r="B66" s="122"/>
      <c r="C66" s="134"/>
      <c r="D66" s="134"/>
      <c r="E66" s="134"/>
      <c r="F66" s="134"/>
      <c r="G66" s="134"/>
      <c r="H66" s="134"/>
      <c r="I66" s="134"/>
      <c r="J66" s="134"/>
      <c r="K66" s="134"/>
      <c r="L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  <c r="CJ66" s="122"/>
      <c r="CK66" s="122"/>
      <c r="CL66" s="122"/>
      <c r="CM66" s="122"/>
      <c r="CN66" s="122"/>
      <c r="CO66" s="122"/>
      <c r="CP66" s="122"/>
      <c r="CQ66" s="122"/>
      <c r="CR66" s="122"/>
      <c r="CS66" s="122"/>
      <c r="CT66" s="122"/>
      <c r="CU66" s="122"/>
      <c r="CV66" s="122"/>
      <c r="CW66" s="122"/>
      <c r="CX66" s="122"/>
      <c r="CY66" s="122"/>
      <c r="CZ66" s="122"/>
      <c r="DA66" s="122"/>
      <c r="DB66" s="122"/>
      <c r="DC66" s="122"/>
      <c r="DD66" s="122"/>
      <c r="DE66" s="122"/>
      <c r="DF66" s="122"/>
      <c r="DG66" s="122"/>
      <c r="DH66" s="122"/>
      <c r="DI66" s="122"/>
      <c r="DJ66" s="122"/>
      <c r="DK66" s="122"/>
      <c r="DL66" s="122"/>
      <c r="DM66" s="122"/>
      <c r="DN66" s="122"/>
      <c r="DO66" s="122"/>
      <c r="DP66" s="122"/>
      <c r="DQ66" s="122"/>
      <c r="DR66" s="122"/>
      <c r="DS66" s="122"/>
      <c r="DT66" s="122"/>
      <c r="DU66" s="122"/>
      <c r="DV66" s="122"/>
      <c r="DW66" s="122"/>
      <c r="DX66" s="122"/>
      <c r="DY66" s="122"/>
      <c r="DZ66" s="122"/>
      <c r="EA66" s="122"/>
      <c r="EB66" s="122"/>
      <c r="EC66" s="122"/>
      <c r="ED66" s="122"/>
      <c r="EE66" s="122"/>
      <c r="EF66" s="122"/>
      <c r="EG66" s="122"/>
      <c r="EH66" s="122"/>
      <c r="EI66" s="122"/>
      <c r="EJ66" s="122"/>
      <c r="EK66" s="122"/>
      <c r="EL66" s="122"/>
      <c r="EM66" s="122"/>
      <c r="EN66" s="122"/>
      <c r="EO66" s="122"/>
      <c r="EP66" s="122"/>
      <c r="EQ66" s="122"/>
      <c r="ER66" s="122"/>
      <c r="ES66" s="122"/>
      <c r="ET66" s="122"/>
      <c r="EU66" s="122"/>
      <c r="EV66" s="122"/>
      <c r="EW66" s="122"/>
      <c r="EX66" s="122"/>
      <c r="EY66" s="122"/>
      <c r="EZ66" s="122"/>
      <c r="FA66" s="122"/>
      <c r="FB66" s="122"/>
      <c r="FC66" s="122"/>
      <c r="FD66" s="122"/>
      <c r="FE66" s="122"/>
      <c r="FF66" s="122"/>
      <c r="FG66" s="122"/>
      <c r="FH66" s="122"/>
      <c r="FI66" s="122"/>
      <c r="FJ66" s="122"/>
      <c r="FK66" s="122"/>
      <c r="FL66" s="122"/>
      <c r="FM66" s="122"/>
      <c r="FN66" s="122"/>
      <c r="FO66" s="122"/>
      <c r="FP66" s="122"/>
      <c r="FQ66" s="122"/>
      <c r="FR66" s="122"/>
      <c r="FS66" s="122"/>
      <c r="FT66" s="122"/>
      <c r="FU66" s="122"/>
      <c r="FV66" s="122"/>
      <c r="FW66" s="122"/>
      <c r="FX66" s="122"/>
      <c r="FY66" s="122"/>
      <c r="FZ66" s="122"/>
      <c r="GA66" s="122"/>
      <c r="GB66" s="122"/>
      <c r="GC66" s="122"/>
      <c r="GD66" s="122"/>
      <c r="GE66" s="122"/>
      <c r="GF66" s="122"/>
      <c r="GG66" s="122"/>
      <c r="GH66" s="122"/>
      <c r="GI66" s="122"/>
      <c r="GJ66" s="122"/>
      <c r="GK66" s="122"/>
      <c r="GL66" s="122"/>
      <c r="GM66" s="122"/>
      <c r="GN66" s="122"/>
      <c r="GO66" s="122"/>
      <c r="GP66" s="122"/>
      <c r="GQ66" s="122"/>
      <c r="GR66" s="122"/>
      <c r="GS66" s="122"/>
      <c r="GT66" s="122"/>
      <c r="GU66" s="122"/>
      <c r="GV66" s="122"/>
      <c r="GW66" s="122"/>
      <c r="GX66" s="122"/>
      <c r="GY66" s="122"/>
      <c r="GZ66" s="122"/>
      <c r="HA66" s="122"/>
      <c r="HB66" s="122"/>
      <c r="HC66" s="122"/>
      <c r="HD66" s="122"/>
      <c r="HE66" s="122"/>
      <c r="HF66" s="122"/>
      <c r="HG66" s="122"/>
      <c r="HH66" s="122"/>
      <c r="HI66" s="122"/>
      <c r="HJ66" s="122"/>
      <c r="HK66" s="122"/>
      <c r="HL66" s="122"/>
      <c r="HM66" s="122"/>
      <c r="HN66" s="122"/>
      <c r="HO66" s="122"/>
      <c r="HP66" s="122"/>
      <c r="HQ66" s="122"/>
      <c r="HR66" s="122"/>
      <c r="HS66" s="122"/>
      <c r="HT66" s="122"/>
      <c r="HU66" s="122"/>
      <c r="HV66" s="122"/>
      <c r="HW66" s="122"/>
      <c r="HX66" s="122"/>
      <c r="HY66" s="122"/>
      <c r="HZ66" s="122"/>
      <c r="IA66" s="122"/>
      <c r="IB66" s="122"/>
      <c r="IC66" s="122"/>
      <c r="ID66" s="122"/>
      <c r="IE66" s="122"/>
      <c r="IF66" s="122"/>
      <c r="IG66" s="122"/>
      <c r="IH66" s="122"/>
      <c r="II66" s="122"/>
      <c r="IJ66" s="122"/>
      <c r="IK66" s="122"/>
      <c r="IL66" s="122"/>
      <c r="IM66" s="122"/>
      <c r="IN66" s="122"/>
      <c r="IO66" s="122"/>
      <c r="IP66" s="122"/>
      <c r="IQ66" s="122"/>
      <c r="IR66" s="122"/>
      <c r="IS66" s="122"/>
      <c r="IT66" s="122"/>
      <c r="IU66" s="122"/>
      <c r="IV66" s="122"/>
      <c r="IW66" s="122"/>
      <c r="IX66" s="122"/>
      <c r="IY66" s="122"/>
      <c r="IZ66" s="122"/>
      <c r="JA66" s="122"/>
      <c r="JB66" s="122"/>
      <c r="JC66" s="122"/>
      <c r="JD66" s="122"/>
      <c r="JE66" s="122"/>
      <c r="JF66" s="122"/>
      <c r="JG66" s="122"/>
      <c r="JH66" s="122"/>
      <c r="JI66" s="122"/>
      <c r="JJ66" s="122"/>
      <c r="JK66" s="122"/>
      <c r="JL66" s="122"/>
      <c r="JM66" s="122"/>
      <c r="JN66" s="122"/>
      <c r="JO66" s="122"/>
      <c r="JP66" s="122"/>
      <c r="JQ66" s="122"/>
      <c r="JR66" s="122"/>
      <c r="JS66" s="122"/>
      <c r="JT66" s="122"/>
      <c r="JU66" s="122"/>
      <c r="JV66" s="122"/>
      <c r="JW66" s="122"/>
      <c r="JX66" s="122"/>
      <c r="JY66" s="122"/>
      <c r="JZ66" s="122"/>
      <c r="KA66" s="122"/>
      <c r="KB66" s="122"/>
      <c r="KC66" s="122"/>
      <c r="KD66" s="122"/>
      <c r="KE66" s="122"/>
      <c r="KF66" s="122"/>
      <c r="KG66" s="122"/>
      <c r="KH66" s="122"/>
      <c r="KI66" s="122"/>
      <c r="KJ66" s="122"/>
      <c r="KK66" s="122"/>
      <c r="KL66" s="122"/>
      <c r="KM66" s="122"/>
      <c r="KN66" s="122"/>
      <c r="KO66" s="122"/>
      <c r="KP66" s="122"/>
      <c r="KQ66" s="122"/>
      <c r="KR66" s="122"/>
      <c r="KS66" s="122"/>
      <c r="KT66" s="122"/>
      <c r="KU66" s="122"/>
      <c r="KV66" s="122"/>
      <c r="KW66" s="122"/>
      <c r="KX66" s="122"/>
      <c r="KY66" s="122"/>
      <c r="KZ66" s="122"/>
      <c r="LA66" s="122"/>
      <c r="LB66" s="122"/>
      <c r="LC66" s="122"/>
      <c r="LD66" s="122"/>
      <c r="LE66" s="122"/>
      <c r="LF66" s="122"/>
      <c r="LG66" s="122"/>
      <c r="LH66" s="122"/>
      <c r="LI66" s="122"/>
      <c r="LJ66" s="122"/>
      <c r="LK66" s="122"/>
      <c r="LL66" s="122"/>
      <c r="LM66" s="122"/>
      <c r="LN66" s="122"/>
      <c r="LO66" s="122"/>
      <c r="LP66" s="122"/>
      <c r="LQ66" s="122"/>
      <c r="LR66" s="122"/>
      <c r="LS66" s="122"/>
      <c r="LT66" s="122"/>
      <c r="LU66" s="122"/>
      <c r="LV66" s="122"/>
      <c r="LW66" s="122"/>
      <c r="LX66" s="122"/>
      <c r="LY66" s="122"/>
      <c r="LZ66" s="122"/>
      <c r="MA66" s="122"/>
      <c r="MB66" s="122"/>
      <c r="MC66" s="122"/>
      <c r="MD66" s="122"/>
      <c r="ME66" s="122"/>
      <c r="MF66" s="122"/>
      <c r="MG66" s="122"/>
      <c r="MH66" s="122"/>
      <c r="MI66" s="122"/>
      <c r="MJ66" s="122"/>
      <c r="MK66" s="122"/>
      <c r="ML66" s="122"/>
      <c r="MM66" s="122"/>
      <c r="MN66" s="122"/>
      <c r="MO66" s="122"/>
      <c r="MP66" s="122"/>
      <c r="MQ66" s="122"/>
      <c r="MR66" s="122"/>
      <c r="MS66" s="122"/>
      <c r="MT66" s="122"/>
      <c r="MU66" s="122"/>
      <c r="MV66" s="122"/>
      <c r="MW66" s="122"/>
      <c r="MX66" s="122"/>
      <c r="MY66" s="122"/>
      <c r="MZ66" s="122"/>
      <c r="NA66" s="122"/>
      <c r="NB66" s="122"/>
      <c r="NC66" s="122"/>
      <c r="ND66" s="122"/>
      <c r="NE66" s="122"/>
      <c r="NF66" s="122"/>
      <c r="NG66" s="122"/>
      <c r="NH66" s="122"/>
      <c r="NI66" s="122"/>
      <c r="NJ66" s="122"/>
      <c r="NK66" s="122"/>
      <c r="NL66" s="122"/>
      <c r="NM66" s="122"/>
      <c r="NN66" s="122"/>
      <c r="NO66" s="122"/>
      <c r="NP66" s="122"/>
      <c r="NQ66" s="122"/>
      <c r="NR66" s="122"/>
      <c r="NS66" s="122"/>
      <c r="NT66" s="122"/>
      <c r="NU66" s="122"/>
      <c r="NV66" s="122"/>
      <c r="NW66" s="122"/>
      <c r="NX66" s="122"/>
      <c r="NY66" s="122"/>
      <c r="NZ66" s="122"/>
      <c r="OA66" s="122"/>
      <c r="OB66" s="122"/>
      <c r="OC66" s="122"/>
      <c r="OD66" s="122"/>
      <c r="OE66" s="122"/>
      <c r="OF66" s="122"/>
      <c r="OG66" s="122"/>
      <c r="OH66" s="122"/>
      <c r="OI66" s="122"/>
      <c r="OJ66" s="122"/>
      <c r="OK66" s="122"/>
      <c r="OL66" s="122"/>
      <c r="OM66" s="122"/>
      <c r="ON66" s="122"/>
      <c r="OO66" s="122"/>
      <c r="OP66" s="122"/>
      <c r="OQ66" s="122"/>
      <c r="OR66" s="122"/>
      <c r="OS66" s="122"/>
      <c r="OT66" s="122"/>
      <c r="OU66" s="122"/>
      <c r="OV66" s="122"/>
      <c r="OW66" s="122"/>
      <c r="OX66" s="122"/>
      <c r="OY66" s="122"/>
      <c r="OZ66" s="122"/>
      <c r="PA66" s="122"/>
      <c r="PB66" s="122"/>
      <c r="PC66" s="122"/>
      <c r="PD66" s="122"/>
      <c r="PE66" s="122"/>
      <c r="PF66" s="122"/>
      <c r="PG66" s="122"/>
      <c r="PH66" s="122"/>
      <c r="PI66" s="122"/>
      <c r="PJ66" s="122"/>
      <c r="PK66" s="122"/>
      <c r="PL66" s="122"/>
      <c r="PM66" s="122"/>
      <c r="PN66" s="122"/>
      <c r="PO66" s="122"/>
      <c r="PP66" s="122"/>
      <c r="PQ66" s="122"/>
      <c r="PR66" s="122"/>
      <c r="PS66" s="122"/>
      <c r="PT66" s="122"/>
      <c r="PU66" s="122"/>
      <c r="PV66" s="122"/>
      <c r="PW66" s="122"/>
      <c r="PX66" s="122"/>
      <c r="PY66" s="122"/>
      <c r="PZ66" s="122"/>
      <c r="QA66" s="122"/>
      <c r="QB66" s="122"/>
      <c r="QC66" s="122"/>
      <c r="QD66" s="122"/>
      <c r="QE66" s="122"/>
      <c r="QF66" s="122"/>
      <c r="QG66" s="122"/>
      <c r="QH66" s="122"/>
      <c r="QI66" s="122"/>
      <c r="QJ66" s="122"/>
      <c r="QK66" s="122"/>
      <c r="QL66" s="122"/>
      <c r="QM66" s="122"/>
      <c r="QN66" s="122"/>
      <c r="QO66" s="122"/>
      <c r="QP66" s="122"/>
      <c r="QQ66" s="122"/>
      <c r="QR66" s="122"/>
      <c r="QS66" s="122"/>
      <c r="QT66" s="122"/>
      <c r="QU66" s="122"/>
      <c r="QV66" s="122"/>
      <c r="QW66" s="122"/>
      <c r="QX66" s="122"/>
      <c r="QY66" s="122"/>
      <c r="QZ66" s="122"/>
      <c r="RA66" s="122"/>
      <c r="RB66" s="122"/>
      <c r="RC66" s="122"/>
      <c r="RD66" s="122"/>
      <c r="RE66" s="122"/>
      <c r="RF66" s="122"/>
      <c r="RG66" s="122"/>
      <c r="RH66" s="122"/>
      <c r="RI66" s="122"/>
      <c r="RJ66" s="122"/>
      <c r="RK66" s="122"/>
      <c r="RL66" s="122"/>
      <c r="RM66" s="122"/>
      <c r="RN66" s="122"/>
      <c r="RO66" s="122"/>
      <c r="RP66" s="122"/>
      <c r="RQ66" s="122"/>
      <c r="RR66" s="122"/>
      <c r="RS66" s="122"/>
      <c r="RT66" s="122"/>
      <c r="RU66" s="122"/>
      <c r="RV66" s="122"/>
      <c r="RW66" s="122"/>
      <c r="RX66" s="122"/>
      <c r="RY66" s="122"/>
      <c r="RZ66" s="122"/>
      <c r="SA66" s="122"/>
      <c r="SB66" s="122"/>
      <c r="SC66" s="122"/>
      <c r="SD66" s="122"/>
      <c r="SE66" s="122"/>
      <c r="SF66" s="122"/>
      <c r="SG66" s="122"/>
      <c r="SH66" s="122"/>
      <c r="SI66" s="122"/>
      <c r="SJ66" s="122"/>
      <c r="SK66" s="122"/>
      <c r="SL66" s="122"/>
      <c r="SM66" s="122"/>
      <c r="SN66" s="122"/>
      <c r="SO66" s="122"/>
      <c r="SP66" s="122"/>
      <c r="SQ66" s="122"/>
      <c r="SR66" s="122"/>
      <c r="SS66" s="122"/>
      <c r="ST66" s="122"/>
      <c r="SU66" s="122"/>
      <c r="SV66" s="122"/>
      <c r="SW66" s="122"/>
      <c r="SX66" s="122"/>
      <c r="SY66" s="122"/>
      <c r="SZ66" s="122"/>
      <c r="TA66" s="122"/>
      <c r="TB66" s="122"/>
      <c r="TC66" s="122"/>
      <c r="TD66" s="122"/>
      <c r="TE66" s="122"/>
      <c r="TF66" s="122"/>
      <c r="TG66" s="122"/>
      <c r="TH66" s="122"/>
      <c r="TI66" s="122"/>
      <c r="TJ66" s="122"/>
      <c r="TK66" s="122"/>
      <c r="TL66" s="122"/>
      <c r="TM66" s="122"/>
      <c r="TN66" s="122"/>
      <c r="TO66" s="122"/>
      <c r="TP66" s="122"/>
      <c r="TQ66" s="122"/>
      <c r="TR66" s="122"/>
      <c r="TS66" s="122"/>
      <c r="TT66" s="122"/>
      <c r="TU66" s="122"/>
      <c r="TV66" s="122"/>
      <c r="TW66" s="122"/>
      <c r="TX66" s="122"/>
      <c r="TY66" s="122"/>
      <c r="TZ66" s="122"/>
      <c r="UA66" s="122"/>
      <c r="UB66" s="122"/>
      <c r="UC66" s="122"/>
      <c r="UD66" s="122"/>
      <c r="UE66" s="122"/>
      <c r="UF66" s="122"/>
      <c r="UG66" s="122"/>
      <c r="UH66" s="122"/>
      <c r="UI66" s="122"/>
      <c r="UJ66" s="122"/>
      <c r="UK66" s="122"/>
      <c r="UL66" s="122"/>
      <c r="UM66" s="122"/>
      <c r="UN66" s="122"/>
      <c r="UO66" s="122"/>
      <c r="UP66" s="122"/>
      <c r="UQ66" s="122"/>
      <c r="UR66" s="122"/>
      <c r="US66" s="122"/>
      <c r="UT66" s="122"/>
      <c r="UU66" s="122"/>
      <c r="UV66" s="122"/>
      <c r="UW66" s="122"/>
      <c r="UX66" s="122"/>
      <c r="UY66" s="122"/>
      <c r="UZ66" s="122"/>
      <c r="VA66" s="122"/>
      <c r="VB66" s="122"/>
      <c r="VC66" s="122"/>
      <c r="VD66" s="122"/>
      <c r="VE66" s="122"/>
      <c r="VF66" s="122"/>
      <c r="VG66" s="122"/>
      <c r="VH66" s="122"/>
      <c r="VI66" s="122"/>
      <c r="VJ66" s="122"/>
      <c r="VK66" s="122"/>
      <c r="VL66" s="122"/>
      <c r="VM66" s="122"/>
      <c r="VN66" s="122"/>
      <c r="VO66" s="122"/>
      <c r="VP66" s="122"/>
      <c r="VQ66" s="122"/>
      <c r="VR66" s="122"/>
      <c r="VS66" s="122"/>
      <c r="VT66" s="122"/>
      <c r="VU66" s="122"/>
      <c r="VV66" s="122"/>
      <c r="VW66" s="122"/>
      <c r="VX66" s="122"/>
      <c r="VY66" s="122"/>
      <c r="VZ66" s="122"/>
      <c r="WA66" s="122"/>
      <c r="WB66" s="122"/>
      <c r="WC66" s="122"/>
      <c r="WD66" s="122"/>
      <c r="WE66" s="122"/>
      <c r="WF66" s="122"/>
      <c r="WG66" s="122"/>
      <c r="WH66" s="122"/>
      <c r="WI66" s="122"/>
      <c r="WJ66" s="122"/>
      <c r="WK66" s="122"/>
      <c r="WL66" s="122"/>
      <c r="WM66" s="122"/>
      <c r="WN66" s="122"/>
      <c r="WO66" s="122"/>
      <c r="WP66" s="122"/>
      <c r="WQ66" s="122"/>
      <c r="WR66" s="122"/>
      <c r="WS66" s="122"/>
      <c r="WT66" s="122"/>
      <c r="WU66" s="122"/>
      <c r="WV66" s="122"/>
      <c r="WW66" s="122"/>
      <c r="WX66" s="122"/>
      <c r="WY66" s="122"/>
      <c r="WZ66" s="122"/>
      <c r="XA66" s="122"/>
      <c r="XB66" s="122"/>
      <c r="XC66" s="122"/>
      <c r="XD66" s="122"/>
      <c r="XE66" s="122"/>
      <c r="XF66" s="122"/>
      <c r="XG66" s="122"/>
      <c r="XH66" s="122"/>
      <c r="XI66" s="122"/>
      <c r="XJ66" s="122"/>
      <c r="XK66" s="122"/>
      <c r="XL66" s="122"/>
      <c r="XM66" s="122"/>
      <c r="XN66" s="122"/>
      <c r="XO66" s="122"/>
      <c r="XP66" s="122"/>
      <c r="XQ66" s="122"/>
      <c r="XR66" s="122"/>
      <c r="XS66" s="122"/>
      <c r="XT66" s="122"/>
      <c r="XU66" s="122"/>
      <c r="XV66" s="122"/>
      <c r="XW66" s="122"/>
      <c r="XX66" s="122"/>
      <c r="XY66" s="122"/>
      <c r="XZ66" s="122"/>
      <c r="YA66" s="122"/>
      <c r="YB66" s="122"/>
      <c r="YC66" s="122"/>
      <c r="YD66" s="122"/>
      <c r="YE66" s="122"/>
      <c r="YF66" s="122"/>
      <c r="YG66" s="122"/>
      <c r="YH66" s="122"/>
      <c r="YI66" s="122"/>
      <c r="YJ66" s="122"/>
      <c r="YK66" s="122"/>
      <c r="YL66" s="122"/>
      <c r="YM66" s="122"/>
      <c r="YN66" s="122"/>
      <c r="YO66" s="122"/>
      <c r="YP66" s="122"/>
      <c r="YQ66" s="122"/>
      <c r="YR66" s="122"/>
      <c r="YS66" s="122"/>
      <c r="YT66" s="122"/>
      <c r="YU66" s="122"/>
      <c r="YV66" s="122"/>
      <c r="YW66" s="122"/>
      <c r="YX66" s="122"/>
      <c r="YY66" s="122"/>
      <c r="YZ66" s="122"/>
      <c r="ZA66" s="122"/>
      <c r="ZB66" s="122"/>
      <c r="ZC66" s="122"/>
      <c r="ZD66" s="122"/>
      <c r="ZE66" s="122"/>
      <c r="ZF66" s="122"/>
      <c r="ZG66" s="122"/>
      <c r="ZH66" s="122"/>
      <c r="ZI66" s="122"/>
      <c r="ZJ66" s="122"/>
      <c r="ZK66" s="122"/>
      <c r="ZL66" s="122"/>
      <c r="ZM66" s="122"/>
      <c r="ZN66" s="122"/>
      <c r="ZO66" s="122"/>
      <c r="ZP66" s="122"/>
      <c r="ZQ66" s="122"/>
      <c r="ZR66" s="122"/>
      <c r="ZS66" s="122"/>
      <c r="ZT66" s="122"/>
      <c r="ZU66" s="122"/>
      <c r="ZV66" s="122"/>
      <c r="ZW66" s="122"/>
      <c r="ZX66" s="122"/>
      <c r="ZY66" s="122"/>
      <c r="ZZ66" s="122"/>
      <c r="AAA66" s="122"/>
      <c r="AAB66" s="122"/>
      <c r="AAC66" s="122"/>
      <c r="AAD66" s="122"/>
      <c r="AAE66" s="122"/>
      <c r="AAF66" s="122"/>
      <c r="AAG66" s="122"/>
      <c r="AAH66" s="122"/>
      <c r="AAI66" s="122"/>
      <c r="AAJ66" s="122"/>
      <c r="AAK66" s="122"/>
      <c r="AAL66" s="122"/>
      <c r="AAM66" s="122"/>
      <c r="AAN66" s="122"/>
      <c r="AAO66" s="122"/>
      <c r="AAP66" s="122"/>
      <c r="AAQ66" s="122"/>
      <c r="AAR66" s="122"/>
      <c r="AAS66" s="122"/>
      <c r="AAT66" s="122"/>
      <c r="AAU66" s="122"/>
      <c r="AAV66" s="122"/>
      <c r="AAW66" s="122"/>
      <c r="AAX66" s="122"/>
      <c r="AAY66" s="122"/>
      <c r="AAZ66" s="122"/>
      <c r="ABA66" s="122"/>
      <c r="ABB66" s="122"/>
      <c r="ABC66" s="122"/>
      <c r="ABD66" s="122"/>
      <c r="ABE66" s="122"/>
      <c r="ABF66" s="122"/>
      <c r="ABG66" s="122"/>
      <c r="ABH66" s="122"/>
      <c r="ABI66" s="122"/>
      <c r="ABJ66" s="122"/>
      <c r="ABK66" s="122"/>
      <c r="ABL66" s="122"/>
      <c r="ABM66" s="122"/>
      <c r="ABN66" s="122"/>
      <c r="ABO66" s="122"/>
      <c r="ABP66" s="122"/>
      <c r="ABQ66" s="122"/>
      <c r="ABR66" s="122"/>
      <c r="ABS66" s="122"/>
      <c r="ABT66" s="122"/>
      <c r="ABU66" s="122"/>
      <c r="ABV66" s="122"/>
      <c r="ABW66" s="122"/>
      <c r="ABX66" s="122"/>
      <c r="ABY66" s="122"/>
      <c r="ABZ66" s="122"/>
      <c r="ACA66" s="122"/>
      <c r="ACB66" s="122"/>
      <c r="ACC66" s="122"/>
      <c r="ACD66" s="122"/>
      <c r="ACE66" s="122"/>
      <c r="ACF66" s="122"/>
      <c r="ACG66" s="122"/>
      <c r="ACH66" s="122"/>
      <c r="ACI66" s="122"/>
      <c r="ACJ66" s="122"/>
      <c r="ACK66" s="122"/>
      <c r="ACL66" s="122"/>
      <c r="ACM66" s="122"/>
      <c r="ACN66" s="122"/>
      <c r="ACO66" s="122"/>
      <c r="ACP66" s="122"/>
      <c r="ACQ66" s="122"/>
      <c r="ACR66" s="122"/>
      <c r="ACS66" s="122"/>
      <c r="ACT66" s="122"/>
      <c r="ACU66" s="122"/>
      <c r="ACV66" s="122"/>
      <c r="ACW66" s="122"/>
      <c r="ACX66" s="122"/>
      <c r="ACY66" s="122"/>
      <c r="ACZ66" s="122"/>
      <c r="ADA66" s="122"/>
      <c r="ADB66" s="122"/>
      <c r="ADC66" s="122"/>
      <c r="ADD66" s="122"/>
      <c r="ADE66" s="122"/>
      <c r="ADF66" s="122"/>
      <c r="ADG66" s="122"/>
      <c r="ADH66" s="122"/>
      <c r="ADI66" s="122"/>
      <c r="ADJ66" s="122"/>
      <c r="ADK66" s="122"/>
      <c r="ADL66" s="122"/>
      <c r="ADM66" s="122"/>
      <c r="ADN66" s="122"/>
      <c r="ADO66" s="122"/>
      <c r="ADP66" s="122"/>
      <c r="ADQ66" s="122"/>
      <c r="ADR66" s="122"/>
      <c r="ADS66" s="122"/>
      <c r="ADT66" s="122"/>
      <c r="ADU66" s="122"/>
      <c r="ADV66" s="122"/>
      <c r="ADW66" s="122"/>
      <c r="ADX66" s="122"/>
      <c r="ADY66" s="122"/>
      <c r="ADZ66" s="122"/>
      <c r="AEA66" s="122"/>
      <c r="AEB66" s="122"/>
      <c r="AEC66" s="122"/>
      <c r="AED66" s="122"/>
      <c r="AEE66" s="122"/>
      <c r="AEF66" s="122"/>
      <c r="AEG66" s="122"/>
      <c r="AEH66" s="122"/>
      <c r="AEI66" s="122"/>
      <c r="AEJ66" s="122"/>
      <c r="AEK66" s="122"/>
      <c r="AEL66" s="122"/>
      <c r="AEM66" s="122"/>
      <c r="AEN66" s="122"/>
      <c r="AEO66" s="122"/>
      <c r="AEP66" s="122"/>
      <c r="AEQ66" s="122"/>
      <c r="AER66" s="122"/>
      <c r="AES66" s="122"/>
      <c r="AET66" s="122"/>
      <c r="AEU66" s="122"/>
      <c r="AEV66" s="122"/>
      <c r="AEW66" s="122"/>
      <c r="AEX66" s="122"/>
      <c r="AEY66" s="122"/>
      <c r="AEZ66" s="122"/>
      <c r="AFA66" s="122"/>
      <c r="AFB66" s="122"/>
      <c r="AFC66" s="122"/>
      <c r="AFD66" s="122"/>
      <c r="AFE66" s="122"/>
      <c r="AFF66" s="122"/>
      <c r="AFG66" s="122"/>
      <c r="AFH66" s="122"/>
      <c r="AFI66" s="122"/>
      <c r="AFJ66" s="122"/>
      <c r="AFK66" s="122"/>
      <c r="AFL66" s="122"/>
      <c r="AFM66" s="122"/>
      <c r="AFN66" s="122"/>
      <c r="AFO66" s="122"/>
      <c r="AFP66" s="122"/>
      <c r="AFQ66" s="122"/>
      <c r="AFR66" s="122"/>
      <c r="AFS66" s="122"/>
      <c r="AFT66" s="122"/>
      <c r="AFU66" s="122"/>
      <c r="AFV66" s="122"/>
      <c r="AFW66" s="122"/>
      <c r="AFX66" s="122"/>
      <c r="AFY66" s="122"/>
      <c r="AFZ66" s="122"/>
      <c r="AGA66" s="122"/>
      <c r="AGB66" s="122"/>
      <c r="AGC66" s="122"/>
      <c r="AGD66" s="122"/>
      <c r="AGE66" s="122"/>
      <c r="AGF66" s="122"/>
      <c r="AGG66" s="122"/>
      <c r="AGH66" s="122"/>
      <c r="AGI66" s="122"/>
      <c r="AGJ66" s="122"/>
      <c r="AGK66" s="122"/>
      <c r="AGL66" s="122"/>
      <c r="AGM66" s="122"/>
      <c r="AGN66" s="122"/>
      <c r="AGO66" s="122"/>
      <c r="AGP66" s="122"/>
      <c r="AGQ66" s="122"/>
      <c r="AGR66" s="122"/>
      <c r="AGS66" s="122"/>
      <c r="AGT66" s="122"/>
      <c r="AGU66" s="122"/>
      <c r="AGV66" s="122"/>
      <c r="AGW66" s="122"/>
      <c r="AGX66" s="122"/>
      <c r="AGY66" s="122"/>
      <c r="AGZ66" s="122"/>
      <c r="AHA66" s="122"/>
      <c r="AHB66" s="122"/>
      <c r="AHC66" s="122"/>
      <c r="AHD66" s="122"/>
      <c r="AHE66" s="122"/>
      <c r="AHF66" s="122"/>
      <c r="AHG66" s="122"/>
      <c r="AHH66" s="122"/>
      <c r="AHI66" s="122"/>
      <c r="AHJ66" s="122"/>
      <c r="AHK66" s="122"/>
      <c r="AHL66" s="122"/>
      <c r="AHM66" s="122"/>
      <c r="AHN66" s="122"/>
      <c r="AHO66" s="122"/>
      <c r="AHP66" s="122"/>
      <c r="AHQ66" s="122"/>
      <c r="AHR66" s="122"/>
      <c r="AHS66" s="122"/>
      <c r="AHT66" s="122"/>
      <c r="AHU66" s="122"/>
      <c r="AHV66" s="122"/>
      <c r="AHW66" s="122"/>
      <c r="AHX66" s="122"/>
      <c r="AHY66" s="122"/>
      <c r="AHZ66" s="122"/>
      <c r="AIA66" s="122"/>
      <c r="AIB66" s="122"/>
      <c r="AIC66" s="122"/>
      <c r="AID66" s="122"/>
      <c r="AIE66" s="122"/>
      <c r="AIF66" s="122"/>
      <c r="AIG66" s="122"/>
      <c r="AIH66" s="122"/>
      <c r="AII66" s="122"/>
      <c r="AIJ66" s="122"/>
      <c r="AIK66" s="122"/>
      <c r="AIL66" s="122"/>
      <c r="AIM66" s="122"/>
      <c r="AIN66" s="122"/>
      <c r="AIO66" s="122"/>
      <c r="AIP66" s="122"/>
      <c r="AIQ66" s="122"/>
      <c r="AIR66" s="122"/>
      <c r="AIS66" s="122"/>
      <c r="AIT66" s="122"/>
      <c r="AIU66" s="122"/>
      <c r="AIV66" s="122"/>
      <c r="AIW66" s="122"/>
      <c r="AIX66" s="122"/>
      <c r="AIY66" s="122"/>
      <c r="AIZ66" s="122"/>
      <c r="AJA66" s="122"/>
      <c r="AJB66" s="122"/>
      <c r="AJC66" s="122"/>
      <c r="AJD66" s="122"/>
      <c r="AJE66" s="122"/>
      <c r="AJF66" s="122"/>
      <c r="AJG66" s="122"/>
      <c r="AJH66" s="122"/>
      <c r="AJI66" s="122"/>
      <c r="AJJ66" s="122"/>
      <c r="AJK66" s="122"/>
      <c r="AJL66" s="122"/>
      <c r="AJM66" s="122"/>
      <c r="AJN66" s="122"/>
      <c r="AJO66" s="122"/>
      <c r="AJP66" s="122"/>
      <c r="AJQ66" s="122"/>
      <c r="AJR66" s="122"/>
      <c r="AJS66" s="122"/>
      <c r="AJT66" s="122"/>
      <c r="AJU66" s="122"/>
      <c r="AJV66" s="122"/>
      <c r="AJW66" s="122"/>
      <c r="AJX66" s="122"/>
      <c r="AJY66" s="122"/>
      <c r="AJZ66" s="122"/>
      <c r="AKA66" s="122"/>
      <c r="AKB66" s="122"/>
      <c r="AKC66" s="122"/>
      <c r="AKD66" s="122"/>
      <c r="AKE66" s="122"/>
      <c r="AKF66" s="122"/>
      <c r="AKG66" s="122"/>
      <c r="AKH66" s="122"/>
      <c r="AKI66" s="122"/>
      <c r="AKJ66" s="122"/>
      <c r="AKK66" s="122"/>
      <c r="AKL66" s="122"/>
      <c r="AKM66" s="122"/>
      <c r="AKN66" s="122"/>
      <c r="AKO66" s="122"/>
      <c r="AKP66" s="122"/>
      <c r="AKQ66" s="122"/>
      <c r="AKR66" s="122"/>
      <c r="AKS66" s="122"/>
      <c r="AKT66" s="122"/>
      <c r="AKU66" s="122"/>
      <c r="AKV66" s="122"/>
      <c r="AKW66" s="122"/>
      <c r="AKX66" s="122"/>
      <c r="AKY66" s="122"/>
      <c r="AKZ66" s="122"/>
      <c r="ALA66" s="122"/>
      <c r="ALB66" s="122"/>
      <c r="ALC66" s="122"/>
      <c r="ALD66" s="122"/>
      <c r="ALE66" s="122"/>
      <c r="ALF66" s="122"/>
      <c r="ALG66" s="122"/>
      <c r="ALH66" s="122"/>
      <c r="ALI66" s="122"/>
      <c r="ALJ66" s="122"/>
      <c r="ALK66" s="122"/>
      <c r="ALL66" s="122"/>
      <c r="ALM66" s="122"/>
      <c r="ALN66" s="122"/>
      <c r="ALO66" s="122"/>
      <c r="ALP66" s="122"/>
      <c r="ALQ66" s="122"/>
      <c r="ALR66" s="122"/>
      <c r="ALS66" s="122"/>
      <c r="ALT66" s="122"/>
      <c r="ALU66" s="122"/>
      <c r="ALV66" s="122"/>
      <c r="ALW66" s="122"/>
      <c r="ALX66" s="122"/>
      <c r="ALY66" s="122"/>
      <c r="ALZ66" s="122"/>
      <c r="AMA66" s="122"/>
      <c r="AMB66" s="122"/>
      <c r="AMC66" s="122"/>
      <c r="AMD66" s="122"/>
      <c r="AME66" s="122"/>
      <c r="AMF66" s="122"/>
      <c r="AMG66" s="122"/>
      <c r="AMH66" s="122"/>
      <c r="AMI66" s="122"/>
      <c r="AMJ66" s="122"/>
      <c r="AMK66" s="122"/>
      <c r="AML66" s="122"/>
      <c r="AMM66" s="122"/>
      <c r="AMN66" s="122"/>
      <c r="AMO66" s="122"/>
      <c r="AMP66" s="122"/>
      <c r="AMQ66" s="122"/>
      <c r="AMR66" s="122"/>
      <c r="AMS66" s="122"/>
      <c r="AMT66" s="122"/>
      <c r="AMU66" s="122"/>
      <c r="AMV66" s="122"/>
      <c r="AMW66" s="122"/>
      <c r="AMX66" s="122"/>
      <c r="AMY66" s="122"/>
      <c r="AMZ66" s="122"/>
      <c r="ANA66" s="122"/>
      <c r="ANB66" s="122"/>
      <c r="ANC66" s="122"/>
      <c r="AND66" s="122"/>
      <c r="ANE66" s="122"/>
      <c r="ANF66" s="122"/>
      <c r="ANG66" s="122"/>
      <c r="ANH66" s="122"/>
      <c r="ANI66" s="122"/>
      <c r="ANJ66" s="122"/>
      <c r="ANK66" s="122"/>
      <c r="ANL66" s="122"/>
      <c r="ANM66" s="122"/>
      <c r="ANN66" s="122"/>
      <c r="ANO66" s="122"/>
      <c r="ANP66" s="122"/>
      <c r="ANQ66" s="122"/>
      <c r="ANR66" s="122"/>
      <c r="ANS66" s="122"/>
      <c r="ANT66" s="122"/>
      <c r="ANU66" s="122"/>
      <c r="ANV66" s="122"/>
      <c r="ANW66" s="122"/>
      <c r="ANX66" s="122"/>
      <c r="ANY66" s="122"/>
      <c r="ANZ66" s="122"/>
      <c r="AOA66" s="122"/>
      <c r="AOB66" s="122"/>
      <c r="AOC66" s="122"/>
      <c r="AOD66" s="122"/>
      <c r="AOE66" s="122"/>
      <c r="AOF66" s="122"/>
      <c r="AOG66" s="122"/>
      <c r="AOH66" s="122"/>
      <c r="AOI66" s="122"/>
      <c r="AOJ66" s="122"/>
      <c r="AOK66" s="122"/>
      <c r="AOL66" s="122"/>
      <c r="AOM66" s="122"/>
      <c r="AON66" s="122"/>
      <c r="AOO66" s="122"/>
      <c r="AOP66" s="122"/>
      <c r="AOQ66" s="122"/>
      <c r="AOR66" s="122"/>
      <c r="AOS66" s="122"/>
      <c r="AOT66" s="122"/>
      <c r="AOU66" s="122"/>
      <c r="AOV66" s="122"/>
      <c r="AOW66" s="122"/>
      <c r="AOX66" s="122"/>
      <c r="AOY66" s="122"/>
      <c r="AOZ66" s="122"/>
      <c r="APA66" s="122"/>
      <c r="APB66" s="122"/>
      <c r="APC66" s="122"/>
      <c r="APD66" s="122"/>
      <c r="APE66" s="122"/>
      <c r="APF66" s="122"/>
      <c r="APG66" s="122"/>
      <c r="APH66" s="122"/>
      <c r="API66" s="122"/>
      <c r="APJ66" s="122"/>
      <c r="APK66" s="122"/>
      <c r="APL66" s="122"/>
      <c r="APM66" s="122"/>
      <c r="APN66" s="122"/>
      <c r="APO66" s="122"/>
      <c r="APP66" s="122"/>
      <c r="APQ66" s="122"/>
      <c r="APR66" s="122"/>
      <c r="APS66" s="122"/>
      <c r="APT66" s="122"/>
      <c r="APU66" s="122"/>
      <c r="APV66" s="122"/>
      <c r="APW66" s="122"/>
      <c r="APX66" s="122"/>
      <c r="APY66" s="122"/>
      <c r="APZ66" s="122"/>
      <c r="AQA66" s="122"/>
      <c r="AQB66" s="122"/>
      <c r="AQC66" s="122"/>
      <c r="AQD66" s="122"/>
      <c r="AQE66" s="122"/>
      <c r="AQF66" s="122"/>
      <c r="AQG66" s="122"/>
      <c r="AQH66" s="122"/>
      <c r="AQI66" s="122"/>
      <c r="AQJ66" s="122"/>
      <c r="AQK66" s="122"/>
      <c r="AQL66" s="122"/>
      <c r="AQM66" s="122"/>
      <c r="AQN66" s="122"/>
      <c r="AQO66" s="122"/>
      <c r="AQP66" s="122"/>
      <c r="AQQ66" s="122"/>
      <c r="AQR66" s="122"/>
      <c r="AQS66" s="122"/>
      <c r="AQT66" s="122"/>
      <c r="AQU66" s="122"/>
      <c r="AQV66" s="122"/>
      <c r="AQW66" s="122"/>
      <c r="AQX66" s="122"/>
      <c r="AQY66" s="122"/>
      <c r="AQZ66" s="122"/>
      <c r="ARA66" s="122"/>
      <c r="ARB66" s="122"/>
      <c r="ARC66" s="122"/>
      <c r="ARD66" s="122"/>
      <c r="ARE66" s="122"/>
      <c r="ARF66" s="122"/>
      <c r="ARG66" s="122"/>
      <c r="ARH66" s="122"/>
      <c r="ARI66" s="122"/>
      <c r="ARJ66" s="122"/>
      <c r="ARK66" s="122"/>
      <c r="ARL66" s="122"/>
      <c r="ARM66" s="122"/>
      <c r="ARN66" s="122"/>
      <c r="ARO66" s="122"/>
      <c r="ARP66" s="122"/>
      <c r="ARQ66" s="122"/>
      <c r="ARR66" s="122"/>
      <c r="ARS66" s="122"/>
      <c r="ART66" s="122"/>
      <c r="ARU66" s="122"/>
      <c r="ARV66" s="122"/>
      <c r="ARW66" s="122"/>
      <c r="ARX66" s="122"/>
      <c r="ARY66" s="122"/>
      <c r="ARZ66" s="122"/>
      <c r="ASA66" s="122"/>
      <c r="ASB66" s="122"/>
      <c r="ASC66" s="122"/>
      <c r="ASD66" s="122"/>
      <c r="ASE66" s="122"/>
      <c r="ASF66" s="122"/>
      <c r="ASG66" s="122"/>
      <c r="ASH66" s="122"/>
      <c r="ASI66" s="122"/>
      <c r="ASJ66" s="122"/>
      <c r="ASK66" s="122"/>
      <c r="ASL66" s="122"/>
      <c r="ASM66" s="122"/>
      <c r="ASN66" s="122"/>
      <c r="ASO66" s="122"/>
      <c r="ASP66" s="122"/>
      <c r="ASQ66" s="122"/>
      <c r="ASR66" s="122"/>
      <c r="ASS66" s="122"/>
      <c r="AST66" s="122"/>
      <c r="ASU66" s="122"/>
      <c r="ASV66" s="122"/>
      <c r="ASW66" s="122"/>
      <c r="ASX66" s="122"/>
      <c r="ASY66" s="122"/>
      <c r="ASZ66" s="122"/>
      <c r="ATA66" s="122"/>
      <c r="ATB66" s="122"/>
      <c r="ATC66" s="122"/>
      <c r="ATD66" s="122"/>
      <c r="ATE66" s="122"/>
      <c r="ATF66" s="122"/>
      <c r="ATG66" s="122"/>
      <c r="ATH66" s="122"/>
      <c r="ATI66" s="122"/>
      <c r="ATJ66" s="122"/>
      <c r="ATK66" s="122"/>
      <c r="ATL66" s="122"/>
      <c r="ATM66" s="122"/>
      <c r="ATN66" s="122"/>
      <c r="ATO66" s="122"/>
      <c r="ATP66" s="122"/>
      <c r="ATQ66" s="122"/>
      <c r="ATR66" s="122"/>
      <c r="ATS66" s="122"/>
      <c r="ATT66" s="122"/>
      <c r="ATU66" s="122"/>
      <c r="ATV66" s="122"/>
      <c r="ATW66" s="122"/>
      <c r="ATX66" s="122"/>
      <c r="ATY66" s="122"/>
      <c r="ATZ66" s="122"/>
      <c r="AUA66" s="122"/>
      <c r="AUB66" s="122"/>
      <c r="AUC66" s="122"/>
      <c r="AUD66" s="122"/>
      <c r="AUE66" s="122"/>
      <c r="AUF66" s="122"/>
      <c r="AUG66" s="122"/>
      <c r="AUH66" s="122"/>
      <c r="AUI66" s="122"/>
      <c r="AUJ66" s="122"/>
      <c r="AUK66" s="122"/>
      <c r="AUL66" s="122"/>
      <c r="AUM66" s="122"/>
      <c r="AUN66" s="122"/>
      <c r="AUO66" s="122"/>
      <c r="AUP66" s="122"/>
      <c r="AUQ66" s="122"/>
      <c r="AUR66" s="122"/>
      <c r="AUS66" s="122"/>
      <c r="AUT66" s="122"/>
      <c r="AUU66" s="122"/>
      <c r="AUV66" s="122"/>
      <c r="AUW66" s="122"/>
      <c r="AUX66" s="122"/>
      <c r="AUY66" s="122"/>
      <c r="AUZ66" s="122"/>
      <c r="AVA66" s="122"/>
      <c r="AVB66" s="122"/>
      <c r="AVC66" s="122"/>
      <c r="AVD66" s="122"/>
      <c r="AVE66" s="122"/>
      <c r="AVF66" s="122"/>
      <c r="AVG66" s="122"/>
      <c r="AVH66" s="122"/>
      <c r="AVI66" s="122"/>
      <c r="AVJ66" s="122"/>
      <c r="AVK66" s="122"/>
      <c r="AVL66" s="122"/>
      <c r="AVM66" s="122"/>
      <c r="AVN66" s="122"/>
      <c r="AVO66" s="122"/>
      <c r="AVP66" s="122"/>
      <c r="AVQ66" s="122"/>
      <c r="AVR66" s="122"/>
      <c r="AVS66" s="122"/>
      <c r="AVT66" s="122"/>
      <c r="AVU66" s="122"/>
      <c r="AVV66" s="122"/>
      <c r="AVW66" s="122"/>
      <c r="AVX66" s="122"/>
      <c r="AVY66" s="122"/>
      <c r="AVZ66" s="122"/>
      <c r="AWA66" s="122"/>
      <c r="AWB66" s="122"/>
      <c r="AWC66" s="122"/>
      <c r="AWD66" s="122"/>
      <c r="AWE66" s="122"/>
      <c r="AWF66" s="122"/>
      <c r="AWG66" s="122"/>
      <c r="AWH66" s="122"/>
      <c r="AWI66" s="122"/>
      <c r="AWJ66" s="122"/>
      <c r="AWK66" s="122"/>
      <c r="AWL66" s="122"/>
      <c r="AWM66" s="122"/>
      <c r="AWN66" s="122"/>
      <c r="AWO66" s="122"/>
      <c r="AWP66" s="122"/>
      <c r="AWQ66" s="122"/>
      <c r="AWR66" s="122"/>
      <c r="AWS66" s="122"/>
      <c r="AWT66" s="122"/>
      <c r="AWU66" s="122"/>
      <c r="AWV66" s="122"/>
      <c r="AWW66" s="122"/>
      <c r="AWX66" s="122"/>
      <c r="AWY66" s="122"/>
      <c r="AWZ66" s="122"/>
      <c r="AXA66" s="122"/>
      <c r="AXB66" s="122"/>
      <c r="AXC66" s="122"/>
      <c r="AXD66" s="122"/>
      <c r="AXE66" s="122"/>
      <c r="AXF66" s="122"/>
      <c r="AXG66" s="122"/>
      <c r="AXH66" s="122"/>
      <c r="AXI66" s="122"/>
      <c r="AXJ66" s="122"/>
      <c r="AXK66" s="122"/>
      <c r="AXL66" s="122"/>
      <c r="AXM66" s="122"/>
      <c r="AXN66" s="122"/>
      <c r="AXO66" s="122"/>
      <c r="AXP66" s="122"/>
      <c r="AXQ66" s="122"/>
      <c r="AXR66" s="122"/>
      <c r="AXS66" s="122"/>
      <c r="AXT66" s="122"/>
      <c r="AXU66" s="122"/>
      <c r="AXV66" s="122"/>
      <c r="AXW66" s="122"/>
      <c r="AXX66" s="122"/>
      <c r="AXY66" s="122"/>
      <c r="AXZ66" s="122"/>
      <c r="AYA66" s="122"/>
      <c r="AYB66" s="122"/>
      <c r="AYC66" s="122"/>
      <c r="AYD66" s="122"/>
      <c r="AYE66" s="122"/>
      <c r="AYF66" s="122"/>
      <c r="AYG66" s="122"/>
      <c r="AYH66" s="122"/>
      <c r="AYI66" s="122"/>
      <c r="AYJ66" s="122"/>
      <c r="AYK66" s="122"/>
      <c r="AYL66" s="122"/>
      <c r="AYM66" s="122"/>
      <c r="AYN66" s="122"/>
      <c r="AYO66" s="122"/>
      <c r="AYP66" s="122"/>
      <c r="AYQ66" s="122"/>
      <c r="AYR66" s="122"/>
      <c r="AYS66" s="122"/>
      <c r="AYT66" s="122"/>
      <c r="AYU66" s="122"/>
      <c r="AYV66" s="122"/>
      <c r="AYW66" s="122"/>
      <c r="AYX66" s="122"/>
      <c r="AYY66" s="122"/>
      <c r="AYZ66" s="122"/>
      <c r="AZA66" s="122"/>
      <c r="AZB66" s="122"/>
      <c r="AZC66" s="122"/>
      <c r="AZD66" s="122"/>
      <c r="AZE66" s="122"/>
      <c r="AZF66" s="122"/>
      <c r="AZG66" s="122"/>
      <c r="AZH66" s="122"/>
      <c r="AZI66" s="122"/>
      <c r="AZJ66" s="122"/>
      <c r="AZK66" s="122"/>
      <c r="AZL66" s="122"/>
      <c r="AZM66" s="122"/>
      <c r="AZN66" s="122"/>
      <c r="AZO66" s="122"/>
      <c r="AZP66" s="122"/>
      <c r="AZQ66" s="122"/>
      <c r="AZR66" s="122"/>
      <c r="AZS66" s="122"/>
      <c r="AZT66" s="122"/>
      <c r="AZU66" s="122"/>
      <c r="AZV66" s="122"/>
      <c r="AZW66" s="122"/>
      <c r="AZX66" s="122"/>
      <c r="AZY66" s="122"/>
      <c r="AZZ66" s="122"/>
      <c r="BAA66" s="122"/>
      <c r="BAB66" s="122"/>
      <c r="BAC66" s="122"/>
      <c r="BAD66" s="122"/>
      <c r="BAE66" s="122"/>
      <c r="BAF66" s="122"/>
      <c r="BAG66" s="122"/>
      <c r="BAH66" s="122"/>
      <c r="BAI66" s="122"/>
      <c r="BAJ66" s="122"/>
      <c r="BAK66" s="122"/>
      <c r="BAL66" s="122"/>
      <c r="BAM66" s="122"/>
      <c r="BAN66" s="122"/>
      <c r="BAO66" s="122"/>
      <c r="BAP66" s="122"/>
      <c r="BAQ66" s="122"/>
      <c r="BAR66" s="122"/>
      <c r="BAS66" s="122"/>
      <c r="BAT66" s="122"/>
      <c r="BAU66" s="122"/>
      <c r="BAV66" s="122"/>
      <c r="BAW66" s="122"/>
      <c r="BAX66" s="122"/>
      <c r="BAY66" s="122"/>
      <c r="BAZ66" s="122"/>
      <c r="BBA66" s="122"/>
      <c r="BBB66" s="122"/>
      <c r="BBC66" s="122"/>
      <c r="BBD66" s="122"/>
      <c r="BBE66" s="122"/>
      <c r="BBF66" s="122"/>
      <c r="BBG66" s="122"/>
      <c r="BBH66" s="122"/>
      <c r="BBI66" s="122"/>
      <c r="BBJ66" s="122"/>
      <c r="BBK66" s="122"/>
      <c r="BBL66" s="122"/>
      <c r="BBM66" s="122"/>
      <c r="BBN66" s="122"/>
      <c r="BBO66" s="122"/>
      <c r="BBP66" s="122"/>
      <c r="BBQ66" s="122"/>
      <c r="BBR66" s="122"/>
      <c r="BBS66" s="122"/>
      <c r="BBT66" s="122"/>
      <c r="BBU66" s="122"/>
      <c r="BBV66" s="122"/>
      <c r="BBW66" s="122"/>
      <c r="BBX66" s="122"/>
      <c r="BBY66" s="122"/>
      <c r="BBZ66" s="122"/>
      <c r="BCA66" s="122"/>
      <c r="BCB66" s="122"/>
      <c r="BCC66" s="122"/>
      <c r="BCD66" s="122"/>
      <c r="BCE66" s="122"/>
      <c r="BCF66" s="122"/>
      <c r="BCG66" s="122"/>
      <c r="BCH66" s="122"/>
      <c r="BCI66" s="122"/>
      <c r="BCJ66" s="122"/>
      <c r="BCK66" s="122"/>
      <c r="BCL66" s="122"/>
      <c r="BCM66" s="122"/>
      <c r="BCN66" s="122"/>
      <c r="BCO66" s="122"/>
      <c r="BCP66" s="122"/>
      <c r="BCQ66" s="122"/>
      <c r="BCR66" s="122"/>
      <c r="BCS66" s="122"/>
      <c r="BCT66" s="122"/>
      <c r="BCU66" s="122"/>
      <c r="BCV66" s="122"/>
      <c r="BCW66" s="122"/>
      <c r="BCX66" s="122"/>
      <c r="BCY66" s="122"/>
      <c r="BCZ66" s="122"/>
      <c r="BDA66" s="122"/>
      <c r="BDB66" s="122"/>
      <c r="BDC66" s="122"/>
      <c r="BDD66" s="122"/>
      <c r="BDE66" s="122"/>
      <c r="BDF66" s="122"/>
      <c r="BDG66" s="122"/>
      <c r="BDH66" s="122"/>
      <c r="BDI66" s="122"/>
      <c r="BDJ66" s="122"/>
      <c r="BDK66" s="122"/>
      <c r="BDL66" s="122"/>
      <c r="BDM66" s="122"/>
      <c r="BDN66" s="122"/>
      <c r="BDO66" s="122"/>
      <c r="BDP66" s="122"/>
      <c r="BDQ66" s="122"/>
      <c r="BDR66" s="122"/>
      <c r="BDS66" s="122"/>
      <c r="BDT66" s="122"/>
      <c r="BDU66" s="122"/>
      <c r="BDV66" s="122"/>
      <c r="BDW66" s="122"/>
      <c r="BDX66" s="122"/>
      <c r="BDY66" s="122"/>
      <c r="BDZ66" s="122"/>
      <c r="BEA66" s="122"/>
      <c r="BEB66" s="122"/>
      <c r="BEC66" s="122"/>
      <c r="BED66" s="122"/>
      <c r="BEE66" s="122"/>
      <c r="BEF66" s="122"/>
      <c r="BEG66" s="122"/>
      <c r="BEH66" s="122"/>
      <c r="BEI66" s="122"/>
      <c r="BEJ66" s="122"/>
      <c r="BEK66" s="122"/>
      <c r="BEL66" s="122"/>
      <c r="BEM66" s="122"/>
      <c r="BEN66" s="122"/>
      <c r="BEO66" s="122"/>
      <c r="BEP66" s="122"/>
      <c r="BEQ66" s="122"/>
      <c r="BER66" s="122"/>
      <c r="BES66" s="122"/>
      <c r="BET66" s="122"/>
      <c r="BEU66" s="122"/>
      <c r="BEV66" s="122"/>
      <c r="BEW66" s="122"/>
      <c r="BEX66" s="122"/>
      <c r="BEY66" s="122"/>
      <c r="BEZ66" s="122"/>
      <c r="BFA66" s="122"/>
      <c r="BFB66" s="122"/>
      <c r="BFC66" s="122"/>
      <c r="BFD66" s="122"/>
      <c r="BFE66" s="122"/>
      <c r="BFF66" s="122"/>
      <c r="BFG66" s="122"/>
      <c r="BFH66" s="122"/>
      <c r="BFI66" s="122"/>
      <c r="BFJ66" s="122"/>
      <c r="BFK66" s="122"/>
      <c r="BFL66" s="122"/>
      <c r="BFM66" s="122"/>
      <c r="BFN66" s="122"/>
      <c r="BFO66" s="122"/>
      <c r="BFP66" s="122"/>
      <c r="BFQ66" s="122"/>
      <c r="BFR66" s="122"/>
      <c r="BFS66" s="122"/>
      <c r="BFT66" s="122"/>
      <c r="BFU66" s="122"/>
      <c r="BFV66" s="122"/>
      <c r="BFW66" s="122"/>
      <c r="BFX66" s="122"/>
      <c r="BFY66" s="122"/>
      <c r="BFZ66" s="122"/>
      <c r="BGA66" s="122"/>
      <c r="BGB66" s="122"/>
      <c r="BGC66" s="122"/>
      <c r="BGD66" s="122"/>
      <c r="BGE66" s="122"/>
      <c r="BGF66" s="122"/>
      <c r="BGG66" s="122"/>
      <c r="BGH66" s="122"/>
      <c r="BGI66" s="122"/>
      <c r="BGJ66" s="122"/>
      <c r="BGK66" s="122"/>
      <c r="BGL66" s="122"/>
      <c r="BGM66" s="122"/>
      <c r="BGN66" s="122"/>
      <c r="BGO66" s="122"/>
      <c r="BGP66" s="122"/>
      <c r="BGQ66" s="122"/>
      <c r="BGR66" s="122"/>
      <c r="BGS66" s="122"/>
      <c r="BGT66" s="122"/>
      <c r="BGU66" s="122"/>
      <c r="BGV66" s="122"/>
      <c r="BGW66" s="122"/>
      <c r="BGX66" s="122"/>
      <c r="BGY66" s="122"/>
      <c r="BGZ66" s="122"/>
      <c r="BHA66" s="122"/>
      <c r="BHB66" s="122"/>
      <c r="BHC66" s="122"/>
      <c r="BHD66" s="122"/>
      <c r="BHE66" s="122"/>
      <c r="BHF66" s="122"/>
      <c r="BHG66" s="122"/>
      <c r="BHH66" s="122"/>
      <c r="BHI66" s="122"/>
      <c r="BHJ66" s="122"/>
      <c r="BHK66" s="122"/>
      <c r="BHL66" s="122"/>
      <c r="BHM66" s="122"/>
      <c r="BHN66" s="122"/>
      <c r="BHO66" s="122"/>
      <c r="BHP66" s="122"/>
      <c r="BHQ66" s="122"/>
      <c r="BHR66" s="122"/>
      <c r="BHS66" s="122"/>
      <c r="BHT66" s="122"/>
      <c r="BHU66" s="122"/>
      <c r="BHV66" s="122"/>
      <c r="BHW66" s="122"/>
      <c r="BHX66" s="122"/>
      <c r="BHY66" s="122"/>
      <c r="BHZ66" s="122"/>
      <c r="BIA66" s="122"/>
      <c r="BIB66" s="122"/>
      <c r="BIC66" s="122"/>
      <c r="BID66" s="122"/>
      <c r="BIE66" s="122"/>
      <c r="BIF66" s="122"/>
      <c r="BIG66" s="122"/>
      <c r="BIH66" s="122"/>
      <c r="BII66" s="122"/>
      <c r="BIJ66" s="122"/>
      <c r="BIK66" s="122"/>
      <c r="BIL66" s="122"/>
      <c r="BIM66" s="122"/>
      <c r="BIN66" s="122"/>
      <c r="BIO66" s="122"/>
      <c r="BIP66" s="122"/>
      <c r="BIQ66" s="122"/>
      <c r="BIR66" s="122"/>
      <c r="BIS66" s="122"/>
      <c r="BIT66" s="122"/>
      <c r="BIU66" s="122"/>
      <c r="BIV66" s="122"/>
      <c r="BIW66" s="122"/>
      <c r="BIX66" s="122"/>
      <c r="BIY66" s="122"/>
      <c r="BIZ66" s="122"/>
      <c r="BJA66" s="122"/>
      <c r="BJB66" s="122"/>
      <c r="BJC66" s="122"/>
      <c r="BJD66" s="122"/>
      <c r="BJE66" s="122"/>
      <c r="BJF66" s="122"/>
      <c r="BJG66" s="122"/>
      <c r="BJH66" s="122"/>
      <c r="BJI66" s="122"/>
      <c r="BJJ66" s="122"/>
      <c r="BJK66" s="122"/>
      <c r="BJL66" s="122"/>
      <c r="BJM66" s="122"/>
      <c r="BJN66" s="122"/>
      <c r="BJO66" s="122"/>
      <c r="BJP66" s="122"/>
      <c r="BJQ66" s="122"/>
      <c r="BJR66" s="122"/>
      <c r="BJS66" s="122"/>
      <c r="BJT66" s="122"/>
      <c r="BJU66" s="122"/>
      <c r="BJV66" s="122"/>
      <c r="BJW66" s="122"/>
      <c r="BJX66" s="122"/>
      <c r="BJY66" s="122"/>
      <c r="BJZ66" s="122"/>
      <c r="BKA66" s="122"/>
      <c r="BKB66" s="122"/>
      <c r="BKC66" s="122"/>
      <c r="BKD66" s="122"/>
      <c r="BKE66" s="122"/>
      <c r="BKF66" s="122"/>
      <c r="BKG66" s="122"/>
      <c r="BKH66" s="122"/>
      <c r="BKI66" s="122"/>
      <c r="BKJ66" s="122"/>
      <c r="BKK66" s="122"/>
      <c r="BKL66" s="122"/>
      <c r="BKM66" s="122"/>
      <c r="BKN66" s="122"/>
      <c r="BKO66" s="122"/>
      <c r="BKP66" s="122"/>
      <c r="BKQ66" s="122"/>
      <c r="BKR66" s="122"/>
      <c r="BKS66" s="122"/>
      <c r="BKT66" s="122"/>
      <c r="BKU66" s="122"/>
      <c r="BKV66" s="122"/>
      <c r="BKW66" s="122"/>
      <c r="BKX66" s="122"/>
      <c r="BKY66" s="122"/>
      <c r="BKZ66" s="122"/>
      <c r="BLA66" s="122"/>
      <c r="BLB66" s="122"/>
      <c r="BLC66" s="122"/>
      <c r="BLD66" s="122"/>
      <c r="BLE66" s="122"/>
      <c r="BLF66" s="122"/>
      <c r="BLG66" s="122"/>
      <c r="BLH66" s="122"/>
      <c r="BLI66" s="122"/>
      <c r="BLJ66" s="122"/>
      <c r="BLK66" s="122"/>
      <c r="BLL66" s="122"/>
      <c r="BLM66" s="122"/>
      <c r="BLN66" s="122"/>
      <c r="BLO66" s="122"/>
      <c r="BLP66" s="122"/>
      <c r="BLQ66" s="122"/>
      <c r="BLR66" s="122"/>
      <c r="BLS66" s="122"/>
      <c r="BLT66" s="122"/>
      <c r="BLU66" s="122"/>
      <c r="BLV66" s="122"/>
      <c r="BLW66" s="122"/>
      <c r="BLX66" s="122"/>
      <c r="BLY66" s="122"/>
      <c r="BLZ66" s="122"/>
      <c r="BMA66" s="122"/>
      <c r="BMB66" s="122"/>
      <c r="BMC66" s="122"/>
      <c r="BMD66" s="122"/>
      <c r="BME66" s="122"/>
      <c r="BMF66" s="122"/>
      <c r="BMG66" s="122"/>
      <c r="BMH66" s="122"/>
      <c r="BMI66" s="122"/>
      <c r="BMJ66" s="122"/>
      <c r="BMK66" s="122"/>
      <c r="BML66" s="122"/>
      <c r="BMM66" s="122"/>
      <c r="BMN66" s="122"/>
      <c r="BMO66" s="122"/>
      <c r="BMP66" s="122"/>
      <c r="BMQ66" s="122"/>
      <c r="BMR66" s="122"/>
      <c r="BMS66" s="122"/>
      <c r="BMT66" s="122"/>
      <c r="BMU66" s="122"/>
      <c r="BMV66" s="122"/>
      <c r="BMW66" s="122"/>
      <c r="BMX66" s="122"/>
      <c r="BMY66" s="122"/>
      <c r="BMZ66" s="122"/>
      <c r="BNA66" s="122"/>
      <c r="BNB66" s="122"/>
      <c r="BNC66" s="122"/>
      <c r="BND66" s="122"/>
      <c r="BNE66" s="122"/>
      <c r="BNF66" s="122"/>
      <c r="BNG66" s="122"/>
      <c r="BNH66" s="122"/>
      <c r="BNI66" s="122"/>
      <c r="BNJ66" s="122"/>
      <c r="BNK66" s="122"/>
      <c r="BNL66" s="122"/>
      <c r="BNM66" s="122"/>
      <c r="BNN66" s="122"/>
      <c r="BNO66" s="122"/>
      <c r="BNP66" s="122"/>
      <c r="BNQ66" s="122"/>
      <c r="BNR66" s="122"/>
      <c r="BNS66" s="122"/>
      <c r="BNT66" s="122"/>
      <c r="BNU66" s="122"/>
      <c r="BNV66" s="122"/>
      <c r="BNW66" s="122"/>
      <c r="BNX66" s="122"/>
      <c r="BNY66" s="122"/>
      <c r="BNZ66" s="122"/>
      <c r="BOA66" s="122"/>
      <c r="BOB66" s="122"/>
      <c r="BOC66" s="122"/>
      <c r="BOD66" s="122"/>
      <c r="BOE66" s="122"/>
      <c r="BOF66" s="122"/>
      <c r="BOG66" s="122"/>
      <c r="BOH66" s="122"/>
      <c r="BOI66" s="122"/>
      <c r="BOJ66" s="122"/>
      <c r="BOK66" s="122"/>
      <c r="BOL66" s="122"/>
      <c r="BOM66" s="122"/>
      <c r="BON66" s="122"/>
      <c r="BOO66" s="122"/>
      <c r="BOP66" s="122"/>
      <c r="BOQ66" s="122"/>
      <c r="BOR66" s="122"/>
      <c r="BOS66" s="122"/>
      <c r="BOT66" s="122"/>
      <c r="BOU66" s="122"/>
      <c r="BOV66" s="122"/>
      <c r="BOW66" s="122"/>
      <c r="BOX66" s="122"/>
      <c r="BOY66" s="122"/>
      <c r="BOZ66" s="122"/>
      <c r="BPA66" s="122"/>
      <c r="BPB66" s="122"/>
      <c r="BPC66" s="122"/>
      <c r="BPD66" s="122"/>
      <c r="BPE66" s="122"/>
      <c r="BPF66" s="122"/>
      <c r="BPG66" s="122"/>
      <c r="BPH66" s="122"/>
      <c r="BPI66" s="122"/>
      <c r="BPJ66" s="122"/>
      <c r="BPK66" s="122"/>
      <c r="BPL66" s="122"/>
      <c r="BPM66" s="122"/>
      <c r="BPN66" s="122"/>
      <c r="BPO66" s="122"/>
      <c r="BPP66" s="122"/>
      <c r="BPQ66" s="122"/>
      <c r="BPR66" s="122"/>
      <c r="BPS66" s="122"/>
      <c r="BPT66" s="122"/>
      <c r="BPU66" s="122"/>
      <c r="BPV66" s="122"/>
      <c r="BPW66" s="122"/>
      <c r="BPX66" s="122"/>
      <c r="BPY66" s="122"/>
      <c r="BPZ66" s="122"/>
      <c r="BQA66" s="122"/>
      <c r="BQB66" s="122"/>
      <c r="BQC66" s="122"/>
      <c r="BQD66" s="122"/>
      <c r="BQE66" s="122"/>
      <c r="BQF66" s="122"/>
      <c r="BQG66" s="122"/>
      <c r="BQH66" s="122"/>
      <c r="BQI66" s="122"/>
      <c r="BQJ66" s="122"/>
      <c r="BQK66" s="122"/>
      <c r="BQL66" s="122"/>
      <c r="BQM66" s="122"/>
      <c r="BQN66" s="122"/>
      <c r="BQO66" s="122"/>
      <c r="BQP66" s="122"/>
      <c r="BQQ66" s="122"/>
      <c r="BQR66" s="122"/>
      <c r="BQS66" s="122"/>
      <c r="BQT66" s="122"/>
      <c r="BQU66" s="122"/>
      <c r="BQV66" s="122"/>
      <c r="BQW66" s="122"/>
      <c r="BQX66" s="122"/>
      <c r="BQY66" s="122"/>
      <c r="BQZ66" s="122"/>
      <c r="BRA66" s="122"/>
      <c r="BRB66" s="122"/>
      <c r="BRC66" s="122"/>
      <c r="BRD66" s="122"/>
      <c r="BRE66" s="122"/>
      <c r="BRF66" s="122"/>
      <c r="BRG66" s="122"/>
      <c r="BRH66" s="122"/>
      <c r="BRI66" s="122"/>
      <c r="BRJ66" s="122"/>
      <c r="BRK66" s="122"/>
      <c r="BRL66" s="122"/>
      <c r="BRM66" s="122"/>
      <c r="BRN66" s="122"/>
      <c r="BRO66" s="122"/>
      <c r="BRP66" s="122"/>
      <c r="BRQ66" s="122"/>
      <c r="BRR66" s="122"/>
      <c r="BRS66" s="122"/>
      <c r="BRT66" s="122"/>
      <c r="BRU66" s="122"/>
      <c r="BRV66" s="122"/>
      <c r="BRW66" s="122"/>
      <c r="BRX66" s="122"/>
      <c r="BRY66" s="122"/>
      <c r="BRZ66" s="122"/>
      <c r="BSA66" s="122"/>
      <c r="BSB66" s="122"/>
      <c r="BSC66" s="122"/>
      <c r="BSD66" s="122"/>
      <c r="BSE66" s="122"/>
      <c r="BSF66" s="122"/>
      <c r="BSG66" s="122"/>
      <c r="BSH66" s="122"/>
      <c r="BSI66" s="122"/>
      <c r="BSJ66" s="122"/>
      <c r="BSK66" s="122"/>
      <c r="BSL66" s="122"/>
      <c r="BSM66" s="122"/>
      <c r="BSN66" s="122"/>
      <c r="BSO66" s="122"/>
      <c r="BSP66" s="122"/>
      <c r="BSQ66" s="122"/>
      <c r="BSR66" s="122"/>
      <c r="BSS66" s="122"/>
      <c r="BST66" s="122"/>
      <c r="BSU66" s="122"/>
      <c r="BSV66" s="122"/>
      <c r="BSW66" s="122"/>
      <c r="BSX66" s="122"/>
      <c r="BSY66" s="122"/>
      <c r="BSZ66" s="122"/>
      <c r="BTA66" s="122"/>
      <c r="BTB66" s="122"/>
      <c r="BTC66" s="122"/>
      <c r="BTD66" s="122"/>
      <c r="BTE66" s="122"/>
      <c r="BTF66" s="122"/>
      <c r="BTG66" s="122"/>
      <c r="BTH66" s="122"/>
      <c r="BTI66" s="122"/>
      <c r="BTJ66" s="122"/>
      <c r="BTK66" s="122"/>
      <c r="BTL66" s="122"/>
      <c r="BTM66" s="122"/>
      <c r="BTN66" s="122"/>
      <c r="BTO66" s="122"/>
      <c r="BTP66" s="122"/>
      <c r="BTQ66" s="122"/>
      <c r="BTR66" s="122"/>
      <c r="BTS66" s="122"/>
      <c r="BTT66" s="122"/>
      <c r="BTU66" s="122"/>
      <c r="BTV66" s="122"/>
      <c r="BTW66" s="122"/>
      <c r="BTX66" s="122"/>
      <c r="BTY66" s="122"/>
      <c r="BTZ66" s="122"/>
      <c r="BUA66" s="122"/>
      <c r="BUB66" s="122"/>
      <c r="BUC66" s="122"/>
      <c r="BUD66" s="122"/>
      <c r="BUE66" s="122"/>
      <c r="BUF66" s="122"/>
      <c r="BUG66" s="122"/>
      <c r="BUH66" s="122"/>
      <c r="BUI66" s="122"/>
      <c r="BUJ66" s="122"/>
      <c r="BUK66" s="122"/>
      <c r="BUL66" s="122"/>
      <c r="BUM66" s="122"/>
      <c r="BUN66" s="122"/>
      <c r="BUO66" s="122"/>
      <c r="BUP66" s="122"/>
      <c r="BUQ66" s="122"/>
      <c r="BUR66" s="122"/>
      <c r="BUS66" s="122"/>
      <c r="BUT66" s="122"/>
      <c r="BUU66" s="122"/>
      <c r="BUV66" s="122"/>
      <c r="BUW66" s="122"/>
      <c r="BUX66" s="122"/>
      <c r="BUY66" s="122"/>
      <c r="BUZ66" s="122"/>
      <c r="BVA66" s="122"/>
      <c r="BVB66" s="122"/>
      <c r="BVC66" s="122"/>
      <c r="BVD66" s="122"/>
      <c r="BVE66" s="122"/>
      <c r="BVF66" s="122"/>
      <c r="BVG66" s="122"/>
      <c r="BVH66" s="122"/>
      <c r="BVI66" s="122"/>
      <c r="BVJ66" s="122"/>
      <c r="BVK66" s="122"/>
      <c r="BVL66" s="122"/>
      <c r="BVM66" s="122"/>
      <c r="BVN66" s="122"/>
      <c r="BVO66" s="122"/>
      <c r="BVP66" s="122"/>
      <c r="BVQ66" s="122"/>
      <c r="BVR66" s="122"/>
      <c r="BVS66" s="122"/>
      <c r="BVT66" s="122"/>
      <c r="BVU66" s="122"/>
      <c r="BVV66" s="122"/>
      <c r="BVW66" s="122"/>
      <c r="BVX66" s="122"/>
      <c r="BVY66" s="122"/>
      <c r="BVZ66" s="122"/>
      <c r="BWA66" s="122"/>
      <c r="BWB66" s="122"/>
      <c r="BWC66" s="122"/>
      <c r="BWD66" s="122"/>
      <c r="BWE66" s="122"/>
      <c r="BWF66" s="122"/>
      <c r="BWG66" s="122"/>
      <c r="BWH66" s="122"/>
      <c r="BWI66" s="122"/>
      <c r="BWJ66" s="122"/>
      <c r="BWK66" s="122"/>
      <c r="BWL66" s="122"/>
      <c r="BWM66" s="122"/>
      <c r="BWN66" s="122"/>
      <c r="BWO66" s="122"/>
      <c r="BWP66" s="122"/>
      <c r="BWQ66" s="122"/>
      <c r="BWR66" s="122"/>
      <c r="BWS66" s="122"/>
      <c r="BWT66" s="122"/>
      <c r="BWU66" s="122"/>
      <c r="BWV66" s="122"/>
      <c r="BWW66" s="122"/>
      <c r="BWX66" s="122"/>
      <c r="BWY66" s="122"/>
      <c r="BWZ66" s="122"/>
      <c r="BXA66" s="122"/>
      <c r="BXB66" s="122"/>
      <c r="BXC66" s="122"/>
      <c r="BXD66" s="122"/>
      <c r="BXE66" s="122"/>
      <c r="BXF66" s="122"/>
      <c r="BXG66" s="122"/>
      <c r="BXH66" s="122"/>
      <c r="BXI66" s="122"/>
      <c r="BXJ66" s="122"/>
      <c r="BXK66" s="122"/>
      <c r="BXL66" s="122"/>
      <c r="BXM66" s="122"/>
      <c r="BXN66" s="122"/>
      <c r="BXO66" s="122"/>
      <c r="BXP66" s="122"/>
      <c r="BXQ66" s="122"/>
      <c r="BXR66" s="122"/>
      <c r="BXS66" s="122"/>
      <c r="BXT66" s="122"/>
      <c r="BXU66" s="122"/>
      <c r="BXV66" s="122"/>
      <c r="BXW66" s="122"/>
      <c r="BXX66" s="122"/>
      <c r="BXY66" s="122"/>
      <c r="BXZ66" s="122"/>
      <c r="BYA66" s="122"/>
      <c r="BYB66" s="122"/>
      <c r="BYC66" s="122"/>
      <c r="BYD66" s="122"/>
      <c r="BYE66" s="122"/>
      <c r="BYF66" s="122"/>
      <c r="BYG66" s="122"/>
      <c r="BYH66" s="122"/>
      <c r="BYI66" s="122"/>
      <c r="BYJ66" s="122"/>
      <c r="BYK66" s="122"/>
      <c r="BYL66" s="122"/>
      <c r="BYM66" s="122"/>
      <c r="BYN66" s="122"/>
      <c r="BYO66" s="122"/>
      <c r="BYP66" s="122"/>
      <c r="BYQ66" s="122"/>
      <c r="BYR66" s="122"/>
      <c r="BYS66" s="122"/>
      <c r="BYT66" s="122"/>
      <c r="BYU66" s="122"/>
      <c r="BYV66" s="122"/>
      <c r="BYW66" s="122"/>
      <c r="BYX66" s="122"/>
      <c r="BYY66" s="122"/>
      <c r="BYZ66" s="122"/>
      <c r="BZA66" s="122"/>
      <c r="BZB66" s="122"/>
      <c r="BZC66" s="122"/>
      <c r="BZD66" s="122"/>
      <c r="BZE66" s="122"/>
      <c r="BZF66" s="122"/>
      <c r="BZG66" s="122"/>
      <c r="BZH66" s="122"/>
      <c r="BZI66" s="122"/>
      <c r="BZJ66" s="122"/>
      <c r="BZK66" s="122"/>
      <c r="BZL66" s="122"/>
      <c r="BZM66" s="122"/>
      <c r="BZN66" s="122"/>
      <c r="BZO66" s="122"/>
      <c r="BZP66" s="122"/>
      <c r="BZQ66" s="122"/>
      <c r="BZR66" s="122"/>
      <c r="BZS66" s="122"/>
      <c r="BZT66" s="122"/>
      <c r="BZU66" s="122"/>
      <c r="BZV66" s="122"/>
      <c r="BZW66" s="122"/>
      <c r="BZX66" s="122"/>
      <c r="BZY66" s="122"/>
      <c r="BZZ66" s="122"/>
      <c r="CAA66" s="122"/>
      <c r="CAB66" s="122"/>
      <c r="CAC66" s="122"/>
      <c r="CAD66" s="122"/>
      <c r="CAE66" s="122"/>
      <c r="CAF66" s="122"/>
      <c r="CAG66" s="122"/>
      <c r="CAH66" s="122"/>
      <c r="CAI66" s="122"/>
      <c r="CAJ66" s="122"/>
      <c r="CAK66" s="122"/>
      <c r="CAL66" s="122"/>
      <c r="CAM66" s="122"/>
      <c r="CAN66" s="122"/>
      <c r="CAO66" s="122"/>
      <c r="CAP66" s="122"/>
      <c r="CAQ66" s="122"/>
      <c r="CAR66" s="122"/>
      <c r="CAS66" s="122"/>
      <c r="CAT66" s="122"/>
      <c r="CAU66" s="122"/>
      <c r="CAV66" s="122"/>
      <c r="CAW66" s="122"/>
      <c r="CAX66" s="122"/>
      <c r="CAY66" s="122"/>
      <c r="CAZ66" s="122"/>
      <c r="CBA66" s="122"/>
      <c r="CBB66" s="122"/>
      <c r="CBC66" s="122"/>
      <c r="CBD66" s="122"/>
      <c r="CBE66" s="122"/>
      <c r="CBF66" s="122"/>
      <c r="CBG66" s="122"/>
      <c r="CBH66" s="122"/>
      <c r="CBI66" s="122"/>
      <c r="CBJ66" s="122"/>
      <c r="CBK66" s="122"/>
      <c r="CBL66" s="122"/>
      <c r="CBM66" s="122"/>
      <c r="CBN66" s="122"/>
      <c r="CBO66" s="122"/>
      <c r="CBP66" s="122"/>
      <c r="CBQ66" s="122"/>
      <c r="CBR66" s="122"/>
      <c r="CBS66" s="122"/>
      <c r="CBT66" s="122"/>
      <c r="CBU66" s="122"/>
      <c r="CBV66" s="122"/>
      <c r="CBW66" s="122"/>
      <c r="CBX66" s="122"/>
      <c r="CBY66" s="122"/>
      <c r="CBZ66" s="122"/>
      <c r="CCA66" s="122"/>
      <c r="CCB66" s="122"/>
      <c r="CCC66" s="122"/>
      <c r="CCD66" s="122"/>
      <c r="CCE66" s="122"/>
      <c r="CCF66" s="122"/>
      <c r="CCG66" s="122"/>
      <c r="CCH66" s="122"/>
      <c r="CCI66" s="122"/>
      <c r="CCJ66" s="122"/>
      <c r="CCK66" s="122"/>
      <c r="CCL66" s="122"/>
      <c r="CCM66" s="122"/>
      <c r="CCN66" s="122"/>
      <c r="CCO66" s="122"/>
      <c r="CCP66" s="122"/>
      <c r="CCQ66" s="122"/>
      <c r="CCR66" s="122"/>
      <c r="CCS66" s="122"/>
      <c r="CCT66" s="122"/>
      <c r="CCU66" s="122"/>
      <c r="CCV66" s="122"/>
      <c r="CCW66" s="122"/>
      <c r="CCX66" s="122"/>
      <c r="CCY66" s="122"/>
      <c r="CCZ66" s="122"/>
      <c r="CDA66" s="122"/>
      <c r="CDB66" s="122"/>
      <c r="CDC66" s="122"/>
      <c r="CDD66" s="122"/>
      <c r="CDE66" s="122"/>
      <c r="CDF66" s="122"/>
      <c r="CDG66" s="122"/>
      <c r="CDH66" s="122"/>
      <c r="CDI66" s="122"/>
      <c r="CDJ66" s="122"/>
      <c r="CDK66" s="122"/>
      <c r="CDL66" s="122"/>
      <c r="CDM66" s="122"/>
      <c r="CDN66" s="122"/>
      <c r="CDO66" s="122"/>
      <c r="CDP66" s="122"/>
      <c r="CDQ66" s="122"/>
      <c r="CDR66" s="122"/>
      <c r="CDS66" s="122"/>
      <c r="CDT66" s="122"/>
      <c r="CDU66" s="122"/>
      <c r="CDV66" s="122"/>
      <c r="CDW66" s="122"/>
      <c r="CDX66" s="122"/>
      <c r="CDY66" s="122"/>
      <c r="CDZ66" s="122"/>
      <c r="CEA66" s="122"/>
      <c r="CEB66" s="122"/>
      <c r="CEC66" s="122"/>
      <c r="CED66" s="122"/>
      <c r="CEE66" s="122"/>
      <c r="CEF66" s="122"/>
      <c r="CEG66" s="122"/>
      <c r="CEH66" s="122"/>
      <c r="CEI66" s="122"/>
      <c r="CEJ66" s="122"/>
      <c r="CEK66" s="122"/>
      <c r="CEL66" s="122"/>
      <c r="CEM66" s="122"/>
      <c r="CEN66" s="122"/>
      <c r="CEO66" s="122"/>
      <c r="CEP66" s="122"/>
      <c r="CEQ66" s="122"/>
      <c r="CER66" s="122"/>
      <c r="CES66" s="122"/>
      <c r="CET66" s="122"/>
      <c r="CEU66" s="122"/>
      <c r="CEV66" s="122"/>
      <c r="CEW66" s="122"/>
      <c r="CEX66" s="122"/>
      <c r="CEY66" s="122"/>
      <c r="CEZ66" s="122"/>
      <c r="CFA66" s="122"/>
      <c r="CFB66" s="122"/>
      <c r="CFC66" s="122"/>
      <c r="CFD66" s="122"/>
      <c r="CFE66" s="122"/>
      <c r="CFF66" s="122"/>
      <c r="CFG66" s="122"/>
      <c r="CFH66" s="122"/>
      <c r="CFI66" s="122"/>
      <c r="CFJ66" s="122"/>
      <c r="CFK66" s="122"/>
      <c r="CFL66" s="122"/>
      <c r="CFM66" s="122"/>
      <c r="CFN66" s="122"/>
      <c r="CFO66" s="122"/>
      <c r="CFP66" s="122"/>
      <c r="CFQ66" s="122"/>
      <c r="CFR66" s="122"/>
      <c r="CFS66" s="122"/>
      <c r="CFT66" s="122"/>
      <c r="CFU66" s="122"/>
      <c r="CFV66" s="122"/>
      <c r="CFW66" s="122"/>
      <c r="CFX66" s="122"/>
      <c r="CFY66" s="122"/>
      <c r="CFZ66" s="122"/>
      <c r="CGA66" s="122"/>
      <c r="CGB66" s="122"/>
      <c r="CGC66" s="122"/>
      <c r="CGD66" s="122"/>
      <c r="CGE66" s="122"/>
      <c r="CGF66" s="122"/>
      <c r="CGG66" s="122"/>
      <c r="CGH66" s="122"/>
      <c r="CGI66" s="122"/>
      <c r="CGJ66" s="122"/>
      <c r="CGK66" s="122"/>
      <c r="CGL66" s="122"/>
      <c r="CGM66" s="122"/>
      <c r="CGN66" s="122"/>
      <c r="CGO66" s="122"/>
      <c r="CGP66" s="122"/>
      <c r="CGQ66" s="122"/>
      <c r="CGR66" s="122"/>
      <c r="CGS66" s="122"/>
      <c r="CGT66" s="122"/>
      <c r="CGU66" s="122"/>
      <c r="CGV66" s="122"/>
      <c r="CGW66" s="122"/>
      <c r="CGX66" s="122"/>
      <c r="CGY66" s="122"/>
      <c r="CGZ66" s="122"/>
      <c r="CHA66" s="122"/>
      <c r="CHB66" s="122"/>
      <c r="CHC66" s="122"/>
      <c r="CHD66" s="122"/>
      <c r="CHE66" s="122"/>
      <c r="CHF66" s="122"/>
      <c r="CHG66" s="122"/>
      <c r="CHH66" s="122"/>
      <c r="CHI66" s="122"/>
      <c r="CHJ66" s="122"/>
      <c r="CHK66" s="122"/>
      <c r="CHL66" s="122"/>
      <c r="CHM66" s="122"/>
      <c r="CHN66" s="122"/>
      <c r="CHO66" s="122"/>
      <c r="CHP66" s="122"/>
      <c r="CHQ66" s="122"/>
      <c r="CHR66" s="122"/>
      <c r="CHS66" s="122"/>
      <c r="CHT66" s="122"/>
      <c r="CHU66" s="122"/>
      <c r="CHV66" s="122"/>
      <c r="CHW66" s="122"/>
      <c r="CHX66" s="122"/>
      <c r="CHY66" s="122"/>
      <c r="CHZ66" s="122"/>
      <c r="CIA66" s="122"/>
      <c r="CIB66" s="122"/>
      <c r="CIC66" s="122"/>
      <c r="CID66" s="122"/>
      <c r="CIE66" s="122"/>
      <c r="CIF66" s="122"/>
      <c r="CIG66" s="122"/>
      <c r="CIH66" s="122"/>
      <c r="CII66" s="122"/>
      <c r="CIJ66" s="122"/>
      <c r="CIK66" s="122"/>
      <c r="CIL66" s="122"/>
      <c r="CIM66" s="122"/>
      <c r="CIN66" s="122"/>
      <c r="CIO66" s="122"/>
      <c r="CIP66" s="122"/>
      <c r="CIQ66" s="122"/>
      <c r="CIR66" s="122"/>
      <c r="CIS66" s="122"/>
      <c r="CIT66" s="122"/>
      <c r="CIU66" s="122"/>
      <c r="CIV66" s="122"/>
      <c r="CIW66" s="122"/>
      <c r="CIX66" s="122"/>
      <c r="CIY66" s="122"/>
      <c r="CIZ66" s="122"/>
      <c r="CJA66" s="122"/>
      <c r="CJB66" s="122"/>
      <c r="CJC66" s="122"/>
      <c r="CJD66" s="122"/>
      <c r="CJE66" s="122"/>
      <c r="CJF66" s="122"/>
      <c r="CJG66" s="122"/>
      <c r="CJH66" s="122"/>
      <c r="CJI66" s="122"/>
      <c r="CJJ66" s="122"/>
      <c r="CJK66" s="122"/>
      <c r="CJL66" s="122"/>
      <c r="CJM66" s="122"/>
      <c r="CJN66" s="122"/>
      <c r="CJO66" s="122"/>
      <c r="CJP66" s="122"/>
      <c r="CJQ66" s="122"/>
      <c r="CJR66" s="122"/>
      <c r="CJS66" s="122"/>
      <c r="CJT66" s="122"/>
      <c r="CJU66" s="122"/>
      <c r="CJV66" s="122"/>
      <c r="CJW66" s="122"/>
      <c r="CJX66" s="122"/>
      <c r="CJY66" s="122"/>
      <c r="CJZ66" s="122"/>
      <c r="CKA66" s="122"/>
      <c r="CKB66" s="122"/>
      <c r="CKC66" s="122"/>
      <c r="CKD66" s="122"/>
      <c r="CKE66" s="122"/>
      <c r="CKF66" s="122"/>
      <c r="CKG66" s="122"/>
      <c r="CKH66" s="122"/>
      <c r="CKI66" s="122"/>
      <c r="CKJ66" s="122"/>
      <c r="CKK66" s="122"/>
      <c r="CKL66" s="122"/>
      <c r="CKM66" s="122"/>
      <c r="CKN66" s="122"/>
      <c r="CKO66" s="122"/>
      <c r="CKP66" s="122"/>
      <c r="CKQ66" s="122"/>
      <c r="CKR66" s="122"/>
      <c r="CKS66" s="122"/>
      <c r="CKT66" s="122"/>
      <c r="CKU66" s="122"/>
      <c r="CKV66" s="122"/>
      <c r="CKW66" s="122"/>
      <c r="CKX66" s="122"/>
      <c r="CKY66" s="122"/>
      <c r="CKZ66" s="122"/>
      <c r="CLA66" s="122"/>
      <c r="CLB66" s="122"/>
      <c r="CLC66" s="122"/>
      <c r="CLD66" s="122"/>
      <c r="CLE66" s="122"/>
      <c r="CLF66" s="122"/>
      <c r="CLG66" s="122"/>
      <c r="CLH66" s="122"/>
      <c r="CLI66" s="122"/>
      <c r="CLJ66" s="122"/>
      <c r="CLK66" s="122"/>
      <c r="CLL66" s="122"/>
      <c r="CLM66" s="122"/>
      <c r="CLN66" s="122"/>
      <c r="CLO66" s="122"/>
      <c r="CLP66" s="122"/>
      <c r="CLQ66" s="122"/>
      <c r="CLR66" s="122"/>
      <c r="CLS66" s="122"/>
      <c r="CLT66" s="122"/>
      <c r="CLU66" s="122"/>
      <c r="CLV66" s="122"/>
      <c r="CLW66" s="122"/>
      <c r="CLX66" s="122"/>
      <c r="CLY66" s="122"/>
      <c r="CLZ66" s="122"/>
      <c r="CMA66" s="122"/>
      <c r="CMB66" s="122"/>
      <c r="CMC66" s="122"/>
      <c r="CMD66" s="122"/>
      <c r="CME66" s="122"/>
      <c r="CMF66" s="122"/>
      <c r="CMG66" s="122"/>
      <c r="CMH66" s="122"/>
      <c r="CMI66" s="122"/>
      <c r="CMJ66" s="122"/>
      <c r="CMK66" s="122"/>
      <c r="CML66" s="122"/>
      <c r="CMM66" s="122"/>
      <c r="CMN66" s="122"/>
      <c r="CMO66" s="122"/>
      <c r="CMP66" s="122"/>
      <c r="CMQ66" s="122"/>
      <c r="CMR66" s="122"/>
      <c r="CMS66" s="122"/>
      <c r="CMT66" s="122"/>
      <c r="CMU66" s="122"/>
      <c r="CMV66" s="122"/>
      <c r="CMW66" s="122"/>
      <c r="CMX66" s="122"/>
      <c r="CMY66" s="122"/>
      <c r="CMZ66" s="122"/>
      <c r="CNA66" s="122"/>
      <c r="CNB66" s="122"/>
      <c r="CNC66" s="122"/>
      <c r="CND66" s="122"/>
      <c r="CNE66" s="122"/>
      <c r="CNF66" s="122"/>
      <c r="CNG66" s="122"/>
      <c r="CNH66" s="122"/>
      <c r="CNI66" s="122"/>
      <c r="CNJ66" s="122"/>
      <c r="CNK66" s="122"/>
      <c r="CNL66" s="122"/>
      <c r="CNM66" s="122"/>
      <c r="CNN66" s="122"/>
      <c r="CNO66" s="122"/>
      <c r="CNP66" s="122"/>
      <c r="CNQ66" s="122"/>
      <c r="CNR66" s="122"/>
      <c r="CNS66" s="122"/>
      <c r="CNT66" s="122"/>
      <c r="CNU66" s="122"/>
      <c r="CNV66" s="122"/>
      <c r="CNW66" s="122"/>
      <c r="CNX66" s="122"/>
      <c r="CNY66" s="122"/>
      <c r="CNZ66" s="122"/>
      <c r="COA66" s="122"/>
      <c r="COB66" s="122"/>
      <c r="COC66" s="122"/>
      <c r="COD66" s="122"/>
      <c r="COE66" s="122"/>
      <c r="COF66" s="122"/>
      <c r="COG66" s="122"/>
      <c r="COH66" s="122"/>
      <c r="COI66" s="122"/>
      <c r="COJ66" s="122"/>
      <c r="COK66" s="122"/>
      <c r="COL66" s="122"/>
      <c r="COM66" s="122"/>
      <c r="CON66" s="122"/>
      <c r="COO66" s="122"/>
      <c r="COP66" s="122"/>
      <c r="COQ66" s="122"/>
      <c r="COR66" s="122"/>
      <c r="COS66" s="122"/>
      <c r="COT66" s="122"/>
      <c r="COU66" s="122"/>
      <c r="COV66" s="122"/>
      <c r="COW66" s="122"/>
      <c r="COX66" s="122"/>
      <c r="COY66" s="122"/>
      <c r="COZ66" s="122"/>
      <c r="CPA66" s="122"/>
      <c r="CPB66" s="122"/>
      <c r="CPC66" s="122"/>
      <c r="CPD66" s="122"/>
      <c r="CPE66" s="122"/>
      <c r="CPF66" s="122"/>
      <c r="CPG66" s="122"/>
      <c r="CPH66" s="122"/>
      <c r="CPI66" s="122"/>
      <c r="CPJ66" s="122"/>
      <c r="CPK66" s="122"/>
      <c r="CPL66" s="122"/>
      <c r="CPM66" s="122"/>
      <c r="CPN66" s="122"/>
      <c r="CPO66" s="122"/>
      <c r="CPP66" s="122"/>
      <c r="CPQ66" s="122"/>
      <c r="CPR66" s="122"/>
      <c r="CPS66" s="122"/>
      <c r="CPT66" s="122"/>
      <c r="CPU66" s="122"/>
      <c r="CPV66" s="122"/>
      <c r="CPW66" s="122"/>
      <c r="CPX66" s="122"/>
      <c r="CPY66" s="122"/>
      <c r="CPZ66" s="122"/>
      <c r="CQA66" s="122"/>
      <c r="CQB66" s="122"/>
      <c r="CQC66" s="122"/>
      <c r="CQD66" s="122"/>
      <c r="CQE66" s="122"/>
      <c r="CQF66" s="122"/>
      <c r="CQG66" s="122"/>
      <c r="CQH66" s="122"/>
      <c r="CQI66" s="122"/>
      <c r="CQJ66" s="122"/>
      <c r="CQK66" s="122"/>
      <c r="CQL66" s="122"/>
      <c r="CQM66" s="122"/>
      <c r="CQN66" s="122"/>
      <c r="CQO66" s="122"/>
      <c r="CQP66" s="122"/>
      <c r="CQQ66" s="122"/>
      <c r="CQR66" s="122"/>
      <c r="CQS66" s="122"/>
      <c r="CQT66" s="122"/>
      <c r="CQU66" s="122"/>
      <c r="CQV66" s="122"/>
      <c r="CQW66" s="122"/>
      <c r="CQX66" s="122"/>
      <c r="CQY66" s="122"/>
      <c r="CQZ66" s="122"/>
      <c r="CRA66" s="122"/>
      <c r="CRB66" s="122"/>
      <c r="CRC66" s="122"/>
      <c r="CRD66" s="122"/>
      <c r="CRE66" s="122"/>
      <c r="CRF66" s="122"/>
      <c r="CRG66" s="122"/>
      <c r="CRH66" s="122"/>
      <c r="CRI66" s="122"/>
      <c r="CRJ66" s="122"/>
      <c r="CRK66" s="122"/>
      <c r="CRL66" s="122"/>
      <c r="CRM66" s="122"/>
      <c r="CRN66" s="122"/>
      <c r="CRO66" s="122"/>
      <c r="CRP66" s="122"/>
      <c r="CRQ66" s="122"/>
      <c r="CRR66" s="122"/>
      <c r="CRS66" s="122"/>
      <c r="CRT66" s="122"/>
      <c r="CRU66" s="122"/>
      <c r="CRV66" s="122"/>
      <c r="CRW66" s="122"/>
      <c r="CRX66" s="122"/>
      <c r="CRY66" s="122"/>
      <c r="CRZ66" s="122"/>
      <c r="CSA66" s="122"/>
      <c r="CSB66" s="122"/>
      <c r="CSC66" s="122"/>
      <c r="CSD66" s="122"/>
      <c r="CSE66" s="122"/>
      <c r="CSF66" s="122"/>
      <c r="CSG66" s="122"/>
      <c r="CSH66" s="122"/>
      <c r="CSI66" s="122"/>
      <c r="CSJ66" s="122"/>
      <c r="CSK66" s="122"/>
      <c r="CSL66" s="122"/>
      <c r="CSM66" s="122"/>
      <c r="CSN66" s="122"/>
      <c r="CSO66" s="122"/>
      <c r="CSP66" s="122"/>
      <c r="CSQ66" s="122"/>
      <c r="CSR66" s="122"/>
      <c r="CSS66" s="122"/>
      <c r="CST66" s="122"/>
      <c r="CSU66" s="122"/>
      <c r="CSV66" s="122"/>
      <c r="CSW66" s="122"/>
      <c r="CSX66" s="122"/>
      <c r="CSY66" s="122"/>
      <c r="CSZ66" s="122"/>
      <c r="CTA66" s="122"/>
      <c r="CTB66" s="122"/>
      <c r="CTC66" s="122"/>
      <c r="CTD66" s="122"/>
      <c r="CTE66" s="122"/>
      <c r="CTF66" s="122"/>
      <c r="CTG66" s="122"/>
      <c r="CTH66" s="122"/>
      <c r="CTI66" s="122"/>
      <c r="CTJ66" s="122"/>
      <c r="CTK66" s="122"/>
      <c r="CTL66" s="122"/>
      <c r="CTM66" s="122"/>
      <c r="CTN66" s="122"/>
      <c r="CTO66" s="122"/>
      <c r="CTP66" s="122"/>
      <c r="CTQ66" s="122"/>
      <c r="CTR66" s="122"/>
      <c r="CTS66" s="122"/>
      <c r="CTT66" s="122"/>
      <c r="CTU66" s="122"/>
      <c r="CTV66" s="122"/>
      <c r="CTW66" s="122"/>
      <c r="CTX66" s="122"/>
      <c r="CTY66" s="122"/>
      <c r="CTZ66" s="122"/>
      <c r="CUA66" s="122"/>
      <c r="CUB66" s="122"/>
      <c r="CUC66" s="122"/>
      <c r="CUD66" s="122"/>
      <c r="CUE66" s="122"/>
      <c r="CUF66" s="122"/>
      <c r="CUG66" s="122"/>
      <c r="CUH66" s="122"/>
      <c r="CUI66" s="122"/>
      <c r="CUJ66" s="122"/>
      <c r="CUK66" s="122"/>
      <c r="CUL66" s="122"/>
      <c r="CUM66" s="122"/>
      <c r="CUN66" s="122"/>
      <c r="CUO66" s="122"/>
      <c r="CUP66" s="122"/>
      <c r="CUQ66" s="122"/>
      <c r="CUR66" s="122"/>
      <c r="CUS66" s="122"/>
      <c r="CUT66" s="122"/>
      <c r="CUU66" s="122"/>
      <c r="CUV66" s="122"/>
      <c r="CUW66" s="122"/>
      <c r="CUX66" s="122"/>
      <c r="CUY66" s="122"/>
      <c r="CUZ66" s="122"/>
      <c r="CVA66" s="122"/>
      <c r="CVB66" s="122"/>
      <c r="CVC66" s="122"/>
      <c r="CVD66" s="122"/>
      <c r="CVE66" s="122"/>
      <c r="CVF66" s="122"/>
      <c r="CVG66" s="122"/>
      <c r="CVH66" s="122"/>
      <c r="CVI66" s="122"/>
      <c r="CVJ66" s="122"/>
      <c r="CVK66" s="122"/>
      <c r="CVL66" s="122"/>
      <c r="CVM66" s="122"/>
      <c r="CVN66" s="122"/>
      <c r="CVO66" s="122"/>
      <c r="CVP66" s="122"/>
      <c r="CVQ66" s="122"/>
      <c r="CVR66" s="122"/>
      <c r="CVS66" s="122"/>
      <c r="CVT66" s="122"/>
      <c r="CVU66" s="122"/>
      <c r="CVV66" s="122"/>
      <c r="CVW66" s="122"/>
      <c r="CVX66" s="122"/>
      <c r="CVY66" s="122"/>
      <c r="CVZ66" s="122"/>
      <c r="CWA66" s="122"/>
      <c r="CWB66" s="122"/>
      <c r="CWC66" s="122"/>
      <c r="CWD66" s="122"/>
      <c r="CWE66" s="122"/>
      <c r="CWF66" s="122"/>
      <c r="CWG66" s="122"/>
      <c r="CWH66" s="122"/>
      <c r="CWI66" s="122"/>
      <c r="CWJ66" s="122"/>
      <c r="CWK66" s="122"/>
      <c r="CWL66" s="122"/>
      <c r="CWM66" s="122"/>
      <c r="CWN66" s="122"/>
      <c r="CWO66" s="122"/>
      <c r="CWP66" s="122"/>
      <c r="CWQ66" s="122"/>
      <c r="CWR66" s="122"/>
      <c r="CWS66" s="122"/>
      <c r="CWT66" s="122"/>
      <c r="CWU66" s="122"/>
      <c r="CWV66" s="122"/>
      <c r="CWW66" s="122"/>
      <c r="CWX66" s="122"/>
      <c r="CWY66" s="122"/>
      <c r="CWZ66" s="122"/>
      <c r="CXA66" s="122"/>
      <c r="CXB66" s="122"/>
      <c r="CXC66" s="122"/>
      <c r="CXD66" s="122"/>
      <c r="CXE66" s="122"/>
      <c r="CXF66" s="122"/>
      <c r="CXG66" s="122"/>
      <c r="CXH66" s="122"/>
      <c r="CXI66" s="122"/>
      <c r="CXJ66" s="122"/>
      <c r="CXK66" s="122"/>
      <c r="CXL66" s="122"/>
      <c r="CXM66" s="122"/>
      <c r="CXN66" s="122"/>
      <c r="CXO66" s="122"/>
      <c r="CXP66" s="122"/>
      <c r="CXQ66" s="122"/>
      <c r="CXR66" s="122"/>
      <c r="CXS66" s="122"/>
      <c r="CXT66" s="122"/>
      <c r="CXU66" s="122"/>
      <c r="CXV66" s="122"/>
      <c r="CXW66" s="122"/>
      <c r="CXX66" s="122"/>
      <c r="CXY66" s="122"/>
      <c r="CXZ66" s="122"/>
      <c r="CYA66" s="122"/>
      <c r="CYB66" s="122"/>
      <c r="CYC66" s="122"/>
      <c r="CYD66" s="122"/>
      <c r="CYE66" s="122"/>
      <c r="CYF66" s="122"/>
      <c r="CYG66" s="122"/>
      <c r="CYH66" s="122"/>
      <c r="CYI66" s="122"/>
      <c r="CYJ66" s="122"/>
      <c r="CYK66" s="122"/>
      <c r="CYL66" s="122"/>
      <c r="CYM66" s="122"/>
      <c r="CYN66" s="122"/>
      <c r="CYO66" s="122"/>
      <c r="CYP66" s="122"/>
      <c r="CYQ66" s="122"/>
      <c r="CYR66" s="122"/>
      <c r="CYS66" s="122"/>
      <c r="CYT66" s="122"/>
      <c r="CYU66" s="122"/>
      <c r="CYV66" s="122"/>
      <c r="CYW66" s="122"/>
      <c r="CYX66" s="122"/>
      <c r="CYY66" s="122"/>
      <c r="CYZ66" s="122"/>
      <c r="CZA66" s="122"/>
      <c r="CZB66" s="122"/>
      <c r="CZC66" s="122"/>
      <c r="CZD66" s="122"/>
      <c r="CZE66" s="122"/>
      <c r="CZF66" s="122"/>
      <c r="CZG66" s="122"/>
      <c r="CZH66" s="122"/>
      <c r="CZI66" s="122"/>
      <c r="CZJ66" s="122"/>
      <c r="CZK66" s="122"/>
      <c r="CZL66" s="122"/>
      <c r="CZM66" s="122"/>
      <c r="CZN66" s="122"/>
      <c r="CZO66" s="122"/>
      <c r="CZP66" s="122"/>
      <c r="CZQ66" s="122"/>
      <c r="CZR66" s="122"/>
      <c r="CZS66" s="122"/>
      <c r="CZT66" s="122"/>
      <c r="CZU66" s="122"/>
      <c r="CZV66" s="122"/>
      <c r="CZW66" s="122"/>
      <c r="CZX66" s="122"/>
      <c r="CZY66" s="122"/>
      <c r="CZZ66" s="122"/>
      <c r="DAA66" s="122"/>
      <c r="DAB66" s="122"/>
      <c r="DAC66" s="122"/>
      <c r="DAD66" s="122"/>
      <c r="DAE66" s="122"/>
      <c r="DAF66" s="122"/>
      <c r="DAG66" s="122"/>
      <c r="DAH66" s="122"/>
      <c r="DAI66" s="122"/>
      <c r="DAJ66" s="122"/>
      <c r="DAK66" s="122"/>
      <c r="DAL66" s="122"/>
      <c r="DAM66" s="122"/>
      <c r="DAN66" s="122"/>
      <c r="DAO66" s="122"/>
      <c r="DAP66" s="122"/>
      <c r="DAQ66" s="122"/>
      <c r="DAR66" s="122"/>
      <c r="DAS66" s="122"/>
      <c r="DAT66" s="122"/>
      <c r="DAU66" s="122"/>
      <c r="DAV66" s="122"/>
      <c r="DAW66" s="122"/>
      <c r="DAX66" s="122"/>
      <c r="DAY66" s="122"/>
      <c r="DAZ66" s="122"/>
      <c r="DBA66" s="122"/>
      <c r="DBB66" s="122"/>
      <c r="DBC66" s="122"/>
      <c r="DBD66" s="122"/>
      <c r="DBE66" s="122"/>
      <c r="DBF66" s="122"/>
      <c r="DBG66" s="122"/>
      <c r="DBH66" s="122"/>
      <c r="DBI66" s="122"/>
      <c r="DBJ66" s="122"/>
      <c r="DBK66" s="122"/>
      <c r="DBL66" s="122"/>
      <c r="DBM66" s="122"/>
      <c r="DBN66" s="122"/>
      <c r="DBO66" s="122"/>
      <c r="DBP66" s="122"/>
      <c r="DBQ66" s="122"/>
      <c r="DBR66" s="122"/>
      <c r="DBS66" s="122"/>
      <c r="DBT66" s="122"/>
      <c r="DBU66" s="122"/>
      <c r="DBV66" s="122"/>
      <c r="DBW66" s="122"/>
      <c r="DBX66" s="122"/>
      <c r="DBY66" s="122"/>
      <c r="DBZ66" s="122"/>
      <c r="DCA66" s="122"/>
      <c r="DCB66" s="122"/>
      <c r="DCC66" s="122"/>
      <c r="DCD66" s="122"/>
      <c r="DCE66" s="122"/>
      <c r="DCF66" s="122"/>
      <c r="DCG66" s="122"/>
      <c r="DCH66" s="122"/>
      <c r="DCI66" s="122"/>
      <c r="DCJ66" s="122"/>
      <c r="DCK66" s="122"/>
      <c r="DCL66" s="122"/>
      <c r="DCM66" s="122"/>
      <c r="DCN66" s="122"/>
      <c r="DCO66" s="122"/>
      <c r="DCP66" s="122"/>
      <c r="DCQ66" s="122"/>
      <c r="DCR66" s="122"/>
      <c r="DCS66" s="122"/>
      <c r="DCT66" s="122"/>
      <c r="DCU66" s="122"/>
      <c r="DCV66" s="122"/>
      <c r="DCW66" s="122"/>
      <c r="DCX66" s="122"/>
      <c r="DCY66" s="122"/>
      <c r="DCZ66" s="122"/>
      <c r="DDA66" s="122"/>
      <c r="DDB66" s="122"/>
      <c r="DDC66" s="122"/>
      <c r="DDD66" s="122"/>
      <c r="DDE66" s="122"/>
      <c r="DDF66" s="122"/>
      <c r="DDG66" s="122"/>
      <c r="DDH66" s="122"/>
      <c r="DDI66" s="122"/>
      <c r="DDJ66" s="122"/>
      <c r="DDK66" s="122"/>
      <c r="DDL66" s="122"/>
      <c r="DDM66" s="122"/>
      <c r="DDN66" s="122"/>
      <c r="DDO66" s="122"/>
      <c r="DDP66" s="122"/>
      <c r="DDQ66" s="122"/>
      <c r="DDR66" s="122"/>
      <c r="DDS66" s="122"/>
      <c r="DDT66" s="122"/>
      <c r="DDU66" s="122"/>
      <c r="DDV66" s="122"/>
      <c r="DDW66" s="122"/>
      <c r="DDX66" s="122"/>
      <c r="DDY66" s="122"/>
      <c r="DDZ66" s="122"/>
      <c r="DEA66" s="122"/>
      <c r="DEB66" s="122"/>
      <c r="DEC66" s="122"/>
      <c r="DED66" s="122"/>
      <c r="DEE66" s="122"/>
      <c r="DEF66" s="122"/>
      <c r="DEG66" s="122"/>
      <c r="DEH66" s="122"/>
      <c r="DEI66" s="122"/>
      <c r="DEJ66" s="122"/>
      <c r="DEK66" s="122"/>
      <c r="DEL66" s="122"/>
      <c r="DEM66" s="122"/>
      <c r="DEN66" s="122"/>
      <c r="DEO66" s="122"/>
      <c r="DEP66" s="122"/>
      <c r="DEQ66" s="122"/>
      <c r="DER66" s="122"/>
      <c r="DES66" s="122"/>
      <c r="DET66" s="122"/>
      <c r="DEU66" s="122"/>
      <c r="DEV66" s="122"/>
      <c r="DEW66" s="122"/>
      <c r="DEX66" s="122"/>
      <c r="DEY66" s="122"/>
      <c r="DEZ66" s="122"/>
      <c r="DFA66" s="122"/>
      <c r="DFB66" s="122"/>
      <c r="DFC66" s="122"/>
      <c r="DFD66" s="122"/>
      <c r="DFE66" s="122"/>
      <c r="DFF66" s="122"/>
      <c r="DFG66" s="122"/>
      <c r="DFH66" s="122"/>
      <c r="DFI66" s="122"/>
      <c r="DFJ66" s="122"/>
      <c r="DFK66" s="122"/>
      <c r="DFL66" s="122"/>
      <c r="DFM66" s="122"/>
      <c r="DFN66" s="122"/>
      <c r="DFO66" s="122"/>
      <c r="DFP66" s="122"/>
      <c r="DFQ66" s="122"/>
      <c r="DFR66" s="122"/>
      <c r="DFS66" s="122"/>
      <c r="DFT66" s="122"/>
      <c r="DFU66" s="122"/>
      <c r="DFV66" s="122"/>
      <c r="DFW66" s="122"/>
      <c r="DFX66" s="122"/>
      <c r="DFY66" s="122"/>
      <c r="DFZ66" s="122"/>
      <c r="DGA66" s="122"/>
      <c r="DGB66" s="122"/>
      <c r="DGC66" s="122"/>
      <c r="DGD66" s="122"/>
      <c r="DGE66" s="122"/>
      <c r="DGF66" s="122"/>
      <c r="DGG66" s="122"/>
      <c r="DGH66" s="122"/>
      <c r="DGI66" s="122"/>
      <c r="DGJ66" s="122"/>
      <c r="DGK66" s="122"/>
      <c r="DGL66" s="122"/>
      <c r="DGM66" s="122"/>
      <c r="DGN66" s="122"/>
      <c r="DGO66" s="122"/>
      <c r="DGP66" s="122"/>
      <c r="DGQ66" s="122"/>
      <c r="DGR66" s="122"/>
      <c r="DGS66" s="122"/>
      <c r="DGT66" s="122"/>
      <c r="DGU66" s="122"/>
      <c r="DGV66" s="122"/>
      <c r="DGW66" s="122"/>
      <c r="DGX66" s="122"/>
      <c r="DGY66" s="122"/>
      <c r="DGZ66" s="122"/>
      <c r="DHA66" s="122"/>
      <c r="DHB66" s="122"/>
      <c r="DHC66" s="122"/>
      <c r="DHD66" s="122"/>
      <c r="DHE66" s="122"/>
      <c r="DHF66" s="122"/>
      <c r="DHG66" s="122"/>
      <c r="DHH66" s="122"/>
      <c r="DHI66" s="122"/>
      <c r="DHJ66" s="122"/>
      <c r="DHK66" s="122"/>
      <c r="DHL66" s="122"/>
      <c r="DHM66" s="122"/>
      <c r="DHN66" s="122"/>
      <c r="DHO66" s="122"/>
      <c r="DHP66" s="122"/>
      <c r="DHQ66" s="122"/>
      <c r="DHR66" s="122"/>
      <c r="DHS66" s="122"/>
      <c r="DHT66" s="122"/>
      <c r="DHU66" s="122"/>
      <c r="DHV66" s="122"/>
      <c r="DHW66" s="122"/>
      <c r="DHX66" s="122"/>
      <c r="DHY66" s="122"/>
      <c r="DHZ66" s="122"/>
      <c r="DIA66" s="122"/>
      <c r="DIB66" s="122"/>
      <c r="DIC66" s="122"/>
      <c r="DID66" s="122"/>
      <c r="DIE66" s="122"/>
      <c r="DIF66" s="122"/>
      <c r="DIG66" s="122"/>
      <c r="DIH66" s="122"/>
      <c r="DII66" s="122"/>
      <c r="DIJ66" s="122"/>
      <c r="DIK66" s="122"/>
      <c r="DIL66" s="122"/>
      <c r="DIM66" s="122"/>
      <c r="DIN66" s="122"/>
      <c r="DIO66" s="122"/>
      <c r="DIP66" s="122"/>
      <c r="DIQ66" s="122"/>
      <c r="DIR66" s="122"/>
      <c r="DIS66" s="122"/>
      <c r="DIT66" s="122"/>
      <c r="DIU66" s="122"/>
      <c r="DIV66" s="122"/>
      <c r="DIW66" s="122"/>
      <c r="DIX66" s="122"/>
      <c r="DIY66" s="122"/>
      <c r="DIZ66" s="122"/>
      <c r="DJA66" s="122"/>
      <c r="DJB66" s="122"/>
      <c r="DJC66" s="122"/>
      <c r="DJD66" s="122"/>
      <c r="DJE66" s="122"/>
      <c r="DJF66" s="122"/>
      <c r="DJG66" s="122"/>
      <c r="DJH66" s="122"/>
      <c r="DJI66" s="122"/>
      <c r="DJJ66" s="122"/>
      <c r="DJK66" s="122"/>
      <c r="DJL66" s="122"/>
      <c r="DJM66" s="122"/>
      <c r="DJN66" s="122"/>
      <c r="DJO66" s="122"/>
      <c r="DJP66" s="122"/>
      <c r="DJQ66" s="122"/>
      <c r="DJR66" s="122"/>
      <c r="DJS66" s="122"/>
      <c r="DJT66" s="122"/>
      <c r="DJU66" s="122"/>
      <c r="DJV66" s="122"/>
      <c r="DJW66" s="122"/>
      <c r="DJX66" s="122"/>
      <c r="DJY66" s="122"/>
      <c r="DJZ66" s="122"/>
      <c r="DKA66" s="122"/>
      <c r="DKB66" s="122"/>
      <c r="DKC66" s="122"/>
      <c r="DKD66" s="122"/>
      <c r="DKE66" s="122"/>
      <c r="DKF66" s="122"/>
      <c r="DKG66" s="122"/>
      <c r="DKH66" s="122"/>
      <c r="DKI66" s="122"/>
      <c r="DKJ66" s="122"/>
      <c r="DKK66" s="122"/>
      <c r="DKL66" s="122"/>
      <c r="DKM66" s="122"/>
      <c r="DKN66" s="122"/>
      <c r="DKO66" s="122"/>
      <c r="DKP66" s="122"/>
      <c r="DKQ66" s="122"/>
      <c r="DKR66" s="122"/>
      <c r="DKS66" s="122"/>
      <c r="DKT66" s="122"/>
      <c r="DKU66" s="122"/>
      <c r="DKV66" s="122"/>
      <c r="DKW66" s="122"/>
      <c r="DKX66" s="122"/>
      <c r="DKY66" s="122"/>
      <c r="DKZ66" s="122"/>
      <c r="DLA66" s="122"/>
      <c r="DLB66" s="122"/>
      <c r="DLC66" s="122"/>
      <c r="DLD66" s="122"/>
      <c r="DLE66" s="122"/>
      <c r="DLF66" s="122"/>
      <c r="DLG66" s="122"/>
      <c r="DLH66" s="122"/>
      <c r="DLI66" s="122"/>
      <c r="DLJ66" s="122"/>
      <c r="DLK66" s="122"/>
      <c r="DLL66" s="122"/>
      <c r="DLM66" s="122"/>
      <c r="DLN66" s="122"/>
      <c r="DLO66" s="122"/>
      <c r="DLP66" s="122"/>
      <c r="DLQ66" s="122"/>
      <c r="DLR66" s="122"/>
      <c r="DLS66" s="122"/>
      <c r="DLT66" s="122"/>
      <c r="DLU66" s="122"/>
      <c r="DLV66" s="122"/>
      <c r="DLW66" s="122"/>
      <c r="DLX66" s="122"/>
      <c r="DLY66" s="122"/>
      <c r="DLZ66" s="122"/>
      <c r="DMA66" s="122"/>
      <c r="DMB66" s="122"/>
      <c r="DMC66" s="122"/>
      <c r="DMD66" s="122"/>
      <c r="DME66" s="122"/>
      <c r="DMF66" s="122"/>
      <c r="DMG66" s="122"/>
      <c r="DMH66" s="122"/>
      <c r="DMI66" s="122"/>
      <c r="DMJ66" s="122"/>
      <c r="DMK66" s="122"/>
      <c r="DML66" s="122"/>
      <c r="DMM66" s="122"/>
      <c r="DMN66" s="122"/>
      <c r="DMO66" s="122"/>
      <c r="DMP66" s="122"/>
      <c r="DMQ66" s="122"/>
      <c r="DMR66" s="122"/>
      <c r="DMS66" s="122"/>
      <c r="DMT66" s="122"/>
      <c r="DMU66" s="122"/>
      <c r="DMV66" s="122"/>
      <c r="DMW66" s="122"/>
      <c r="DMX66" s="122"/>
      <c r="DMY66" s="122"/>
      <c r="DMZ66" s="122"/>
      <c r="DNA66" s="122"/>
      <c r="DNB66" s="122"/>
      <c r="DNC66" s="122"/>
      <c r="DND66" s="122"/>
      <c r="DNE66" s="122"/>
      <c r="DNF66" s="122"/>
      <c r="DNG66" s="122"/>
      <c r="DNH66" s="122"/>
      <c r="DNI66" s="122"/>
      <c r="DNJ66" s="122"/>
      <c r="DNK66" s="122"/>
      <c r="DNL66" s="122"/>
      <c r="DNM66" s="122"/>
      <c r="DNN66" s="122"/>
      <c r="DNO66" s="122"/>
      <c r="DNP66" s="122"/>
      <c r="DNQ66" s="122"/>
      <c r="DNR66" s="122"/>
      <c r="DNS66" s="122"/>
      <c r="DNT66" s="122"/>
      <c r="DNU66" s="122"/>
      <c r="DNV66" s="122"/>
      <c r="DNW66" s="122"/>
      <c r="DNX66" s="122"/>
      <c r="DNY66" s="122"/>
      <c r="DNZ66" s="122"/>
      <c r="DOA66" s="122"/>
      <c r="DOB66" s="122"/>
      <c r="DOC66" s="122"/>
      <c r="DOD66" s="122"/>
      <c r="DOE66" s="122"/>
      <c r="DOF66" s="122"/>
      <c r="DOG66" s="122"/>
      <c r="DOH66" s="122"/>
      <c r="DOI66" s="122"/>
      <c r="DOJ66" s="122"/>
      <c r="DOK66" s="122"/>
      <c r="DOL66" s="122"/>
      <c r="DOM66" s="122"/>
      <c r="DON66" s="122"/>
      <c r="DOO66" s="122"/>
      <c r="DOP66" s="122"/>
      <c r="DOQ66" s="122"/>
      <c r="DOR66" s="122"/>
      <c r="DOS66" s="122"/>
      <c r="DOT66" s="122"/>
      <c r="DOU66" s="122"/>
      <c r="DOV66" s="122"/>
      <c r="DOW66" s="122"/>
      <c r="DOX66" s="122"/>
      <c r="DOY66" s="122"/>
      <c r="DOZ66" s="122"/>
      <c r="DPA66" s="122"/>
      <c r="DPB66" s="122"/>
      <c r="DPC66" s="122"/>
      <c r="DPD66" s="122"/>
      <c r="DPE66" s="122"/>
      <c r="DPF66" s="122"/>
      <c r="DPG66" s="122"/>
      <c r="DPH66" s="122"/>
      <c r="DPI66" s="122"/>
      <c r="DPJ66" s="122"/>
      <c r="DPK66" s="122"/>
      <c r="DPL66" s="122"/>
      <c r="DPM66" s="122"/>
      <c r="DPN66" s="122"/>
      <c r="DPO66" s="122"/>
      <c r="DPP66" s="122"/>
      <c r="DPQ66" s="122"/>
      <c r="DPR66" s="122"/>
      <c r="DPS66" s="122"/>
      <c r="DPT66" s="122"/>
      <c r="DPU66" s="122"/>
      <c r="DPV66" s="122"/>
      <c r="DPW66" s="122"/>
      <c r="DPX66" s="122"/>
      <c r="DPY66" s="122"/>
      <c r="DPZ66" s="122"/>
      <c r="DQA66" s="122"/>
      <c r="DQB66" s="122"/>
      <c r="DQC66" s="122"/>
      <c r="DQD66" s="122"/>
      <c r="DQE66" s="122"/>
      <c r="DQF66" s="122"/>
      <c r="DQG66" s="122"/>
      <c r="DQH66" s="122"/>
      <c r="DQI66" s="122"/>
      <c r="DQJ66" s="122"/>
      <c r="DQK66" s="122"/>
      <c r="DQL66" s="122"/>
      <c r="DQM66" s="122"/>
      <c r="DQN66" s="122"/>
      <c r="DQO66" s="122"/>
      <c r="DQP66" s="122"/>
      <c r="DQQ66" s="122"/>
      <c r="DQR66" s="122"/>
      <c r="DQS66" s="122"/>
      <c r="DQT66" s="122"/>
      <c r="DQU66" s="122"/>
      <c r="DQV66" s="122"/>
      <c r="DQW66" s="122"/>
      <c r="DQX66" s="122"/>
      <c r="DQY66" s="122"/>
      <c r="DQZ66" s="122"/>
      <c r="DRA66" s="122"/>
      <c r="DRB66" s="122"/>
      <c r="DRC66" s="122"/>
      <c r="DRD66" s="122"/>
      <c r="DRE66" s="122"/>
      <c r="DRF66" s="122"/>
      <c r="DRG66" s="122"/>
      <c r="DRH66" s="122"/>
      <c r="DRI66" s="122"/>
      <c r="DRJ66" s="122"/>
      <c r="DRK66" s="122"/>
      <c r="DRL66" s="122"/>
      <c r="DRM66" s="122"/>
      <c r="DRN66" s="122"/>
      <c r="DRO66" s="122"/>
      <c r="DRP66" s="122"/>
      <c r="DRQ66" s="122"/>
      <c r="DRR66" s="122"/>
      <c r="DRS66" s="122"/>
      <c r="DRT66" s="122"/>
      <c r="DRU66" s="122"/>
      <c r="DRV66" s="122"/>
      <c r="DRW66" s="122"/>
      <c r="DRX66" s="122"/>
      <c r="DRY66" s="122"/>
      <c r="DRZ66" s="122"/>
      <c r="DSA66" s="122"/>
      <c r="DSB66" s="122"/>
      <c r="DSC66" s="122"/>
      <c r="DSD66" s="122"/>
      <c r="DSE66" s="122"/>
      <c r="DSF66" s="122"/>
      <c r="DSG66" s="122"/>
      <c r="DSH66" s="122"/>
      <c r="DSI66" s="122"/>
      <c r="DSJ66" s="122"/>
      <c r="DSK66" s="122"/>
      <c r="DSL66" s="122"/>
      <c r="DSM66" s="122"/>
      <c r="DSN66" s="122"/>
      <c r="DSO66" s="122"/>
      <c r="DSP66" s="122"/>
      <c r="DSQ66" s="122"/>
      <c r="DSR66" s="122"/>
      <c r="DSS66" s="122"/>
      <c r="DST66" s="122"/>
      <c r="DSU66" s="122"/>
      <c r="DSV66" s="122"/>
      <c r="DSW66" s="122"/>
      <c r="DSX66" s="122"/>
      <c r="DSY66" s="122"/>
      <c r="DSZ66" s="122"/>
      <c r="DTA66" s="122"/>
      <c r="DTB66" s="122"/>
      <c r="DTC66" s="122"/>
      <c r="DTD66" s="122"/>
      <c r="DTE66" s="122"/>
      <c r="DTF66" s="122"/>
      <c r="DTG66" s="122"/>
      <c r="DTH66" s="122"/>
      <c r="DTI66" s="122"/>
      <c r="DTJ66" s="122"/>
      <c r="DTK66" s="122"/>
      <c r="DTL66" s="122"/>
      <c r="DTM66" s="122"/>
      <c r="DTN66" s="122"/>
      <c r="DTO66" s="122"/>
      <c r="DTP66" s="122"/>
      <c r="DTQ66" s="122"/>
      <c r="DTR66" s="122"/>
      <c r="DTS66" s="122"/>
      <c r="DTT66" s="122"/>
      <c r="DTU66" s="122"/>
      <c r="DTV66" s="122"/>
      <c r="DTW66" s="122"/>
      <c r="DTX66" s="122"/>
      <c r="DTY66" s="122"/>
      <c r="DTZ66" s="122"/>
      <c r="DUA66" s="122"/>
      <c r="DUB66" s="122"/>
      <c r="DUC66" s="122"/>
      <c r="DUD66" s="122"/>
      <c r="DUE66" s="122"/>
      <c r="DUF66" s="122"/>
      <c r="DUG66" s="122"/>
      <c r="DUH66" s="122"/>
      <c r="DUI66" s="122"/>
      <c r="DUJ66" s="122"/>
      <c r="DUK66" s="122"/>
      <c r="DUL66" s="122"/>
      <c r="DUM66" s="122"/>
      <c r="DUN66" s="122"/>
      <c r="DUO66" s="122"/>
      <c r="DUP66" s="122"/>
      <c r="DUQ66" s="122"/>
      <c r="DUR66" s="122"/>
      <c r="DUS66" s="122"/>
      <c r="DUT66" s="122"/>
      <c r="DUU66" s="122"/>
      <c r="DUV66" s="122"/>
      <c r="DUW66" s="122"/>
      <c r="DUX66" s="122"/>
      <c r="DUY66" s="122"/>
      <c r="DUZ66" s="122"/>
      <c r="DVA66" s="122"/>
      <c r="DVB66" s="122"/>
      <c r="DVC66" s="122"/>
      <c r="DVD66" s="122"/>
      <c r="DVE66" s="122"/>
      <c r="DVF66" s="122"/>
      <c r="DVG66" s="122"/>
      <c r="DVH66" s="122"/>
      <c r="DVI66" s="122"/>
      <c r="DVJ66" s="122"/>
      <c r="DVK66" s="122"/>
      <c r="DVL66" s="122"/>
      <c r="DVM66" s="122"/>
      <c r="DVN66" s="122"/>
      <c r="DVO66" s="122"/>
      <c r="DVP66" s="122"/>
      <c r="DVQ66" s="122"/>
      <c r="DVR66" s="122"/>
      <c r="DVS66" s="122"/>
      <c r="DVT66" s="122"/>
      <c r="DVU66" s="122"/>
      <c r="DVV66" s="122"/>
      <c r="DVW66" s="122"/>
      <c r="DVX66" s="122"/>
      <c r="DVY66" s="122"/>
      <c r="DVZ66" s="122"/>
      <c r="DWA66" s="122"/>
      <c r="DWB66" s="122"/>
      <c r="DWC66" s="122"/>
      <c r="DWD66" s="122"/>
      <c r="DWE66" s="122"/>
      <c r="DWF66" s="122"/>
      <c r="DWG66" s="122"/>
      <c r="DWH66" s="122"/>
      <c r="DWI66" s="122"/>
      <c r="DWJ66" s="122"/>
      <c r="DWK66" s="122"/>
      <c r="DWL66" s="122"/>
      <c r="DWM66" s="122"/>
      <c r="DWN66" s="122"/>
      <c r="DWO66" s="122"/>
      <c r="DWP66" s="122"/>
      <c r="DWQ66" s="122"/>
      <c r="DWR66" s="122"/>
      <c r="DWS66" s="122"/>
      <c r="DWT66" s="122"/>
      <c r="DWU66" s="122"/>
      <c r="DWV66" s="122"/>
      <c r="DWW66" s="122"/>
      <c r="DWX66" s="122"/>
      <c r="DWY66" s="122"/>
      <c r="DWZ66" s="122"/>
      <c r="DXA66" s="122"/>
      <c r="DXB66" s="122"/>
      <c r="DXC66" s="122"/>
      <c r="DXD66" s="122"/>
      <c r="DXE66" s="122"/>
      <c r="DXF66" s="122"/>
      <c r="DXG66" s="122"/>
      <c r="DXH66" s="122"/>
      <c r="DXI66" s="122"/>
      <c r="DXJ66" s="122"/>
      <c r="DXK66" s="122"/>
      <c r="DXL66" s="122"/>
      <c r="DXM66" s="122"/>
      <c r="DXN66" s="122"/>
      <c r="DXO66" s="122"/>
      <c r="DXP66" s="122"/>
      <c r="DXQ66" s="122"/>
      <c r="DXR66" s="122"/>
      <c r="DXS66" s="122"/>
      <c r="DXT66" s="122"/>
      <c r="DXU66" s="122"/>
      <c r="DXV66" s="122"/>
      <c r="DXW66" s="122"/>
      <c r="DXX66" s="122"/>
      <c r="DXY66" s="122"/>
      <c r="DXZ66" s="122"/>
      <c r="DYA66" s="122"/>
      <c r="DYB66" s="122"/>
      <c r="DYC66" s="122"/>
      <c r="DYD66" s="122"/>
      <c r="DYE66" s="122"/>
      <c r="DYF66" s="122"/>
      <c r="DYG66" s="122"/>
      <c r="DYH66" s="122"/>
      <c r="DYI66" s="122"/>
      <c r="DYJ66" s="122"/>
      <c r="DYK66" s="122"/>
      <c r="DYL66" s="122"/>
      <c r="DYM66" s="122"/>
      <c r="DYN66" s="122"/>
      <c r="DYO66" s="122"/>
      <c r="DYP66" s="122"/>
      <c r="DYQ66" s="122"/>
      <c r="DYR66" s="122"/>
      <c r="DYS66" s="122"/>
      <c r="DYT66" s="122"/>
      <c r="DYU66" s="122"/>
      <c r="DYV66" s="122"/>
      <c r="DYW66" s="122"/>
      <c r="DYX66" s="122"/>
      <c r="DYY66" s="122"/>
      <c r="DYZ66" s="122"/>
      <c r="DZA66" s="122"/>
      <c r="DZB66" s="122"/>
      <c r="DZC66" s="122"/>
      <c r="DZD66" s="122"/>
      <c r="DZE66" s="122"/>
      <c r="DZF66" s="122"/>
      <c r="DZG66" s="122"/>
      <c r="DZH66" s="122"/>
      <c r="DZI66" s="122"/>
      <c r="DZJ66" s="122"/>
      <c r="DZK66" s="122"/>
      <c r="DZL66" s="122"/>
      <c r="DZM66" s="122"/>
      <c r="DZN66" s="122"/>
      <c r="DZO66" s="122"/>
      <c r="DZP66" s="122"/>
      <c r="DZQ66" s="122"/>
      <c r="DZR66" s="122"/>
      <c r="DZS66" s="122"/>
      <c r="DZT66" s="122"/>
      <c r="DZU66" s="122"/>
      <c r="DZV66" s="122"/>
      <c r="DZW66" s="122"/>
      <c r="DZX66" s="122"/>
      <c r="DZY66" s="122"/>
      <c r="DZZ66" s="122"/>
      <c r="EAA66" s="122"/>
      <c r="EAB66" s="122"/>
      <c r="EAC66" s="122"/>
      <c r="EAD66" s="122"/>
      <c r="EAE66" s="122"/>
      <c r="EAF66" s="122"/>
      <c r="EAG66" s="122"/>
      <c r="EAH66" s="122"/>
      <c r="EAI66" s="122"/>
      <c r="EAJ66" s="122"/>
      <c r="EAK66" s="122"/>
      <c r="EAL66" s="122"/>
      <c r="EAM66" s="122"/>
      <c r="EAN66" s="122"/>
      <c r="EAO66" s="122"/>
      <c r="EAP66" s="122"/>
      <c r="EAQ66" s="122"/>
      <c r="EAR66" s="122"/>
      <c r="EAS66" s="122"/>
      <c r="EAT66" s="122"/>
      <c r="EAU66" s="122"/>
      <c r="EAV66" s="122"/>
      <c r="EAW66" s="122"/>
      <c r="EAX66" s="122"/>
      <c r="EAY66" s="122"/>
      <c r="EAZ66" s="122"/>
      <c r="EBA66" s="122"/>
      <c r="EBB66" s="122"/>
      <c r="EBC66" s="122"/>
      <c r="EBD66" s="122"/>
      <c r="EBE66" s="122"/>
      <c r="EBF66" s="122"/>
      <c r="EBG66" s="122"/>
      <c r="EBH66" s="122"/>
      <c r="EBI66" s="122"/>
      <c r="EBJ66" s="122"/>
      <c r="EBK66" s="122"/>
      <c r="EBL66" s="122"/>
      <c r="EBM66" s="122"/>
      <c r="EBN66" s="122"/>
      <c r="EBO66" s="122"/>
      <c r="EBP66" s="122"/>
      <c r="EBQ66" s="122"/>
      <c r="EBR66" s="122"/>
      <c r="EBS66" s="122"/>
      <c r="EBT66" s="122"/>
      <c r="EBU66" s="122"/>
      <c r="EBV66" s="122"/>
      <c r="EBW66" s="122"/>
      <c r="EBX66" s="122"/>
      <c r="EBY66" s="122"/>
      <c r="EBZ66" s="122"/>
      <c r="ECA66" s="122"/>
      <c r="ECB66" s="122"/>
      <c r="ECC66" s="122"/>
      <c r="ECD66" s="122"/>
      <c r="ECE66" s="122"/>
      <c r="ECF66" s="122"/>
      <c r="ECG66" s="122"/>
      <c r="ECH66" s="122"/>
      <c r="ECI66" s="122"/>
      <c r="ECJ66" s="122"/>
      <c r="ECK66" s="122"/>
      <c r="ECL66" s="122"/>
      <c r="ECM66" s="122"/>
      <c r="ECN66" s="122"/>
      <c r="ECO66" s="122"/>
      <c r="ECP66" s="122"/>
      <c r="ECQ66" s="122"/>
      <c r="ECR66" s="122"/>
      <c r="ECS66" s="122"/>
      <c r="ECT66" s="122"/>
      <c r="ECU66" s="122"/>
      <c r="ECV66" s="122"/>
      <c r="ECW66" s="122"/>
      <c r="ECX66" s="122"/>
      <c r="ECY66" s="122"/>
      <c r="ECZ66" s="122"/>
      <c r="EDA66" s="122"/>
      <c r="EDB66" s="122"/>
      <c r="EDC66" s="122"/>
      <c r="EDD66" s="122"/>
      <c r="EDE66" s="122"/>
      <c r="EDF66" s="122"/>
      <c r="EDG66" s="122"/>
      <c r="EDH66" s="122"/>
      <c r="EDI66" s="122"/>
      <c r="EDJ66" s="122"/>
      <c r="EDK66" s="122"/>
      <c r="EDL66" s="122"/>
      <c r="EDM66" s="122"/>
      <c r="EDN66" s="122"/>
      <c r="EDO66" s="122"/>
      <c r="EDP66" s="122"/>
      <c r="EDQ66" s="122"/>
      <c r="EDR66" s="122"/>
      <c r="EDS66" s="122"/>
      <c r="EDT66" s="122"/>
      <c r="EDU66" s="122"/>
      <c r="EDV66" s="122"/>
      <c r="EDW66" s="122"/>
      <c r="EDX66" s="122"/>
      <c r="EDY66" s="122"/>
      <c r="EDZ66" s="122"/>
      <c r="EEA66" s="122"/>
      <c r="EEB66" s="122"/>
      <c r="EEC66" s="122"/>
      <c r="EED66" s="122"/>
      <c r="EEE66" s="122"/>
      <c r="EEF66" s="122"/>
      <c r="EEG66" s="122"/>
      <c r="EEH66" s="122"/>
      <c r="EEI66" s="122"/>
      <c r="EEJ66" s="122"/>
      <c r="EEK66" s="122"/>
      <c r="EEL66" s="122"/>
      <c r="EEM66" s="122"/>
      <c r="EEN66" s="122"/>
      <c r="EEO66" s="122"/>
      <c r="EEP66" s="122"/>
      <c r="EEQ66" s="122"/>
      <c r="EER66" s="122"/>
      <c r="EES66" s="122"/>
      <c r="EET66" s="122"/>
      <c r="EEU66" s="122"/>
      <c r="EEV66" s="122"/>
      <c r="EEW66" s="122"/>
      <c r="EEX66" s="122"/>
      <c r="EEY66" s="122"/>
      <c r="EEZ66" s="122"/>
      <c r="EFA66" s="122"/>
      <c r="EFB66" s="122"/>
      <c r="EFC66" s="122"/>
      <c r="EFD66" s="122"/>
      <c r="EFE66" s="122"/>
      <c r="EFF66" s="122"/>
      <c r="EFG66" s="122"/>
      <c r="EFH66" s="122"/>
      <c r="EFI66" s="122"/>
      <c r="EFJ66" s="122"/>
      <c r="EFK66" s="122"/>
      <c r="EFL66" s="122"/>
      <c r="EFM66" s="122"/>
      <c r="EFN66" s="122"/>
      <c r="EFO66" s="122"/>
      <c r="EFP66" s="122"/>
      <c r="EFQ66" s="122"/>
      <c r="EFR66" s="122"/>
      <c r="EFS66" s="122"/>
      <c r="EFT66" s="122"/>
      <c r="EFU66" s="122"/>
      <c r="EFV66" s="122"/>
      <c r="EFW66" s="122"/>
      <c r="EFX66" s="122"/>
      <c r="EFY66" s="122"/>
      <c r="EFZ66" s="122"/>
      <c r="EGA66" s="122"/>
      <c r="EGB66" s="122"/>
      <c r="EGC66" s="122"/>
      <c r="EGD66" s="122"/>
      <c r="EGE66" s="122"/>
      <c r="EGF66" s="122"/>
      <c r="EGG66" s="122"/>
      <c r="EGH66" s="122"/>
      <c r="EGI66" s="122"/>
      <c r="EGJ66" s="122"/>
      <c r="EGK66" s="122"/>
      <c r="EGL66" s="122"/>
      <c r="EGM66" s="122"/>
      <c r="EGN66" s="122"/>
      <c r="EGO66" s="122"/>
      <c r="EGP66" s="122"/>
      <c r="EGQ66" s="122"/>
      <c r="EGR66" s="122"/>
      <c r="EGS66" s="122"/>
      <c r="EGT66" s="122"/>
      <c r="EGU66" s="122"/>
      <c r="EGV66" s="122"/>
      <c r="EGW66" s="122"/>
      <c r="EGX66" s="122"/>
      <c r="EGY66" s="122"/>
      <c r="EGZ66" s="122"/>
      <c r="EHA66" s="122"/>
      <c r="EHB66" s="122"/>
      <c r="EHC66" s="122"/>
      <c r="EHD66" s="122"/>
      <c r="EHE66" s="122"/>
      <c r="EHF66" s="122"/>
      <c r="EHG66" s="122"/>
      <c r="EHH66" s="122"/>
      <c r="EHI66" s="122"/>
      <c r="EHJ66" s="122"/>
      <c r="EHK66" s="122"/>
      <c r="EHL66" s="122"/>
      <c r="EHM66" s="122"/>
      <c r="EHN66" s="122"/>
      <c r="EHO66" s="122"/>
      <c r="EHP66" s="122"/>
      <c r="EHQ66" s="122"/>
      <c r="EHR66" s="122"/>
      <c r="EHS66" s="122"/>
      <c r="EHT66" s="122"/>
      <c r="EHU66" s="122"/>
      <c r="EHV66" s="122"/>
      <c r="EHW66" s="122"/>
      <c r="EHX66" s="122"/>
      <c r="EHY66" s="122"/>
      <c r="EHZ66" s="122"/>
      <c r="EIA66" s="122"/>
      <c r="EIB66" s="122"/>
      <c r="EIC66" s="122"/>
      <c r="EID66" s="122"/>
      <c r="EIE66" s="122"/>
      <c r="EIF66" s="122"/>
      <c r="EIG66" s="122"/>
      <c r="EIH66" s="122"/>
      <c r="EII66" s="122"/>
      <c r="EIJ66" s="122"/>
      <c r="EIK66" s="122"/>
      <c r="EIL66" s="122"/>
      <c r="EIM66" s="122"/>
      <c r="EIN66" s="122"/>
      <c r="EIO66" s="122"/>
      <c r="EIP66" s="122"/>
      <c r="EIQ66" s="122"/>
      <c r="EIR66" s="122"/>
      <c r="EIS66" s="122"/>
      <c r="EIT66" s="122"/>
      <c r="EIU66" s="122"/>
      <c r="EIV66" s="122"/>
      <c r="EIW66" s="122"/>
      <c r="EIX66" s="122"/>
      <c r="EIY66" s="122"/>
      <c r="EIZ66" s="122"/>
      <c r="EJA66" s="122"/>
      <c r="EJB66" s="122"/>
      <c r="EJC66" s="122"/>
      <c r="EJD66" s="122"/>
      <c r="EJE66" s="122"/>
      <c r="EJF66" s="122"/>
      <c r="EJG66" s="122"/>
      <c r="EJH66" s="122"/>
      <c r="EJI66" s="122"/>
      <c r="EJJ66" s="122"/>
      <c r="EJK66" s="122"/>
      <c r="EJL66" s="122"/>
      <c r="EJM66" s="122"/>
      <c r="EJN66" s="122"/>
      <c r="EJO66" s="122"/>
      <c r="EJP66" s="122"/>
      <c r="EJQ66" s="122"/>
      <c r="EJR66" s="122"/>
      <c r="EJS66" s="122"/>
      <c r="EJT66" s="122"/>
      <c r="EJU66" s="122"/>
      <c r="EJV66" s="122"/>
      <c r="EJW66" s="122"/>
      <c r="EJX66" s="122"/>
      <c r="EJY66" s="122"/>
      <c r="EJZ66" s="122"/>
      <c r="EKA66" s="122"/>
      <c r="EKB66" s="122"/>
      <c r="EKC66" s="122"/>
      <c r="EKD66" s="122"/>
      <c r="EKE66" s="122"/>
      <c r="EKF66" s="122"/>
      <c r="EKG66" s="122"/>
      <c r="EKH66" s="122"/>
      <c r="EKI66" s="122"/>
      <c r="EKJ66" s="122"/>
      <c r="EKK66" s="122"/>
      <c r="EKL66" s="122"/>
      <c r="EKM66" s="122"/>
      <c r="EKN66" s="122"/>
      <c r="EKO66" s="122"/>
      <c r="EKP66" s="122"/>
      <c r="EKQ66" s="122"/>
      <c r="EKR66" s="122"/>
      <c r="EKS66" s="122"/>
      <c r="EKT66" s="122"/>
      <c r="EKU66" s="122"/>
      <c r="EKV66" s="122"/>
      <c r="EKW66" s="122"/>
      <c r="EKX66" s="122"/>
      <c r="EKY66" s="122"/>
      <c r="EKZ66" s="122"/>
      <c r="ELA66" s="122"/>
      <c r="ELB66" s="122"/>
      <c r="ELC66" s="122"/>
      <c r="ELD66" s="122"/>
      <c r="ELE66" s="122"/>
      <c r="ELF66" s="122"/>
      <c r="ELG66" s="122"/>
      <c r="ELH66" s="122"/>
      <c r="ELI66" s="122"/>
      <c r="ELJ66" s="122"/>
      <c r="ELK66" s="122"/>
      <c r="ELL66" s="122"/>
      <c r="ELM66" s="122"/>
      <c r="ELN66" s="122"/>
      <c r="ELO66" s="122"/>
      <c r="ELP66" s="122"/>
      <c r="ELQ66" s="122"/>
      <c r="ELR66" s="122"/>
      <c r="ELS66" s="122"/>
      <c r="ELT66" s="122"/>
      <c r="ELU66" s="122"/>
      <c r="ELV66" s="122"/>
      <c r="ELW66" s="122"/>
      <c r="ELX66" s="122"/>
      <c r="ELY66" s="122"/>
      <c r="ELZ66" s="122"/>
      <c r="EMA66" s="122"/>
      <c r="EMB66" s="122"/>
      <c r="EMC66" s="122"/>
      <c r="EMD66" s="122"/>
      <c r="EME66" s="122"/>
      <c r="EMF66" s="122"/>
      <c r="EMG66" s="122"/>
      <c r="EMH66" s="122"/>
      <c r="EMI66" s="122"/>
      <c r="EMJ66" s="122"/>
      <c r="EMK66" s="122"/>
      <c r="EML66" s="122"/>
      <c r="EMM66" s="122"/>
      <c r="EMN66" s="122"/>
      <c r="EMO66" s="122"/>
      <c r="EMP66" s="122"/>
      <c r="EMQ66" s="122"/>
      <c r="EMR66" s="122"/>
      <c r="EMS66" s="122"/>
      <c r="EMT66" s="122"/>
      <c r="EMU66" s="122"/>
      <c r="EMV66" s="122"/>
      <c r="EMW66" s="122"/>
      <c r="EMX66" s="122"/>
      <c r="EMY66" s="122"/>
      <c r="EMZ66" s="122"/>
      <c r="ENA66" s="122"/>
      <c r="ENB66" s="122"/>
      <c r="ENC66" s="122"/>
      <c r="END66" s="122"/>
      <c r="ENE66" s="122"/>
      <c r="ENF66" s="122"/>
      <c r="ENG66" s="122"/>
      <c r="ENH66" s="122"/>
      <c r="ENI66" s="122"/>
      <c r="ENJ66" s="122"/>
      <c r="ENK66" s="122"/>
      <c r="ENL66" s="122"/>
      <c r="ENM66" s="122"/>
      <c r="ENN66" s="122"/>
      <c r="ENO66" s="122"/>
      <c r="ENP66" s="122"/>
      <c r="ENQ66" s="122"/>
      <c r="ENR66" s="122"/>
      <c r="ENS66" s="122"/>
      <c r="ENT66" s="122"/>
      <c r="ENU66" s="122"/>
      <c r="ENV66" s="122"/>
      <c r="ENW66" s="122"/>
      <c r="ENX66" s="122"/>
      <c r="ENY66" s="122"/>
      <c r="ENZ66" s="122"/>
      <c r="EOA66" s="122"/>
      <c r="EOB66" s="122"/>
      <c r="EOC66" s="122"/>
      <c r="EOD66" s="122"/>
      <c r="EOE66" s="122"/>
      <c r="EOF66" s="122"/>
      <c r="EOG66" s="122"/>
      <c r="EOH66" s="122"/>
      <c r="EOI66" s="122"/>
      <c r="EOJ66" s="122"/>
      <c r="EOK66" s="122"/>
      <c r="EOL66" s="122"/>
      <c r="EOM66" s="122"/>
      <c r="EON66" s="122"/>
      <c r="EOO66" s="122"/>
      <c r="EOP66" s="122"/>
      <c r="EOQ66" s="122"/>
      <c r="EOR66" s="122"/>
      <c r="EOS66" s="122"/>
      <c r="EOT66" s="122"/>
      <c r="EOU66" s="122"/>
      <c r="EOV66" s="122"/>
      <c r="EOW66" s="122"/>
      <c r="EOX66" s="122"/>
      <c r="EOY66" s="122"/>
      <c r="EOZ66" s="122"/>
      <c r="EPA66" s="122"/>
      <c r="EPB66" s="122"/>
      <c r="EPC66" s="122"/>
      <c r="EPD66" s="122"/>
      <c r="EPE66" s="122"/>
      <c r="EPF66" s="122"/>
      <c r="EPG66" s="122"/>
      <c r="EPH66" s="122"/>
      <c r="EPI66" s="122"/>
      <c r="EPJ66" s="122"/>
      <c r="EPK66" s="122"/>
      <c r="EPL66" s="122"/>
      <c r="EPM66" s="122"/>
      <c r="EPN66" s="122"/>
      <c r="EPO66" s="122"/>
      <c r="EPP66" s="122"/>
      <c r="EPQ66" s="122"/>
      <c r="EPR66" s="122"/>
      <c r="EPS66" s="122"/>
      <c r="EPT66" s="122"/>
      <c r="EPU66" s="122"/>
      <c r="EPV66" s="122"/>
      <c r="EPW66" s="122"/>
      <c r="EPX66" s="122"/>
      <c r="EPY66" s="122"/>
      <c r="EPZ66" s="122"/>
      <c r="EQA66" s="122"/>
      <c r="EQB66" s="122"/>
      <c r="EQC66" s="122"/>
      <c r="EQD66" s="122"/>
      <c r="EQE66" s="122"/>
      <c r="EQF66" s="122"/>
      <c r="EQG66" s="122"/>
      <c r="EQH66" s="122"/>
      <c r="EQI66" s="122"/>
      <c r="EQJ66" s="122"/>
      <c r="EQK66" s="122"/>
      <c r="EQL66" s="122"/>
      <c r="EQM66" s="122"/>
      <c r="EQN66" s="122"/>
      <c r="EQO66" s="122"/>
      <c r="EQP66" s="122"/>
      <c r="EQQ66" s="122"/>
      <c r="EQR66" s="122"/>
      <c r="EQS66" s="122"/>
      <c r="EQT66" s="122"/>
      <c r="EQU66" s="122"/>
      <c r="EQV66" s="122"/>
      <c r="EQW66" s="122"/>
      <c r="EQX66" s="122"/>
      <c r="EQY66" s="122"/>
      <c r="EQZ66" s="122"/>
      <c r="ERA66" s="122"/>
      <c r="ERB66" s="122"/>
      <c r="ERC66" s="122"/>
      <c r="ERD66" s="122"/>
      <c r="ERE66" s="122"/>
      <c r="ERF66" s="122"/>
      <c r="ERG66" s="122"/>
      <c r="ERH66" s="122"/>
      <c r="ERI66" s="122"/>
      <c r="ERJ66" s="122"/>
      <c r="ERK66" s="122"/>
      <c r="ERL66" s="122"/>
      <c r="ERM66" s="122"/>
      <c r="ERN66" s="122"/>
      <c r="ERO66" s="122"/>
      <c r="ERP66" s="122"/>
      <c r="ERQ66" s="122"/>
      <c r="ERR66" s="122"/>
      <c r="ERS66" s="122"/>
      <c r="ERT66" s="122"/>
      <c r="ERU66" s="122"/>
      <c r="ERV66" s="122"/>
      <c r="ERW66" s="122"/>
      <c r="ERX66" s="122"/>
      <c r="ERY66" s="122"/>
      <c r="ERZ66" s="122"/>
      <c r="ESA66" s="122"/>
      <c r="ESB66" s="122"/>
      <c r="ESC66" s="122"/>
      <c r="ESD66" s="122"/>
      <c r="ESE66" s="122"/>
      <c r="ESF66" s="122"/>
      <c r="ESG66" s="122"/>
      <c r="ESH66" s="122"/>
      <c r="ESI66" s="122"/>
      <c r="ESJ66" s="122"/>
      <c r="ESK66" s="122"/>
      <c r="ESL66" s="122"/>
      <c r="ESM66" s="122"/>
      <c r="ESN66" s="122"/>
      <c r="ESO66" s="122"/>
      <c r="ESP66" s="122"/>
      <c r="ESQ66" s="122"/>
      <c r="ESR66" s="122"/>
      <c r="ESS66" s="122"/>
      <c r="EST66" s="122"/>
      <c r="ESU66" s="122"/>
      <c r="ESV66" s="122"/>
      <c r="ESW66" s="122"/>
      <c r="ESX66" s="122"/>
      <c r="ESY66" s="122"/>
      <c r="ESZ66" s="122"/>
      <c r="ETA66" s="122"/>
      <c r="ETB66" s="122"/>
      <c r="ETC66" s="122"/>
      <c r="ETD66" s="122"/>
      <c r="ETE66" s="122"/>
      <c r="ETF66" s="122"/>
      <c r="ETG66" s="122"/>
      <c r="ETH66" s="122"/>
      <c r="ETI66" s="122"/>
      <c r="ETJ66" s="122"/>
      <c r="ETK66" s="122"/>
      <c r="ETL66" s="122"/>
      <c r="ETM66" s="122"/>
      <c r="ETN66" s="122"/>
      <c r="ETO66" s="122"/>
      <c r="ETP66" s="122"/>
      <c r="ETQ66" s="122"/>
      <c r="ETR66" s="122"/>
      <c r="ETS66" s="122"/>
      <c r="ETT66" s="122"/>
      <c r="ETU66" s="122"/>
      <c r="ETV66" s="122"/>
      <c r="ETW66" s="122"/>
      <c r="ETX66" s="122"/>
      <c r="ETY66" s="122"/>
      <c r="ETZ66" s="122"/>
      <c r="EUA66" s="122"/>
      <c r="EUB66" s="122"/>
      <c r="EUC66" s="122"/>
      <c r="EUD66" s="122"/>
      <c r="EUE66" s="122"/>
      <c r="EUF66" s="122"/>
      <c r="EUG66" s="122"/>
      <c r="EUH66" s="122"/>
      <c r="EUI66" s="122"/>
      <c r="EUJ66" s="122"/>
      <c r="EUK66" s="122"/>
      <c r="EUL66" s="122"/>
      <c r="EUM66" s="122"/>
      <c r="EUN66" s="122"/>
      <c r="EUO66" s="122"/>
      <c r="EUP66" s="122"/>
      <c r="EUQ66" s="122"/>
      <c r="EUR66" s="122"/>
      <c r="EUS66" s="122"/>
      <c r="EUT66" s="122"/>
      <c r="EUU66" s="122"/>
      <c r="EUV66" s="122"/>
      <c r="EUW66" s="122"/>
      <c r="EUX66" s="122"/>
      <c r="EUY66" s="122"/>
      <c r="EUZ66" s="122"/>
      <c r="EVA66" s="122"/>
      <c r="EVB66" s="122"/>
      <c r="EVC66" s="122"/>
      <c r="EVD66" s="122"/>
      <c r="EVE66" s="122"/>
      <c r="EVF66" s="122"/>
      <c r="EVG66" s="122"/>
      <c r="EVH66" s="122"/>
      <c r="EVI66" s="122"/>
      <c r="EVJ66" s="122"/>
      <c r="EVK66" s="122"/>
      <c r="EVL66" s="122"/>
      <c r="EVM66" s="122"/>
      <c r="EVN66" s="122"/>
      <c r="EVO66" s="122"/>
      <c r="EVP66" s="122"/>
      <c r="EVQ66" s="122"/>
      <c r="EVR66" s="122"/>
      <c r="EVS66" s="122"/>
      <c r="EVT66" s="122"/>
      <c r="EVU66" s="122"/>
      <c r="EVV66" s="122"/>
      <c r="EVW66" s="122"/>
      <c r="EVX66" s="122"/>
      <c r="EVY66" s="122"/>
      <c r="EVZ66" s="122"/>
      <c r="EWA66" s="122"/>
      <c r="EWB66" s="122"/>
      <c r="EWC66" s="122"/>
      <c r="EWD66" s="122"/>
      <c r="EWE66" s="122"/>
      <c r="EWF66" s="122"/>
      <c r="EWG66" s="122"/>
      <c r="EWH66" s="122"/>
      <c r="EWI66" s="122"/>
      <c r="EWJ66" s="122"/>
      <c r="EWK66" s="122"/>
      <c r="EWL66" s="122"/>
      <c r="EWM66" s="122"/>
      <c r="EWN66" s="122"/>
      <c r="EWO66" s="122"/>
      <c r="EWP66" s="122"/>
      <c r="EWQ66" s="122"/>
      <c r="EWR66" s="122"/>
      <c r="EWS66" s="122"/>
      <c r="EWT66" s="122"/>
      <c r="EWU66" s="122"/>
      <c r="EWV66" s="122"/>
      <c r="EWW66" s="122"/>
      <c r="EWX66" s="122"/>
      <c r="EWY66" s="122"/>
      <c r="EWZ66" s="122"/>
      <c r="EXA66" s="122"/>
      <c r="EXB66" s="122"/>
      <c r="EXC66" s="122"/>
      <c r="EXD66" s="122"/>
      <c r="EXE66" s="122"/>
      <c r="EXF66" s="122"/>
      <c r="EXG66" s="122"/>
      <c r="EXH66" s="122"/>
      <c r="EXI66" s="122"/>
      <c r="EXJ66" s="122"/>
      <c r="EXK66" s="122"/>
      <c r="EXL66" s="122"/>
      <c r="EXM66" s="122"/>
      <c r="EXN66" s="122"/>
      <c r="EXO66" s="122"/>
      <c r="EXP66" s="122"/>
      <c r="EXQ66" s="122"/>
      <c r="EXR66" s="122"/>
      <c r="EXS66" s="122"/>
      <c r="EXT66" s="122"/>
      <c r="EXU66" s="122"/>
      <c r="EXV66" s="122"/>
      <c r="EXW66" s="122"/>
      <c r="EXX66" s="122"/>
      <c r="EXY66" s="122"/>
      <c r="EXZ66" s="122"/>
      <c r="EYA66" s="122"/>
      <c r="EYB66" s="122"/>
      <c r="EYC66" s="122"/>
      <c r="EYD66" s="122"/>
      <c r="EYE66" s="122"/>
      <c r="EYF66" s="122"/>
      <c r="EYG66" s="122"/>
      <c r="EYH66" s="122"/>
      <c r="EYI66" s="122"/>
      <c r="EYJ66" s="122"/>
      <c r="EYK66" s="122"/>
      <c r="EYL66" s="122"/>
      <c r="EYM66" s="122"/>
      <c r="EYN66" s="122"/>
      <c r="EYO66" s="122"/>
      <c r="EYP66" s="122"/>
      <c r="EYQ66" s="122"/>
      <c r="EYR66" s="122"/>
      <c r="EYS66" s="122"/>
      <c r="EYT66" s="122"/>
      <c r="EYU66" s="122"/>
      <c r="EYV66" s="122"/>
      <c r="EYW66" s="122"/>
      <c r="EYX66" s="122"/>
      <c r="EYY66" s="122"/>
      <c r="EYZ66" s="122"/>
      <c r="EZA66" s="122"/>
      <c r="EZB66" s="122"/>
      <c r="EZC66" s="122"/>
      <c r="EZD66" s="122"/>
      <c r="EZE66" s="122"/>
      <c r="EZF66" s="122"/>
      <c r="EZG66" s="122"/>
      <c r="EZH66" s="122"/>
      <c r="EZI66" s="122"/>
      <c r="EZJ66" s="122"/>
      <c r="EZK66" s="122"/>
      <c r="EZL66" s="122"/>
      <c r="EZM66" s="122"/>
      <c r="EZN66" s="122"/>
      <c r="EZO66" s="122"/>
      <c r="EZP66" s="122"/>
      <c r="EZQ66" s="122"/>
      <c r="EZR66" s="122"/>
      <c r="EZS66" s="122"/>
      <c r="EZT66" s="122"/>
      <c r="EZU66" s="122"/>
      <c r="EZV66" s="122"/>
      <c r="EZW66" s="122"/>
      <c r="EZX66" s="122"/>
      <c r="EZY66" s="122"/>
      <c r="EZZ66" s="122"/>
      <c r="FAA66" s="122"/>
      <c r="FAB66" s="122"/>
      <c r="FAC66" s="122"/>
      <c r="FAD66" s="122"/>
      <c r="FAE66" s="122"/>
      <c r="FAF66" s="122"/>
      <c r="FAG66" s="122"/>
      <c r="FAH66" s="122"/>
      <c r="FAI66" s="122"/>
      <c r="FAJ66" s="122"/>
      <c r="FAK66" s="122"/>
      <c r="FAL66" s="122"/>
      <c r="FAM66" s="122"/>
      <c r="FAN66" s="122"/>
      <c r="FAO66" s="122"/>
      <c r="FAP66" s="122"/>
      <c r="FAQ66" s="122"/>
      <c r="FAR66" s="122"/>
      <c r="FAS66" s="122"/>
      <c r="FAT66" s="122"/>
      <c r="FAU66" s="122"/>
      <c r="FAV66" s="122"/>
      <c r="FAW66" s="122"/>
      <c r="FAX66" s="122"/>
      <c r="FAY66" s="122"/>
      <c r="FAZ66" s="122"/>
      <c r="FBA66" s="122"/>
      <c r="FBB66" s="122"/>
      <c r="FBC66" s="122"/>
      <c r="FBD66" s="122"/>
      <c r="FBE66" s="122"/>
      <c r="FBF66" s="122"/>
      <c r="FBG66" s="122"/>
      <c r="FBH66" s="122"/>
      <c r="FBI66" s="122"/>
      <c r="FBJ66" s="122"/>
      <c r="FBK66" s="122"/>
      <c r="FBL66" s="122"/>
      <c r="FBM66" s="122"/>
      <c r="FBN66" s="122"/>
      <c r="FBO66" s="122"/>
      <c r="FBP66" s="122"/>
      <c r="FBQ66" s="122"/>
      <c r="FBR66" s="122"/>
      <c r="FBS66" s="122"/>
      <c r="FBT66" s="122"/>
      <c r="FBU66" s="122"/>
      <c r="FBV66" s="122"/>
      <c r="FBW66" s="122"/>
      <c r="FBX66" s="122"/>
      <c r="FBY66" s="122"/>
      <c r="FBZ66" s="122"/>
      <c r="FCA66" s="122"/>
      <c r="FCB66" s="122"/>
      <c r="FCC66" s="122"/>
      <c r="FCD66" s="122"/>
      <c r="FCE66" s="122"/>
      <c r="FCF66" s="122"/>
      <c r="FCG66" s="122"/>
      <c r="FCH66" s="122"/>
      <c r="FCI66" s="122"/>
      <c r="FCJ66" s="122"/>
      <c r="FCK66" s="122"/>
      <c r="FCL66" s="122"/>
      <c r="FCM66" s="122"/>
      <c r="FCN66" s="122"/>
      <c r="FCO66" s="122"/>
      <c r="FCP66" s="122"/>
      <c r="FCQ66" s="122"/>
      <c r="FCR66" s="122"/>
      <c r="FCS66" s="122"/>
      <c r="FCT66" s="122"/>
      <c r="FCU66" s="122"/>
      <c r="FCV66" s="122"/>
      <c r="FCW66" s="122"/>
      <c r="FCX66" s="122"/>
      <c r="FCY66" s="122"/>
      <c r="FCZ66" s="122"/>
      <c r="FDA66" s="122"/>
      <c r="FDB66" s="122"/>
      <c r="FDC66" s="122"/>
      <c r="FDD66" s="122"/>
      <c r="FDE66" s="122"/>
      <c r="FDF66" s="122"/>
      <c r="FDG66" s="122"/>
      <c r="FDH66" s="122"/>
      <c r="FDI66" s="122"/>
      <c r="FDJ66" s="122"/>
      <c r="FDK66" s="122"/>
      <c r="FDL66" s="122"/>
      <c r="FDM66" s="122"/>
      <c r="FDN66" s="122"/>
      <c r="FDO66" s="122"/>
      <c r="FDP66" s="122"/>
      <c r="FDQ66" s="122"/>
      <c r="FDR66" s="122"/>
      <c r="FDS66" s="122"/>
      <c r="FDT66" s="122"/>
      <c r="FDU66" s="122"/>
      <c r="FDV66" s="122"/>
      <c r="FDW66" s="122"/>
      <c r="FDX66" s="122"/>
      <c r="FDY66" s="122"/>
      <c r="FDZ66" s="122"/>
      <c r="FEA66" s="122"/>
      <c r="FEB66" s="122"/>
      <c r="FEC66" s="122"/>
      <c r="FED66" s="122"/>
      <c r="FEE66" s="122"/>
      <c r="FEF66" s="122"/>
      <c r="FEG66" s="122"/>
      <c r="FEH66" s="122"/>
      <c r="FEI66" s="122"/>
      <c r="FEJ66" s="122"/>
      <c r="FEK66" s="122"/>
      <c r="FEL66" s="122"/>
      <c r="FEM66" s="122"/>
      <c r="FEN66" s="122"/>
      <c r="FEO66" s="122"/>
      <c r="FEP66" s="122"/>
      <c r="FEQ66" s="122"/>
      <c r="FER66" s="122"/>
      <c r="FES66" s="122"/>
      <c r="FET66" s="122"/>
      <c r="FEU66" s="122"/>
      <c r="FEV66" s="122"/>
      <c r="FEW66" s="122"/>
      <c r="FEX66" s="122"/>
      <c r="FEY66" s="122"/>
      <c r="FEZ66" s="122"/>
      <c r="FFA66" s="122"/>
      <c r="FFB66" s="122"/>
      <c r="FFC66" s="122"/>
      <c r="FFD66" s="122"/>
      <c r="FFE66" s="122"/>
      <c r="FFF66" s="122"/>
      <c r="FFG66" s="122"/>
      <c r="FFH66" s="122"/>
      <c r="FFI66" s="122"/>
      <c r="FFJ66" s="122"/>
      <c r="FFK66" s="122"/>
      <c r="FFL66" s="122"/>
      <c r="FFM66" s="122"/>
      <c r="FFN66" s="122"/>
      <c r="FFO66" s="122"/>
      <c r="FFP66" s="122"/>
      <c r="FFQ66" s="122"/>
      <c r="FFR66" s="122"/>
      <c r="FFS66" s="122"/>
      <c r="FFT66" s="122"/>
      <c r="FFU66" s="122"/>
      <c r="FFV66" s="122"/>
      <c r="FFW66" s="122"/>
      <c r="FFX66" s="122"/>
      <c r="FFY66" s="122"/>
      <c r="FFZ66" s="122"/>
      <c r="FGA66" s="122"/>
      <c r="FGB66" s="122"/>
      <c r="FGC66" s="122"/>
      <c r="FGD66" s="122"/>
      <c r="FGE66" s="122"/>
      <c r="FGF66" s="122"/>
      <c r="FGG66" s="122"/>
      <c r="FGH66" s="122"/>
      <c r="FGI66" s="122"/>
      <c r="FGJ66" s="122"/>
      <c r="FGK66" s="122"/>
      <c r="FGL66" s="122"/>
      <c r="FGM66" s="122"/>
      <c r="FGN66" s="122"/>
      <c r="FGO66" s="122"/>
      <c r="FGP66" s="122"/>
      <c r="FGQ66" s="122"/>
      <c r="FGR66" s="122"/>
      <c r="FGS66" s="122"/>
      <c r="FGT66" s="122"/>
      <c r="FGU66" s="122"/>
      <c r="FGV66" s="122"/>
      <c r="FGW66" s="122"/>
      <c r="FGX66" s="122"/>
      <c r="FGY66" s="122"/>
      <c r="FGZ66" s="122"/>
      <c r="FHA66" s="122"/>
      <c r="FHB66" s="122"/>
      <c r="FHC66" s="122"/>
      <c r="FHD66" s="122"/>
      <c r="FHE66" s="122"/>
      <c r="FHF66" s="122"/>
      <c r="FHG66" s="122"/>
      <c r="FHH66" s="122"/>
      <c r="FHI66" s="122"/>
      <c r="FHJ66" s="122"/>
      <c r="FHK66" s="122"/>
      <c r="FHL66" s="122"/>
      <c r="FHM66" s="122"/>
      <c r="FHN66" s="122"/>
      <c r="FHO66" s="122"/>
      <c r="FHP66" s="122"/>
      <c r="FHQ66" s="122"/>
      <c r="FHR66" s="122"/>
      <c r="FHS66" s="122"/>
      <c r="FHT66" s="122"/>
      <c r="FHU66" s="122"/>
      <c r="FHV66" s="122"/>
      <c r="FHW66" s="122"/>
      <c r="FHX66" s="122"/>
      <c r="FHY66" s="122"/>
      <c r="FHZ66" s="122"/>
      <c r="FIA66" s="122"/>
      <c r="FIB66" s="122"/>
      <c r="FIC66" s="122"/>
      <c r="FID66" s="122"/>
      <c r="FIE66" s="122"/>
      <c r="FIF66" s="122"/>
      <c r="FIG66" s="122"/>
      <c r="FIH66" s="122"/>
      <c r="FII66" s="122"/>
      <c r="FIJ66" s="122"/>
      <c r="FIK66" s="122"/>
      <c r="FIL66" s="122"/>
      <c r="FIM66" s="122"/>
      <c r="FIN66" s="122"/>
      <c r="FIO66" s="122"/>
      <c r="FIP66" s="122"/>
      <c r="FIQ66" s="122"/>
      <c r="FIR66" s="122"/>
      <c r="FIS66" s="122"/>
      <c r="FIT66" s="122"/>
      <c r="FIU66" s="122"/>
      <c r="FIV66" s="122"/>
      <c r="FIW66" s="122"/>
      <c r="FIX66" s="122"/>
      <c r="FIY66" s="122"/>
      <c r="FIZ66" s="122"/>
      <c r="FJA66" s="122"/>
      <c r="FJB66" s="122"/>
      <c r="FJC66" s="122"/>
      <c r="FJD66" s="122"/>
      <c r="FJE66" s="122"/>
      <c r="FJF66" s="122"/>
      <c r="FJG66" s="122"/>
      <c r="FJH66" s="122"/>
      <c r="FJI66" s="122"/>
      <c r="FJJ66" s="122"/>
      <c r="FJK66" s="122"/>
      <c r="FJL66" s="122"/>
      <c r="FJM66" s="122"/>
      <c r="FJN66" s="122"/>
      <c r="FJO66" s="122"/>
      <c r="FJP66" s="122"/>
      <c r="FJQ66" s="122"/>
      <c r="FJR66" s="122"/>
      <c r="FJS66" s="122"/>
      <c r="FJT66" s="122"/>
      <c r="FJU66" s="122"/>
      <c r="FJV66" s="122"/>
      <c r="FJW66" s="122"/>
      <c r="FJX66" s="122"/>
      <c r="FJY66" s="122"/>
      <c r="FJZ66" s="122"/>
      <c r="FKA66" s="122"/>
      <c r="FKB66" s="122"/>
      <c r="FKC66" s="122"/>
      <c r="FKD66" s="122"/>
      <c r="FKE66" s="122"/>
      <c r="FKF66" s="122"/>
      <c r="FKG66" s="122"/>
      <c r="FKH66" s="122"/>
      <c r="FKI66" s="122"/>
      <c r="FKJ66" s="122"/>
      <c r="FKK66" s="122"/>
      <c r="FKL66" s="122"/>
      <c r="FKM66" s="122"/>
      <c r="FKN66" s="122"/>
      <c r="FKO66" s="122"/>
      <c r="FKP66" s="122"/>
      <c r="FKQ66" s="122"/>
      <c r="FKR66" s="122"/>
      <c r="FKS66" s="122"/>
      <c r="FKT66" s="122"/>
      <c r="FKU66" s="122"/>
      <c r="FKV66" s="122"/>
      <c r="FKW66" s="122"/>
      <c r="FKX66" s="122"/>
      <c r="FKY66" s="122"/>
      <c r="FKZ66" s="122"/>
      <c r="FLA66" s="122"/>
      <c r="FLB66" s="122"/>
      <c r="FLC66" s="122"/>
      <c r="FLD66" s="122"/>
      <c r="FLE66" s="122"/>
      <c r="FLF66" s="122"/>
      <c r="FLG66" s="122"/>
      <c r="FLH66" s="122"/>
      <c r="FLI66" s="122"/>
      <c r="FLJ66" s="122"/>
      <c r="FLK66" s="122"/>
      <c r="FLL66" s="122"/>
      <c r="FLM66" s="122"/>
      <c r="FLN66" s="122"/>
      <c r="FLO66" s="122"/>
      <c r="FLP66" s="122"/>
      <c r="FLQ66" s="122"/>
      <c r="FLR66" s="122"/>
      <c r="FLS66" s="122"/>
      <c r="FLT66" s="122"/>
      <c r="FLU66" s="122"/>
      <c r="FLV66" s="122"/>
      <c r="FLW66" s="122"/>
      <c r="FLX66" s="122"/>
      <c r="FLY66" s="122"/>
      <c r="FLZ66" s="122"/>
      <c r="FMA66" s="122"/>
      <c r="FMB66" s="122"/>
      <c r="FMC66" s="122"/>
      <c r="FMD66" s="122"/>
      <c r="FME66" s="122"/>
      <c r="FMF66" s="122"/>
      <c r="FMG66" s="122"/>
      <c r="FMH66" s="122"/>
      <c r="FMI66" s="122"/>
      <c r="FMJ66" s="122"/>
      <c r="FMK66" s="122"/>
      <c r="FML66" s="122"/>
      <c r="FMM66" s="122"/>
      <c r="FMN66" s="122"/>
      <c r="FMO66" s="122"/>
      <c r="FMP66" s="122"/>
      <c r="FMQ66" s="122"/>
      <c r="FMR66" s="122"/>
      <c r="FMS66" s="122"/>
      <c r="FMT66" s="122"/>
      <c r="FMU66" s="122"/>
      <c r="FMV66" s="122"/>
      <c r="FMW66" s="122"/>
      <c r="FMX66" s="122"/>
      <c r="FMY66" s="122"/>
      <c r="FMZ66" s="122"/>
      <c r="FNA66" s="122"/>
      <c r="FNB66" s="122"/>
      <c r="FNC66" s="122"/>
      <c r="FND66" s="122"/>
      <c r="FNE66" s="122"/>
      <c r="FNF66" s="122"/>
      <c r="FNG66" s="122"/>
      <c r="FNH66" s="122"/>
      <c r="FNI66" s="122"/>
      <c r="FNJ66" s="122"/>
      <c r="FNK66" s="122"/>
      <c r="FNL66" s="122"/>
      <c r="FNM66" s="122"/>
      <c r="FNN66" s="122"/>
      <c r="FNO66" s="122"/>
      <c r="FNP66" s="122"/>
      <c r="FNQ66" s="122"/>
      <c r="FNR66" s="122"/>
      <c r="FNS66" s="122"/>
      <c r="FNT66" s="122"/>
      <c r="FNU66" s="122"/>
      <c r="FNV66" s="122"/>
      <c r="FNW66" s="122"/>
      <c r="FNX66" s="122"/>
      <c r="FNY66" s="122"/>
      <c r="FNZ66" s="122"/>
      <c r="FOA66" s="122"/>
      <c r="FOB66" s="122"/>
      <c r="FOC66" s="122"/>
      <c r="FOD66" s="122"/>
      <c r="FOE66" s="122"/>
      <c r="FOF66" s="122"/>
      <c r="FOG66" s="122"/>
      <c r="FOH66" s="122"/>
      <c r="FOI66" s="122"/>
      <c r="FOJ66" s="122"/>
      <c r="FOK66" s="122"/>
      <c r="FOL66" s="122"/>
      <c r="FOM66" s="122"/>
      <c r="FON66" s="122"/>
      <c r="FOO66" s="122"/>
      <c r="FOP66" s="122"/>
      <c r="FOQ66" s="122"/>
      <c r="FOR66" s="122"/>
      <c r="FOS66" s="122"/>
      <c r="FOT66" s="122"/>
      <c r="FOU66" s="122"/>
      <c r="FOV66" s="122"/>
      <c r="FOW66" s="122"/>
      <c r="FOX66" s="122"/>
      <c r="FOY66" s="122"/>
      <c r="FOZ66" s="122"/>
      <c r="FPA66" s="122"/>
      <c r="FPB66" s="122"/>
      <c r="FPC66" s="122"/>
      <c r="FPD66" s="122"/>
      <c r="FPE66" s="122"/>
      <c r="FPF66" s="122"/>
      <c r="FPG66" s="122"/>
      <c r="FPH66" s="122"/>
      <c r="FPI66" s="122"/>
      <c r="FPJ66" s="122"/>
      <c r="FPK66" s="122"/>
      <c r="FPL66" s="122"/>
      <c r="FPM66" s="122"/>
      <c r="FPN66" s="122"/>
      <c r="FPO66" s="122"/>
      <c r="FPP66" s="122"/>
      <c r="FPQ66" s="122"/>
      <c r="FPR66" s="122"/>
      <c r="FPS66" s="122"/>
      <c r="FPT66" s="122"/>
      <c r="FPU66" s="122"/>
      <c r="FPV66" s="122"/>
      <c r="FPW66" s="122"/>
      <c r="FPX66" s="122"/>
      <c r="FPY66" s="122"/>
      <c r="FPZ66" s="122"/>
      <c r="FQA66" s="122"/>
      <c r="FQB66" s="122"/>
      <c r="FQC66" s="122"/>
      <c r="FQD66" s="122"/>
      <c r="FQE66" s="122"/>
      <c r="FQF66" s="122"/>
      <c r="FQG66" s="122"/>
      <c r="FQH66" s="122"/>
      <c r="FQI66" s="122"/>
      <c r="FQJ66" s="122"/>
      <c r="FQK66" s="122"/>
      <c r="FQL66" s="122"/>
      <c r="FQM66" s="122"/>
      <c r="FQN66" s="122"/>
      <c r="FQO66" s="122"/>
      <c r="FQP66" s="122"/>
      <c r="FQQ66" s="122"/>
      <c r="FQR66" s="122"/>
      <c r="FQS66" s="122"/>
      <c r="FQT66" s="122"/>
      <c r="FQU66" s="122"/>
      <c r="FQV66" s="122"/>
      <c r="FQW66" s="122"/>
      <c r="FQX66" s="122"/>
      <c r="FQY66" s="122"/>
      <c r="FQZ66" s="122"/>
      <c r="FRA66" s="122"/>
      <c r="FRB66" s="122"/>
      <c r="FRC66" s="122"/>
      <c r="FRD66" s="122"/>
      <c r="FRE66" s="122"/>
      <c r="FRF66" s="122"/>
      <c r="FRG66" s="122"/>
      <c r="FRH66" s="122"/>
      <c r="FRI66" s="122"/>
      <c r="FRJ66" s="122"/>
      <c r="FRK66" s="122"/>
      <c r="FRL66" s="122"/>
      <c r="FRM66" s="122"/>
      <c r="FRN66" s="122"/>
      <c r="FRO66" s="122"/>
      <c r="FRP66" s="122"/>
      <c r="FRQ66" s="122"/>
      <c r="FRR66" s="122"/>
      <c r="FRS66" s="122"/>
      <c r="FRT66" s="122"/>
      <c r="FRU66" s="122"/>
      <c r="FRV66" s="122"/>
      <c r="FRW66" s="122"/>
      <c r="FRX66" s="122"/>
      <c r="FRY66" s="122"/>
      <c r="FRZ66" s="122"/>
      <c r="FSA66" s="122"/>
      <c r="FSB66" s="122"/>
      <c r="FSC66" s="122"/>
      <c r="FSD66" s="122"/>
      <c r="FSE66" s="122"/>
      <c r="FSF66" s="122"/>
      <c r="FSG66" s="122"/>
      <c r="FSH66" s="122"/>
      <c r="FSI66" s="122"/>
      <c r="FSJ66" s="122"/>
      <c r="FSK66" s="122"/>
      <c r="FSL66" s="122"/>
      <c r="FSM66" s="122"/>
      <c r="FSN66" s="122"/>
      <c r="FSO66" s="122"/>
      <c r="FSP66" s="122"/>
      <c r="FSQ66" s="122"/>
      <c r="FSR66" s="122"/>
      <c r="FSS66" s="122"/>
      <c r="FST66" s="122"/>
      <c r="FSU66" s="122"/>
      <c r="FSV66" s="122"/>
      <c r="FSW66" s="122"/>
      <c r="FSX66" s="122"/>
      <c r="FSY66" s="122"/>
      <c r="FSZ66" s="122"/>
      <c r="FTA66" s="122"/>
      <c r="FTB66" s="122"/>
      <c r="FTC66" s="122"/>
      <c r="FTD66" s="122"/>
      <c r="FTE66" s="122"/>
      <c r="FTF66" s="122"/>
      <c r="FTG66" s="122"/>
      <c r="FTH66" s="122"/>
      <c r="FTI66" s="122"/>
      <c r="FTJ66" s="122"/>
      <c r="FTK66" s="122"/>
      <c r="FTL66" s="122"/>
      <c r="FTM66" s="122"/>
      <c r="FTN66" s="122"/>
      <c r="FTO66" s="122"/>
      <c r="FTP66" s="122"/>
      <c r="FTQ66" s="122"/>
      <c r="FTR66" s="122"/>
      <c r="FTS66" s="122"/>
      <c r="FTT66" s="122"/>
      <c r="FTU66" s="122"/>
      <c r="FTV66" s="122"/>
      <c r="FTW66" s="122"/>
      <c r="FTX66" s="122"/>
      <c r="FTY66" s="122"/>
      <c r="FTZ66" s="122"/>
      <c r="FUA66" s="122"/>
      <c r="FUB66" s="122"/>
      <c r="FUC66" s="122"/>
      <c r="FUD66" s="122"/>
      <c r="FUE66" s="122"/>
      <c r="FUF66" s="122"/>
      <c r="FUG66" s="122"/>
      <c r="FUH66" s="122"/>
      <c r="FUI66" s="122"/>
      <c r="FUJ66" s="122"/>
      <c r="FUK66" s="122"/>
      <c r="FUL66" s="122"/>
      <c r="FUM66" s="122"/>
      <c r="FUN66" s="122"/>
      <c r="FUO66" s="122"/>
      <c r="FUP66" s="122"/>
      <c r="FUQ66" s="122"/>
      <c r="FUR66" s="122"/>
      <c r="FUS66" s="122"/>
      <c r="FUT66" s="122"/>
      <c r="FUU66" s="122"/>
      <c r="FUV66" s="122"/>
      <c r="FUW66" s="122"/>
      <c r="FUX66" s="122"/>
      <c r="FUY66" s="122"/>
      <c r="FUZ66" s="122"/>
      <c r="FVA66" s="122"/>
      <c r="FVB66" s="122"/>
      <c r="FVC66" s="122"/>
      <c r="FVD66" s="122"/>
      <c r="FVE66" s="122"/>
      <c r="FVF66" s="122"/>
      <c r="FVG66" s="122"/>
      <c r="FVH66" s="122"/>
      <c r="FVI66" s="122"/>
      <c r="FVJ66" s="122"/>
      <c r="FVK66" s="122"/>
      <c r="FVL66" s="122"/>
      <c r="FVM66" s="122"/>
      <c r="FVN66" s="122"/>
      <c r="FVO66" s="122"/>
      <c r="FVP66" s="122"/>
      <c r="FVQ66" s="122"/>
      <c r="FVR66" s="122"/>
      <c r="FVS66" s="122"/>
      <c r="FVT66" s="122"/>
      <c r="FVU66" s="122"/>
      <c r="FVV66" s="122"/>
      <c r="FVW66" s="122"/>
      <c r="FVX66" s="122"/>
      <c r="FVY66" s="122"/>
      <c r="FVZ66" s="122"/>
      <c r="FWA66" s="122"/>
      <c r="FWB66" s="122"/>
      <c r="FWC66" s="122"/>
      <c r="FWD66" s="122"/>
      <c r="FWE66" s="122"/>
      <c r="FWF66" s="122"/>
      <c r="FWG66" s="122"/>
      <c r="FWH66" s="122"/>
      <c r="FWI66" s="122"/>
      <c r="FWJ66" s="122"/>
      <c r="FWK66" s="122"/>
      <c r="FWL66" s="122"/>
      <c r="FWM66" s="122"/>
      <c r="FWN66" s="122"/>
      <c r="FWO66" s="122"/>
      <c r="FWP66" s="122"/>
      <c r="FWQ66" s="122"/>
      <c r="FWR66" s="122"/>
      <c r="FWS66" s="122"/>
      <c r="FWT66" s="122"/>
      <c r="FWU66" s="122"/>
      <c r="FWV66" s="122"/>
      <c r="FWW66" s="122"/>
      <c r="FWX66" s="122"/>
      <c r="FWY66" s="122"/>
      <c r="FWZ66" s="122"/>
      <c r="FXA66" s="122"/>
      <c r="FXB66" s="122"/>
      <c r="FXC66" s="122"/>
      <c r="FXD66" s="122"/>
      <c r="FXE66" s="122"/>
      <c r="FXF66" s="122"/>
      <c r="FXG66" s="122"/>
      <c r="FXH66" s="122"/>
      <c r="FXI66" s="122"/>
      <c r="FXJ66" s="122"/>
      <c r="FXK66" s="122"/>
      <c r="FXL66" s="122"/>
      <c r="FXM66" s="122"/>
      <c r="FXN66" s="122"/>
      <c r="FXO66" s="122"/>
      <c r="FXP66" s="122"/>
      <c r="FXQ66" s="122"/>
      <c r="FXR66" s="122"/>
      <c r="FXS66" s="122"/>
      <c r="FXT66" s="122"/>
      <c r="FXU66" s="122"/>
      <c r="FXV66" s="122"/>
      <c r="FXW66" s="122"/>
      <c r="FXX66" s="122"/>
      <c r="FXY66" s="122"/>
      <c r="FXZ66" s="122"/>
      <c r="FYA66" s="122"/>
      <c r="FYB66" s="122"/>
      <c r="FYC66" s="122"/>
      <c r="FYD66" s="122"/>
      <c r="FYE66" s="122"/>
      <c r="FYF66" s="122"/>
      <c r="FYG66" s="122"/>
      <c r="FYH66" s="122"/>
      <c r="FYI66" s="122"/>
      <c r="FYJ66" s="122"/>
      <c r="FYK66" s="122"/>
      <c r="FYL66" s="122"/>
      <c r="FYM66" s="122"/>
      <c r="FYN66" s="122"/>
      <c r="FYO66" s="122"/>
      <c r="FYP66" s="122"/>
      <c r="FYQ66" s="122"/>
      <c r="FYR66" s="122"/>
      <c r="FYS66" s="122"/>
      <c r="FYT66" s="122"/>
      <c r="FYU66" s="122"/>
      <c r="FYV66" s="122"/>
      <c r="FYW66" s="122"/>
      <c r="FYX66" s="122"/>
      <c r="FYY66" s="122"/>
      <c r="FYZ66" s="122"/>
      <c r="FZA66" s="122"/>
      <c r="FZB66" s="122"/>
      <c r="FZC66" s="122"/>
      <c r="FZD66" s="122"/>
      <c r="FZE66" s="122"/>
      <c r="FZF66" s="122"/>
      <c r="FZG66" s="122"/>
      <c r="FZH66" s="122"/>
      <c r="FZI66" s="122"/>
      <c r="FZJ66" s="122"/>
      <c r="FZK66" s="122"/>
      <c r="FZL66" s="122"/>
      <c r="FZM66" s="122"/>
      <c r="FZN66" s="122"/>
      <c r="FZO66" s="122"/>
      <c r="FZP66" s="122"/>
      <c r="FZQ66" s="122"/>
      <c r="FZR66" s="122"/>
      <c r="FZS66" s="122"/>
      <c r="FZT66" s="122"/>
      <c r="FZU66" s="122"/>
      <c r="FZV66" s="122"/>
      <c r="FZW66" s="122"/>
      <c r="FZX66" s="122"/>
      <c r="FZY66" s="122"/>
      <c r="FZZ66" s="122"/>
      <c r="GAA66" s="122"/>
      <c r="GAB66" s="122"/>
      <c r="GAC66" s="122"/>
      <c r="GAD66" s="122"/>
      <c r="GAE66" s="122"/>
      <c r="GAF66" s="122"/>
      <c r="GAG66" s="122"/>
      <c r="GAH66" s="122"/>
      <c r="GAI66" s="122"/>
      <c r="GAJ66" s="122"/>
      <c r="GAK66" s="122"/>
      <c r="GAL66" s="122"/>
      <c r="GAM66" s="122"/>
      <c r="GAN66" s="122"/>
      <c r="GAO66" s="122"/>
      <c r="GAP66" s="122"/>
      <c r="GAQ66" s="122"/>
      <c r="GAR66" s="122"/>
      <c r="GAS66" s="122"/>
      <c r="GAT66" s="122"/>
      <c r="GAU66" s="122"/>
      <c r="GAV66" s="122"/>
      <c r="GAW66" s="122"/>
      <c r="GAX66" s="122"/>
      <c r="GAY66" s="122"/>
      <c r="GAZ66" s="122"/>
      <c r="GBA66" s="122"/>
      <c r="GBB66" s="122"/>
      <c r="GBC66" s="122"/>
      <c r="GBD66" s="122"/>
      <c r="GBE66" s="122"/>
      <c r="GBF66" s="122"/>
      <c r="GBG66" s="122"/>
      <c r="GBH66" s="122"/>
      <c r="GBI66" s="122"/>
      <c r="GBJ66" s="122"/>
      <c r="GBK66" s="122"/>
      <c r="GBL66" s="122"/>
      <c r="GBM66" s="122"/>
      <c r="GBN66" s="122"/>
      <c r="GBO66" s="122"/>
      <c r="GBP66" s="122"/>
      <c r="GBQ66" s="122"/>
      <c r="GBR66" s="122"/>
      <c r="GBS66" s="122"/>
      <c r="GBT66" s="122"/>
      <c r="GBU66" s="122"/>
      <c r="GBV66" s="122"/>
      <c r="GBW66" s="122"/>
      <c r="GBX66" s="122"/>
      <c r="GBY66" s="122"/>
      <c r="GBZ66" s="122"/>
      <c r="GCA66" s="122"/>
      <c r="GCB66" s="122"/>
      <c r="GCC66" s="122"/>
      <c r="GCD66" s="122"/>
      <c r="GCE66" s="122"/>
      <c r="GCF66" s="122"/>
      <c r="GCG66" s="122"/>
      <c r="GCH66" s="122"/>
      <c r="GCI66" s="122"/>
      <c r="GCJ66" s="122"/>
      <c r="GCK66" s="122"/>
      <c r="GCL66" s="122"/>
      <c r="GCM66" s="122"/>
      <c r="GCN66" s="122"/>
      <c r="GCO66" s="122"/>
      <c r="GCP66" s="122"/>
      <c r="GCQ66" s="122"/>
      <c r="GCR66" s="122"/>
      <c r="GCS66" s="122"/>
      <c r="GCT66" s="122"/>
      <c r="GCU66" s="122"/>
      <c r="GCV66" s="122"/>
      <c r="GCW66" s="122"/>
      <c r="GCX66" s="122"/>
      <c r="GCY66" s="122"/>
      <c r="GCZ66" s="122"/>
      <c r="GDA66" s="122"/>
      <c r="GDB66" s="122"/>
      <c r="GDC66" s="122"/>
      <c r="GDD66" s="122"/>
      <c r="GDE66" s="122"/>
      <c r="GDF66" s="122"/>
      <c r="GDG66" s="122"/>
      <c r="GDH66" s="122"/>
      <c r="GDI66" s="122"/>
      <c r="GDJ66" s="122"/>
      <c r="GDK66" s="122"/>
      <c r="GDL66" s="122"/>
      <c r="GDM66" s="122"/>
      <c r="GDN66" s="122"/>
      <c r="GDO66" s="122"/>
      <c r="GDP66" s="122"/>
      <c r="GDQ66" s="122"/>
      <c r="GDR66" s="122"/>
      <c r="GDS66" s="122"/>
      <c r="GDT66" s="122"/>
      <c r="GDU66" s="122"/>
      <c r="GDV66" s="122"/>
      <c r="GDW66" s="122"/>
      <c r="GDX66" s="122"/>
      <c r="GDY66" s="122"/>
      <c r="GDZ66" s="122"/>
      <c r="GEA66" s="122"/>
      <c r="GEB66" s="122"/>
      <c r="GEC66" s="122"/>
      <c r="GED66" s="122"/>
      <c r="GEE66" s="122"/>
      <c r="GEF66" s="122"/>
      <c r="GEG66" s="122"/>
      <c r="GEH66" s="122"/>
      <c r="GEI66" s="122"/>
      <c r="GEJ66" s="122"/>
      <c r="GEK66" s="122"/>
      <c r="GEL66" s="122"/>
      <c r="GEM66" s="122"/>
      <c r="GEN66" s="122"/>
      <c r="GEO66" s="122"/>
      <c r="GEP66" s="122"/>
      <c r="GEQ66" s="122"/>
      <c r="GER66" s="122"/>
      <c r="GES66" s="122"/>
      <c r="GET66" s="122"/>
      <c r="GEU66" s="122"/>
      <c r="GEV66" s="122"/>
      <c r="GEW66" s="122"/>
      <c r="GEX66" s="122"/>
      <c r="GEY66" s="122"/>
      <c r="GEZ66" s="122"/>
      <c r="GFA66" s="122"/>
      <c r="GFB66" s="122"/>
      <c r="GFC66" s="122"/>
      <c r="GFD66" s="122"/>
      <c r="GFE66" s="122"/>
      <c r="GFF66" s="122"/>
      <c r="GFG66" s="122"/>
      <c r="GFH66" s="122"/>
      <c r="GFI66" s="122"/>
      <c r="GFJ66" s="122"/>
      <c r="GFK66" s="122"/>
      <c r="GFL66" s="122"/>
      <c r="GFM66" s="122"/>
      <c r="GFN66" s="122"/>
      <c r="GFO66" s="122"/>
      <c r="GFP66" s="122"/>
      <c r="GFQ66" s="122"/>
      <c r="GFR66" s="122"/>
      <c r="GFS66" s="122"/>
      <c r="GFT66" s="122"/>
      <c r="GFU66" s="122"/>
      <c r="GFV66" s="122"/>
      <c r="GFW66" s="122"/>
      <c r="GFX66" s="122"/>
      <c r="GFY66" s="122"/>
      <c r="GFZ66" s="122"/>
      <c r="GGA66" s="122"/>
      <c r="GGB66" s="122"/>
      <c r="GGC66" s="122"/>
      <c r="GGD66" s="122"/>
      <c r="GGE66" s="122"/>
      <c r="GGF66" s="122"/>
      <c r="GGG66" s="122"/>
      <c r="GGH66" s="122"/>
      <c r="GGI66" s="122"/>
      <c r="GGJ66" s="122"/>
      <c r="GGK66" s="122"/>
      <c r="GGL66" s="122"/>
      <c r="GGM66" s="122"/>
      <c r="GGN66" s="122"/>
      <c r="GGO66" s="122"/>
      <c r="GGP66" s="122"/>
      <c r="GGQ66" s="122"/>
      <c r="GGR66" s="122"/>
      <c r="GGS66" s="122"/>
      <c r="GGT66" s="122"/>
      <c r="GGU66" s="122"/>
      <c r="GGV66" s="122"/>
      <c r="GGW66" s="122"/>
      <c r="GGX66" s="122"/>
      <c r="GGY66" s="122"/>
      <c r="GGZ66" s="122"/>
      <c r="GHA66" s="122"/>
      <c r="GHB66" s="122"/>
      <c r="GHC66" s="122"/>
      <c r="GHD66" s="122"/>
      <c r="GHE66" s="122"/>
      <c r="GHF66" s="122"/>
      <c r="GHG66" s="122"/>
      <c r="GHH66" s="122"/>
      <c r="GHI66" s="122"/>
      <c r="GHJ66" s="122"/>
      <c r="GHK66" s="122"/>
      <c r="GHL66" s="122"/>
      <c r="GHM66" s="122"/>
      <c r="GHN66" s="122"/>
      <c r="GHO66" s="122"/>
      <c r="GHP66" s="122"/>
      <c r="GHQ66" s="122"/>
      <c r="GHR66" s="122"/>
      <c r="GHS66" s="122"/>
      <c r="GHT66" s="122"/>
      <c r="GHU66" s="122"/>
      <c r="GHV66" s="122"/>
      <c r="GHW66" s="122"/>
      <c r="GHX66" s="122"/>
      <c r="GHY66" s="122"/>
      <c r="GHZ66" s="122"/>
      <c r="GIA66" s="122"/>
      <c r="GIB66" s="122"/>
      <c r="GIC66" s="122"/>
      <c r="GID66" s="122"/>
      <c r="GIE66" s="122"/>
      <c r="GIF66" s="122"/>
      <c r="GIG66" s="122"/>
      <c r="GIH66" s="122"/>
      <c r="GII66" s="122"/>
      <c r="GIJ66" s="122"/>
      <c r="GIK66" s="122"/>
      <c r="GIL66" s="122"/>
      <c r="GIM66" s="122"/>
      <c r="GIN66" s="122"/>
      <c r="GIO66" s="122"/>
      <c r="GIP66" s="122"/>
      <c r="GIQ66" s="122"/>
      <c r="GIR66" s="122"/>
      <c r="GIS66" s="122"/>
      <c r="GIT66" s="122"/>
      <c r="GIU66" s="122"/>
      <c r="GIV66" s="122"/>
      <c r="GIW66" s="122"/>
      <c r="GIX66" s="122"/>
      <c r="GIY66" s="122"/>
      <c r="GIZ66" s="122"/>
      <c r="GJA66" s="122"/>
      <c r="GJB66" s="122"/>
      <c r="GJC66" s="122"/>
      <c r="GJD66" s="122"/>
      <c r="GJE66" s="122"/>
      <c r="GJF66" s="122"/>
      <c r="GJG66" s="122"/>
      <c r="GJH66" s="122"/>
      <c r="GJI66" s="122"/>
      <c r="GJJ66" s="122"/>
      <c r="GJK66" s="122"/>
      <c r="GJL66" s="122"/>
      <c r="GJM66" s="122"/>
      <c r="GJN66" s="122"/>
      <c r="GJO66" s="122"/>
      <c r="GJP66" s="122"/>
      <c r="GJQ66" s="122"/>
      <c r="GJR66" s="122"/>
      <c r="GJS66" s="122"/>
      <c r="GJT66" s="122"/>
      <c r="GJU66" s="122"/>
      <c r="GJV66" s="122"/>
      <c r="GJW66" s="122"/>
      <c r="GJX66" s="122"/>
      <c r="GJY66" s="122"/>
      <c r="GJZ66" s="122"/>
      <c r="GKA66" s="122"/>
      <c r="GKB66" s="122"/>
      <c r="GKC66" s="122"/>
      <c r="GKD66" s="122"/>
      <c r="GKE66" s="122"/>
      <c r="GKF66" s="122"/>
      <c r="GKG66" s="122"/>
      <c r="GKH66" s="122"/>
      <c r="GKI66" s="122"/>
      <c r="GKJ66" s="122"/>
      <c r="GKK66" s="122"/>
      <c r="GKL66" s="122"/>
      <c r="GKM66" s="122"/>
      <c r="GKN66" s="122"/>
      <c r="GKO66" s="122"/>
      <c r="GKP66" s="122"/>
      <c r="GKQ66" s="122"/>
      <c r="GKR66" s="122"/>
      <c r="GKS66" s="122"/>
      <c r="GKT66" s="122"/>
      <c r="GKU66" s="122"/>
      <c r="GKV66" s="122"/>
      <c r="GKW66" s="122"/>
      <c r="GKX66" s="122"/>
      <c r="GKY66" s="122"/>
      <c r="GKZ66" s="122"/>
      <c r="GLA66" s="122"/>
      <c r="GLB66" s="122"/>
      <c r="GLC66" s="122"/>
      <c r="GLD66" s="122"/>
      <c r="GLE66" s="122"/>
      <c r="GLF66" s="122"/>
      <c r="GLG66" s="122"/>
      <c r="GLH66" s="122"/>
      <c r="GLI66" s="122"/>
      <c r="GLJ66" s="122"/>
      <c r="GLK66" s="122"/>
      <c r="GLL66" s="122"/>
      <c r="GLM66" s="122"/>
      <c r="GLN66" s="122"/>
      <c r="GLO66" s="122"/>
      <c r="GLP66" s="122"/>
      <c r="GLQ66" s="122"/>
      <c r="GLR66" s="122"/>
      <c r="GLS66" s="122"/>
      <c r="GLT66" s="122"/>
      <c r="GLU66" s="122"/>
      <c r="GLV66" s="122"/>
      <c r="GLW66" s="122"/>
      <c r="GLX66" s="122"/>
      <c r="GLY66" s="122"/>
      <c r="GLZ66" s="122"/>
      <c r="GMA66" s="122"/>
      <c r="GMB66" s="122"/>
      <c r="GMC66" s="122"/>
      <c r="GMD66" s="122"/>
      <c r="GME66" s="122"/>
      <c r="GMF66" s="122"/>
      <c r="GMG66" s="122"/>
      <c r="GMH66" s="122"/>
      <c r="GMI66" s="122"/>
      <c r="GMJ66" s="122"/>
      <c r="GMK66" s="122"/>
      <c r="GML66" s="122"/>
      <c r="GMM66" s="122"/>
      <c r="GMN66" s="122"/>
      <c r="GMO66" s="122"/>
      <c r="GMP66" s="122"/>
      <c r="GMQ66" s="122"/>
      <c r="GMR66" s="122"/>
      <c r="GMS66" s="122"/>
      <c r="GMT66" s="122"/>
      <c r="GMU66" s="122"/>
      <c r="GMV66" s="122"/>
      <c r="GMW66" s="122"/>
      <c r="GMX66" s="122"/>
      <c r="GMY66" s="122"/>
      <c r="GMZ66" s="122"/>
      <c r="GNA66" s="122"/>
      <c r="GNB66" s="122"/>
      <c r="GNC66" s="122"/>
      <c r="GND66" s="122"/>
      <c r="GNE66" s="122"/>
      <c r="GNF66" s="122"/>
      <c r="GNG66" s="122"/>
      <c r="GNH66" s="122"/>
      <c r="GNI66" s="122"/>
      <c r="GNJ66" s="122"/>
      <c r="GNK66" s="122"/>
      <c r="GNL66" s="122"/>
      <c r="GNM66" s="122"/>
      <c r="GNN66" s="122"/>
      <c r="GNO66" s="122"/>
      <c r="GNP66" s="122"/>
      <c r="GNQ66" s="122"/>
      <c r="GNR66" s="122"/>
      <c r="GNS66" s="122"/>
      <c r="GNT66" s="122"/>
      <c r="GNU66" s="122"/>
      <c r="GNV66" s="122"/>
      <c r="GNW66" s="122"/>
      <c r="GNX66" s="122"/>
      <c r="GNY66" s="122"/>
      <c r="GNZ66" s="122"/>
      <c r="GOA66" s="122"/>
      <c r="GOB66" s="122"/>
      <c r="GOC66" s="122"/>
      <c r="GOD66" s="122"/>
      <c r="GOE66" s="122"/>
      <c r="GOF66" s="122"/>
      <c r="GOG66" s="122"/>
      <c r="GOH66" s="122"/>
      <c r="GOI66" s="122"/>
      <c r="GOJ66" s="122"/>
      <c r="GOK66" s="122"/>
      <c r="GOL66" s="122"/>
      <c r="GOM66" s="122"/>
      <c r="GON66" s="122"/>
      <c r="GOO66" s="122"/>
      <c r="GOP66" s="122"/>
      <c r="GOQ66" s="122"/>
      <c r="GOR66" s="122"/>
      <c r="GOS66" s="122"/>
      <c r="GOT66" s="122"/>
      <c r="GOU66" s="122"/>
      <c r="GOV66" s="122"/>
      <c r="GOW66" s="122"/>
      <c r="GOX66" s="122"/>
      <c r="GOY66" s="122"/>
      <c r="GOZ66" s="122"/>
      <c r="GPA66" s="122"/>
      <c r="GPB66" s="122"/>
      <c r="GPC66" s="122"/>
      <c r="GPD66" s="122"/>
      <c r="GPE66" s="122"/>
      <c r="GPF66" s="122"/>
      <c r="GPG66" s="122"/>
      <c r="GPH66" s="122"/>
      <c r="GPI66" s="122"/>
      <c r="GPJ66" s="122"/>
      <c r="GPK66" s="122"/>
      <c r="GPL66" s="122"/>
      <c r="GPM66" s="122"/>
      <c r="GPN66" s="122"/>
      <c r="GPO66" s="122"/>
      <c r="GPP66" s="122"/>
      <c r="GPQ66" s="122"/>
      <c r="GPR66" s="122"/>
      <c r="GPS66" s="122"/>
      <c r="GPT66" s="122"/>
      <c r="GPU66" s="122"/>
      <c r="GPV66" s="122"/>
      <c r="GPW66" s="122"/>
      <c r="GPX66" s="122"/>
      <c r="GPY66" s="122"/>
      <c r="GPZ66" s="122"/>
      <c r="GQA66" s="122"/>
      <c r="GQB66" s="122"/>
      <c r="GQC66" s="122"/>
      <c r="GQD66" s="122"/>
      <c r="GQE66" s="122"/>
      <c r="GQF66" s="122"/>
      <c r="GQG66" s="122"/>
      <c r="GQH66" s="122"/>
      <c r="GQI66" s="122"/>
      <c r="GQJ66" s="122"/>
      <c r="GQK66" s="122"/>
      <c r="GQL66" s="122"/>
      <c r="GQM66" s="122"/>
      <c r="GQN66" s="122"/>
      <c r="GQO66" s="122"/>
      <c r="GQP66" s="122"/>
      <c r="GQQ66" s="122"/>
      <c r="GQR66" s="122"/>
      <c r="GQS66" s="122"/>
      <c r="GQT66" s="122"/>
      <c r="GQU66" s="122"/>
      <c r="GQV66" s="122"/>
      <c r="GQW66" s="122"/>
      <c r="GQX66" s="122"/>
      <c r="GQY66" s="122"/>
      <c r="GQZ66" s="122"/>
      <c r="GRA66" s="122"/>
      <c r="GRB66" s="122"/>
      <c r="GRC66" s="122"/>
      <c r="GRD66" s="122"/>
      <c r="GRE66" s="122"/>
      <c r="GRF66" s="122"/>
      <c r="GRG66" s="122"/>
      <c r="GRH66" s="122"/>
      <c r="GRI66" s="122"/>
      <c r="GRJ66" s="122"/>
      <c r="GRK66" s="122"/>
      <c r="GRL66" s="122"/>
      <c r="GRM66" s="122"/>
      <c r="GRN66" s="122"/>
      <c r="GRO66" s="122"/>
      <c r="GRP66" s="122"/>
      <c r="GRQ66" s="122"/>
      <c r="GRR66" s="122"/>
      <c r="GRS66" s="122"/>
      <c r="GRT66" s="122"/>
      <c r="GRU66" s="122"/>
      <c r="GRV66" s="122"/>
      <c r="GRW66" s="122"/>
      <c r="GRX66" s="122"/>
      <c r="GRY66" s="122"/>
      <c r="GRZ66" s="122"/>
      <c r="GSA66" s="122"/>
      <c r="GSB66" s="122"/>
      <c r="GSC66" s="122"/>
      <c r="GSD66" s="122"/>
      <c r="GSE66" s="122"/>
      <c r="GSF66" s="122"/>
      <c r="GSG66" s="122"/>
      <c r="GSH66" s="122"/>
      <c r="GSI66" s="122"/>
      <c r="GSJ66" s="122"/>
      <c r="GSK66" s="122"/>
      <c r="GSL66" s="122"/>
      <c r="GSM66" s="122"/>
      <c r="GSN66" s="122"/>
      <c r="GSO66" s="122"/>
      <c r="GSP66" s="122"/>
      <c r="GSQ66" s="122"/>
      <c r="GSR66" s="122"/>
      <c r="GSS66" s="122"/>
      <c r="GST66" s="122"/>
      <c r="GSU66" s="122"/>
      <c r="GSV66" s="122"/>
      <c r="GSW66" s="122"/>
      <c r="GSX66" s="122"/>
      <c r="GSY66" s="122"/>
      <c r="GSZ66" s="122"/>
      <c r="GTA66" s="122"/>
      <c r="GTB66" s="122"/>
      <c r="GTC66" s="122"/>
      <c r="GTD66" s="122"/>
      <c r="GTE66" s="122"/>
      <c r="GTF66" s="122"/>
      <c r="GTG66" s="122"/>
      <c r="GTH66" s="122"/>
      <c r="GTI66" s="122"/>
      <c r="GTJ66" s="122"/>
      <c r="GTK66" s="122"/>
      <c r="GTL66" s="122"/>
      <c r="GTM66" s="122"/>
      <c r="GTN66" s="122"/>
      <c r="GTO66" s="122"/>
      <c r="GTP66" s="122"/>
      <c r="GTQ66" s="122"/>
      <c r="GTR66" s="122"/>
      <c r="GTS66" s="122"/>
      <c r="GTT66" s="122"/>
      <c r="GTU66" s="122"/>
      <c r="GTV66" s="122"/>
      <c r="GTW66" s="122"/>
      <c r="GTX66" s="122"/>
      <c r="GTY66" s="122"/>
      <c r="GTZ66" s="122"/>
      <c r="GUA66" s="122"/>
      <c r="GUB66" s="122"/>
      <c r="GUC66" s="122"/>
      <c r="GUD66" s="122"/>
      <c r="GUE66" s="122"/>
      <c r="GUF66" s="122"/>
      <c r="GUG66" s="122"/>
      <c r="GUH66" s="122"/>
      <c r="GUI66" s="122"/>
      <c r="GUJ66" s="122"/>
      <c r="GUK66" s="122"/>
      <c r="GUL66" s="122"/>
      <c r="GUM66" s="122"/>
      <c r="GUN66" s="122"/>
      <c r="GUO66" s="122"/>
      <c r="GUP66" s="122"/>
      <c r="GUQ66" s="122"/>
      <c r="GUR66" s="122"/>
      <c r="GUS66" s="122"/>
      <c r="GUT66" s="122"/>
      <c r="GUU66" s="122"/>
      <c r="GUV66" s="122"/>
      <c r="GUW66" s="122"/>
      <c r="GUX66" s="122"/>
      <c r="GUY66" s="122"/>
      <c r="GUZ66" s="122"/>
      <c r="GVA66" s="122"/>
      <c r="GVB66" s="122"/>
      <c r="GVC66" s="122"/>
      <c r="GVD66" s="122"/>
      <c r="GVE66" s="122"/>
      <c r="GVF66" s="122"/>
      <c r="GVG66" s="122"/>
      <c r="GVH66" s="122"/>
      <c r="GVI66" s="122"/>
      <c r="GVJ66" s="122"/>
      <c r="GVK66" s="122"/>
      <c r="GVL66" s="122"/>
      <c r="GVM66" s="122"/>
      <c r="GVN66" s="122"/>
      <c r="GVO66" s="122"/>
      <c r="GVP66" s="122"/>
      <c r="GVQ66" s="122"/>
      <c r="GVR66" s="122"/>
      <c r="GVS66" s="122"/>
      <c r="GVT66" s="122"/>
      <c r="GVU66" s="122"/>
      <c r="GVV66" s="122"/>
      <c r="GVW66" s="122"/>
      <c r="GVX66" s="122"/>
      <c r="GVY66" s="122"/>
      <c r="GVZ66" s="122"/>
      <c r="GWA66" s="122"/>
      <c r="GWB66" s="122"/>
      <c r="GWC66" s="122"/>
      <c r="GWD66" s="122"/>
      <c r="GWE66" s="122"/>
      <c r="GWF66" s="122"/>
      <c r="GWG66" s="122"/>
      <c r="GWH66" s="122"/>
      <c r="GWI66" s="122"/>
      <c r="GWJ66" s="122"/>
      <c r="GWK66" s="122"/>
      <c r="GWL66" s="122"/>
      <c r="GWM66" s="122"/>
      <c r="GWN66" s="122"/>
      <c r="GWO66" s="122"/>
      <c r="GWP66" s="122"/>
      <c r="GWQ66" s="122"/>
      <c r="GWR66" s="122"/>
      <c r="GWS66" s="122"/>
      <c r="GWT66" s="122"/>
      <c r="GWU66" s="122"/>
      <c r="GWV66" s="122"/>
      <c r="GWW66" s="122"/>
      <c r="GWX66" s="122"/>
      <c r="GWY66" s="122"/>
      <c r="GWZ66" s="122"/>
      <c r="GXA66" s="122"/>
      <c r="GXB66" s="122"/>
      <c r="GXC66" s="122"/>
      <c r="GXD66" s="122"/>
      <c r="GXE66" s="122"/>
      <c r="GXF66" s="122"/>
      <c r="GXG66" s="122"/>
      <c r="GXH66" s="122"/>
      <c r="GXI66" s="122"/>
      <c r="GXJ66" s="122"/>
      <c r="GXK66" s="122"/>
      <c r="GXL66" s="122"/>
      <c r="GXM66" s="122"/>
      <c r="GXN66" s="122"/>
      <c r="GXO66" s="122"/>
      <c r="GXP66" s="122"/>
      <c r="GXQ66" s="122"/>
      <c r="GXR66" s="122"/>
      <c r="GXS66" s="122"/>
      <c r="GXT66" s="122"/>
      <c r="GXU66" s="122"/>
      <c r="GXV66" s="122"/>
      <c r="GXW66" s="122"/>
      <c r="GXX66" s="122"/>
      <c r="GXY66" s="122"/>
      <c r="GXZ66" s="122"/>
      <c r="GYA66" s="122"/>
      <c r="GYB66" s="122"/>
      <c r="GYC66" s="122"/>
      <c r="GYD66" s="122"/>
      <c r="GYE66" s="122"/>
      <c r="GYF66" s="122"/>
      <c r="GYG66" s="122"/>
      <c r="GYH66" s="122"/>
      <c r="GYI66" s="122"/>
      <c r="GYJ66" s="122"/>
      <c r="GYK66" s="122"/>
      <c r="GYL66" s="122"/>
      <c r="GYM66" s="122"/>
      <c r="GYN66" s="122"/>
      <c r="GYO66" s="122"/>
      <c r="GYP66" s="122"/>
      <c r="GYQ66" s="122"/>
      <c r="GYR66" s="122"/>
      <c r="GYS66" s="122"/>
      <c r="GYT66" s="122"/>
      <c r="GYU66" s="122"/>
      <c r="GYV66" s="122"/>
      <c r="GYW66" s="122"/>
      <c r="GYX66" s="122"/>
      <c r="GYY66" s="122"/>
      <c r="GYZ66" s="122"/>
      <c r="GZA66" s="122"/>
      <c r="GZB66" s="122"/>
      <c r="GZC66" s="122"/>
      <c r="GZD66" s="122"/>
      <c r="GZE66" s="122"/>
      <c r="GZF66" s="122"/>
      <c r="GZG66" s="122"/>
      <c r="GZH66" s="122"/>
      <c r="GZI66" s="122"/>
      <c r="GZJ66" s="122"/>
      <c r="GZK66" s="122"/>
      <c r="GZL66" s="122"/>
      <c r="GZM66" s="122"/>
      <c r="GZN66" s="122"/>
      <c r="GZO66" s="122"/>
      <c r="GZP66" s="122"/>
      <c r="GZQ66" s="122"/>
      <c r="GZR66" s="122"/>
      <c r="GZS66" s="122"/>
      <c r="GZT66" s="122"/>
      <c r="GZU66" s="122"/>
      <c r="GZV66" s="122"/>
      <c r="GZW66" s="122"/>
      <c r="GZX66" s="122"/>
      <c r="GZY66" s="122"/>
      <c r="GZZ66" s="122"/>
      <c r="HAA66" s="122"/>
      <c r="HAB66" s="122"/>
      <c r="HAC66" s="122"/>
      <c r="HAD66" s="122"/>
      <c r="HAE66" s="122"/>
      <c r="HAF66" s="122"/>
      <c r="HAG66" s="122"/>
      <c r="HAH66" s="122"/>
      <c r="HAI66" s="122"/>
      <c r="HAJ66" s="122"/>
      <c r="HAK66" s="122"/>
      <c r="HAL66" s="122"/>
      <c r="HAM66" s="122"/>
      <c r="HAN66" s="122"/>
      <c r="HAO66" s="122"/>
      <c r="HAP66" s="122"/>
      <c r="HAQ66" s="122"/>
      <c r="HAR66" s="122"/>
      <c r="HAS66" s="122"/>
      <c r="HAT66" s="122"/>
      <c r="HAU66" s="122"/>
      <c r="HAV66" s="122"/>
      <c r="HAW66" s="122"/>
      <c r="HAX66" s="122"/>
      <c r="HAY66" s="122"/>
      <c r="HAZ66" s="122"/>
      <c r="HBA66" s="122"/>
      <c r="HBB66" s="122"/>
      <c r="HBC66" s="122"/>
      <c r="HBD66" s="122"/>
      <c r="HBE66" s="122"/>
      <c r="HBF66" s="122"/>
      <c r="HBG66" s="122"/>
      <c r="HBH66" s="122"/>
      <c r="HBI66" s="122"/>
      <c r="HBJ66" s="122"/>
      <c r="HBK66" s="122"/>
      <c r="HBL66" s="122"/>
      <c r="HBM66" s="122"/>
      <c r="HBN66" s="122"/>
      <c r="HBO66" s="122"/>
      <c r="HBP66" s="122"/>
      <c r="HBQ66" s="122"/>
      <c r="HBR66" s="122"/>
      <c r="HBS66" s="122"/>
      <c r="HBT66" s="122"/>
      <c r="HBU66" s="122"/>
      <c r="HBV66" s="122"/>
      <c r="HBW66" s="122"/>
      <c r="HBX66" s="122"/>
      <c r="HBY66" s="122"/>
      <c r="HBZ66" s="122"/>
      <c r="HCA66" s="122"/>
      <c r="HCB66" s="122"/>
      <c r="HCC66" s="122"/>
      <c r="HCD66" s="122"/>
      <c r="HCE66" s="122"/>
      <c r="HCF66" s="122"/>
      <c r="HCG66" s="122"/>
      <c r="HCH66" s="122"/>
      <c r="HCI66" s="122"/>
      <c r="HCJ66" s="122"/>
      <c r="HCK66" s="122"/>
      <c r="HCL66" s="122"/>
      <c r="HCM66" s="122"/>
      <c r="HCN66" s="122"/>
      <c r="HCO66" s="122"/>
      <c r="HCP66" s="122"/>
      <c r="HCQ66" s="122"/>
      <c r="HCR66" s="122"/>
      <c r="HCS66" s="122"/>
      <c r="HCT66" s="122"/>
      <c r="HCU66" s="122"/>
      <c r="HCV66" s="122"/>
      <c r="HCW66" s="122"/>
      <c r="HCX66" s="122"/>
      <c r="HCY66" s="122"/>
      <c r="HCZ66" s="122"/>
      <c r="HDA66" s="122"/>
      <c r="HDB66" s="122"/>
      <c r="HDC66" s="122"/>
      <c r="HDD66" s="122"/>
      <c r="HDE66" s="122"/>
      <c r="HDF66" s="122"/>
      <c r="HDG66" s="122"/>
      <c r="HDH66" s="122"/>
      <c r="HDI66" s="122"/>
      <c r="HDJ66" s="122"/>
      <c r="HDK66" s="122"/>
      <c r="HDL66" s="122"/>
      <c r="HDM66" s="122"/>
      <c r="HDN66" s="122"/>
      <c r="HDO66" s="122"/>
      <c r="HDP66" s="122"/>
      <c r="HDQ66" s="122"/>
      <c r="HDR66" s="122"/>
      <c r="HDS66" s="122"/>
      <c r="HDT66" s="122"/>
      <c r="HDU66" s="122"/>
      <c r="HDV66" s="122"/>
      <c r="HDW66" s="122"/>
      <c r="HDX66" s="122"/>
      <c r="HDY66" s="122"/>
      <c r="HDZ66" s="122"/>
      <c r="HEA66" s="122"/>
      <c r="HEB66" s="122"/>
      <c r="HEC66" s="122"/>
      <c r="HED66" s="122"/>
      <c r="HEE66" s="122"/>
      <c r="HEF66" s="122"/>
      <c r="HEG66" s="122"/>
      <c r="HEH66" s="122"/>
      <c r="HEI66" s="122"/>
      <c r="HEJ66" s="122"/>
      <c r="HEK66" s="122"/>
      <c r="HEL66" s="122"/>
      <c r="HEM66" s="122"/>
      <c r="HEN66" s="122"/>
      <c r="HEO66" s="122"/>
      <c r="HEP66" s="122"/>
      <c r="HEQ66" s="122"/>
      <c r="HER66" s="122"/>
      <c r="HES66" s="122"/>
      <c r="HET66" s="122"/>
      <c r="HEU66" s="122"/>
      <c r="HEV66" s="122"/>
      <c r="HEW66" s="122"/>
      <c r="HEX66" s="122"/>
      <c r="HEY66" s="122"/>
      <c r="HEZ66" s="122"/>
      <c r="HFA66" s="122"/>
      <c r="HFB66" s="122"/>
      <c r="HFC66" s="122"/>
      <c r="HFD66" s="122"/>
      <c r="HFE66" s="122"/>
      <c r="HFF66" s="122"/>
      <c r="HFG66" s="122"/>
      <c r="HFH66" s="122"/>
      <c r="HFI66" s="122"/>
      <c r="HFJ66" s="122"/>
      <c r="HFK66" s="122"/>
      <c r="HFL66" s="122"/>
      <c r="HFM66" s="122"/>
      <c r="HFN66" s="122"/>
      <c r="HFO66" s="122"/>
      <c r="HFP66" s="122"/>
      <c r="HFQ66" s="122"/>
      <c r="HFR66" s="122"/>
      <c r="HFS66" s="122"/>
      <c r="HFT66" s="122"/>
      <c r="HFU66" s="122"/>
      <c r="HFV66" s="122"/>
      <c r="HFW66" s="122"/>
      <c r="HFX66" s="122"/>
      <c r="HFY66" s="122"/>
      <c r="HFZ66" s="122"/>
      <c r="HGA66" s="122"/>
      <c r="HGB66" s="122"/>
      <c r="HGC66" s="122"/>
      <c r="HGD66" s="122"/>
      <c r="HGE66" s="122"/>
      <c r="HGF66" s="122"/>
      <c r="HGG66" s="122"/>
      <c r="HGH66" s="122"/>
      <c r="HGI66" s="122"/>
      <c r="HGJ66" s="122"/>
      <c r="HGK66" s="122"/>
      <c r="HGL66" s="122"/>
      <c r="HGM66" s="122"/>
      <c r="HGN66" s="122"/>
      <c r="HGO66" s="122"/>
      <c r="HGP66" s="122"/>
      <c r="HGQ66" s="122"/>
      <c r="HGR66" s="122"/>
      <c r="HGS66" s="122"/>
      <c r="HGT66" s="122"/>
      <c r="HGU66" s="122"/>
      <c r="HGV66" s="122"/>
      <c r="HGW66" s="122"/>
      <c r="HGX66" s="122"/>
      <c r="HGY66" s="122"/>
      <c r="HGZ66" s="122"/>
      <c r="HHA66" s="122"/>
      <c r="HHB66" s="122"/>
      <c r="HHC66" s="122"/>
      <c r="HHD66" s="122"/>
      <c r="HHE66" s="122"/>
      <c r="HHF66" s="122"/>
      <c r="HHG66" s="122"/>
      <c r="HHH66" s="122"/>
      <c r="HHI66" s="122"/>
      <c r="HHJ66" s="122"/>
      <c r="HHK66" s="122"/>
      <c r="HHL66" s="122"/>
      <c r="HHM66" s="122"/>
      <c r="HHN66" s="122"/>
      <c r="HHO66" s="122"/>
      <c r="HHP66" s="122"/>
      <c r="HHQ66" s="122"/>
      <c r="HHR66" s="122"/>
      <c r="HHS66" s="122"/>
      <c r="HHT66" s="122"/>
      <c r="HHU66" s="122"/>
      <c r="HHV66" s="122"/>
      <c r="HHW66" s="122"/>
      <c r="HHX66" s="122"/>
      <c r="HHY66" s="122"/>
      <c r="HHZ66" s="122"/>
      <c r="HIA66" s="122"/>
      <c r="HIB66" s="122"/>
      <c r="HIC66" s="122"/>
      <c r="HID66" s="122"/>
      <c r="HIE66" s="122"/>
      <c r="HIF66" s="122"/>
      <c r="HIG66" s="122"/>
      <c r="HIH66" s="122"/>
      <c r="HII66" s="122"/>
      <c r="HIJ66" s="122"/>
      <c r="HIK66" s="122"/>
      <c r="HIL66" s="122"/>
      <c r="HIM66" s="122"/>
      <c r="HIN66" s="122"/>
      <c r="HIO66" s="122"/>
      <c r="HIP66" s="122"/>
      <c r="HIQ66" s="122"/>
      <c r="HIR66" s="122"/>
      <c r="HIS66" s="122"/>
      <c r="HIT66" s="122"/>
      <c r="HIU66" s="122"/>
      <c r="HIV66" s="122"/>
      <c r="HIW66" s="122"/>
      <c r="HIX66" s="122"/>
      <c r="HIY66" s="122"/>
      <c r="HIZ66" s="122"/>
      <c r="HJA66" s="122"/>
      <c r="HJB66" s="122"/>
      <c r="HJC66" s="122"/>
      <c r="HJD66" s="122"/>
      <c r="HJE66" s="122"/>
      <c r="HJF66" s="122"/>
      <c r="HJG66" s="122"/>
      <c r="HJH66" s="122"/>
      <c r="HJI66" s="122"/>
      <c r="HJJ66" s="122"/>
      <c r="HJK66" s="122"/>
      <c r="HJL66" s="122"/>
      <c r="HJM66" s="122"/>
      <c r="HJN66" s="122"/>
      <c r="HJO66" s="122"/>
      <c r="HJP66" s="122"/>
      <c r="HJQ66" s="122"/>
      <c r="HJR66" s="122"/>
      <c r="HJS66" s="122"/>
      <c r="HJT66" s="122"/>
      <c r="HJU66" s="122"/>
      <c r="HJV66" s="122"/>
      <c r="HJW66" s="122"/>
      <c r="HJX66" s="122"/>
      <c r="HJY66" s="122"/>
      <c r="HJZ66" s="122"/>
      <c r="HKA66" s="122"/>
      <c r="HKB66" s="122"/>
      <c r="HKC66" s="122"/>
      <c r="HKD66" s="122"/>
      <c r="HKE66" s="122"/>
      <c r="HKF66" s="122"/>
      <c r="HKG66" s="122"/>
      <c r="HKH66" s="122"/>
      <c r="HKI66" s="122"/>
      <c r="HKJ66" s="122"/>
      <c r="HKK66" s="122"/>
      <c r="HKL66" s="122"/>
      <c r="HKM66" s="122"/>
      <c r="HKN66" s="122"/>
      <c r="HKO66" s="122"/>
      <c r="HKP66" s="122"/>
      <c r="HKQ66" s="122"/>
      <c r="HKR66" s="122"/>
      <c r="HKS66" s="122"/>
      <c r="HKT66" s="122"/>
      <c r="HKU66" s="122"/>
      <c r="HKV66" s="122"/>
      <c r="HKW66" s="122"/>
      <c r="HKX66" s="122"/>
      <c r="HKY66" s="122"/>
      <c r="HKZ66" s="122"/>
      <c r="HLA66" s="122"/>
      <c r="HLB66" s="122"/>
      <c r="HLC66" s="122"/>
      <c r="HLD66" s="122"/>
      <c r="HLE66" s="122"/>
      <c r="HLF66" s="122"/>
      <c r="HLG66" s="122"/>
      <c r="HLH66" s="122"/>
      <c r="HLI66" s="122"/>
      <c r="HLJ66" s="122"/>
      <c r="HLK66" s="122"/>
      <c r="HLL66" s="122"/>
      <c r="HLM66" s="122"/>
      <c r="HLN66" s="122"/>
      <c r="HLO66" s="122"/>
      <c r="HLP66" s="122"/>
      <c r="HLQ66" s="122"/>
      <c r="HLR66" s="122"/>
      <c r="HLS66" s="122"/>
      <c r="HLT66" s="122"/>
      <c r="HLU66" s="122"/>
      <c r="HLV66" s="122"/>
      <c r="HLW66" s="122"/>
      <c r="HLX66" s="122"/>
      <c r="HLY66" s="122"/>
      <c r="HLZ66" s="122"/>
      <c r="HMA66" s="122"/>
      <c r="HMB66" s="122"/>
      <c r="HMC66" s="122"/>
      <c r="HMD66" s="122"/>
      <c r="HME66" s="122"/>
      <c r="HMF66" s="122"/>
      <c r="HMG66" s="122"/>
      <c r="HMH66" s="122"/>
      <c r="HMI66" s="122"/>
      <c r="HMJ66" s="122"/>
      <c r="HMK66" s="122"/>
      <c r="HML66" s="122"/>
      <c r="HMM66" s="122"/>
      <c r="HMN66" s="122"/>
      <c r="HMO66" s="122"/>
      <c r="HMP66" s="122"/>
      <c r="HMQ66" s="122"/>
      <c r="HMR66" s="122"/>
      <c r="HMS66" s="122"/>
      <c r="HMT66" s="122"/>
      <c r="HMU66" s="122"/>
      <c r="HMV66" s="122"/>
      <c r="HMW66" s="122"/>
      <c r="HMX66" s="122"/>
      <c r="HMY66" s="122"/>
      <c r="HMZ66" s="122"/>
      <c r="HNA66" s="122"/>
      <c r="HNB66" s="122"/>
      <c r="HNC66" s="122"/>
      <c r="HND66" s="122"/>
      <c r="HNE66" s="122"/>
      <c r="HNF66" s="122"/>
      <c r="HNG66" s="122"/>
      <c r="HNH66" s="122"/>
      <c r="HNI66" s="122"/>
      <c r="HNJ66" s="122"/>
      <c r="HNK66" s="122"/>
      <c r="HNL66" s="122"/>
      <c r="HNM66" s="122"/>
      <c r="HNN66" s="122"/>
      <c r="HNO66" s="122"/>
      <c r="HNP66" s="122"/>
      <c r="HNQ66" s="122"/>
      <c r="HNR66" s="122"/>
      <c r="HNS66" s="122"/>
      <c r="HNT66" s="122"/>
      <c r="HNU66" s="122"/>
      <c r="HNV66" s="122"/>
      <c r="HNW66" s="122"/>
      <c r="HNX66" s="122"/>
      <c r="HNY66" s="122"/>
      <c r="HNZ66" s="122"/>
      <c r="HOA66" s="122"/>
      <c r="HOB66" s="122"/>
      <c r="HOC66" s="122"/>
      <c r="HOD66" s="122"/>
      <c r="HOE66" s="122"/>
      <c r="HOF66" s="122"/>
      <c r="HOG66" s="122"/>
      <c r="HOH66" s="122"/>
      <c r="HOI66" s="122"/>
      <c r="HOJ66" s="122"/>
      <c r="HOK66" s="122"/>
      <c r="HOL66" s="122"/>
      <c r="HOM66" s="122"/>
      <c r="HON66" s="122"/>
      <c r="HOO66" s="122"/>
      <c r="HOP66" s="122"/>
      <c r="HOQ66" s="122"/>
      <c r="HOR66" s="122"/>
      <c r="HOS66" s="122"/>
      <c r="HOT66" s="122"/>
      <c r="HOU66" s="122"/>
      <c r="HOV66" s="122"/>
      <c r="HOW66" s="122"/>
      <c r="HOX66" s="122"/>
      <c r="HOY66" s="122"/>
      <c r="HOZ66" s="122"/>
      <c r="HPA66" s="122"/>
      <c r="HPB66" s="122"/>
      <c r="HPC66" s="122"/>
      <c r="HPD66" s="122"/>
      <c r="HPE66" s="122"/>
      <c r="HPF66" s="122"/>
      <c r="HPG66" s="122"/>
      <c r="HPH66" s="122"/>
      <c r="HPI66" s="122"/>
      <c r="HPJ66" s="122"/>
      <c r="HPK66" s="122"/>
      <c r="HPL66" s="122"/>
      <c r="HPM66" s="122"/>
      <c r="HPN66" s="122"/>
      <c r="HPO66" s="122"/>
      <c r="HPP66" s="122"/>
      <c r="HPQ66" s="122"/>
      <c r="HPR66" s="122"/>
      <c r="HPS66" s="122"/>
      <c r="HPT66" s="122"/>
      <c r="HPU66" s="122"/>
      <c r="HPV66" s="122"/>
      <c r="HPW66" s="122"/>
      <c r="HPX66" s="122"/>
      <c r="HPY66" s="122"/>
      <c r="HPZ66" s="122"/>
      <c r="HQA66" s="122"/>
      <c r="HQB66" s="122"/>
      <c r="HQC66" s="122"/>
      <c r="HQD66" s="122"/>
      <c r="HQE66" s="122"/>
      <c r="HQF66" s="122"/>
      <c r="HQG66" s="122"/>
      <c r="HQH66" s="122"/>
      <c r="HQI66" s="122"/>
      <c r="HQJ66" s="122"/>
      <c r="HQK66" s="122"/>
      <c r="HQL66" s="122"/>
      <c r="HQM66" s="122"/>
      <c r="HQN66" s="122"/>
      <c r="HQO66" s="122"/>
      <c r="HQP66" s="122"/>
      <c r="HQQ66" s="122"/>
      <c r="HQR66" s="122"/>
      <c r="HQS66" s="122"/>
      <c r="HQT66" s="122"/>
      <c r="HQU66" s="122"/>
      <c r="HQV66" s="122"/>
      <c r="HQW66" s="122"/>
      <c r="HQX66" s="122"/>
      <c r="HQY66" s="122"/>
      <c r="HQZ66" s="122"/>
      <c r="HRA66" s="122"/>
      <c r="HRB66" s="122"/>
      <c r="HRC66" s="122"/>
      <c r="HRD66" s="122"/>
      <c r="HRE66" s="122"/>
      <c r="HRF66" s="122"/>
      <c r="HRG66" s="122"/>
      <c r="HRH66" s="122"/>
      <c r="HRI66" s="122"/>
      <c r="HRJ66" s="122"/>
      <c r="HRK66" s="122"/>
      <c r="HRL66" s="122"/>
      <c r="HRM66" s="122"/>
      <c r="HRN66" s="122"/>
      <c r="HRO66" s="122"/>
      <c r="HRP66" s="122"/>
      <c r="HRQ66" s="122"/>
      <c r="HRR66" s="122"/>
      <c r="HRS66" s="122"/>
      <c r="HRT66" s="122"/>
      <c r="HRU66" s="122"/>
      <c r="HRV66" s="122"/>
      <c r="HRW66" s="122"/>
      <c r="HRX66" s="122"/>
      <c r="HRY66" s="122"/>
      <c r="HRZ66" s="122"/>
      <c r="HSA66" s="122"/>
      <c r="HSB66" s="122"/>
      <c r="HSC66" s="122"/>
      <c r="HSD66" s="122"/>
      <c r="HSE66" s="122"/>
      <c r="HSF66" s="122"/>
      <c r="HSG66" s="122"/>
      <c r="HSH66" s="122"/>
      <c r="HSI66" s="122"/>
      <c r="HSJ66" s="122"/>
      <c r="HSK66" s="122"/>
      <c r="HSL66" s="122"/>
      <c r="HSM66" s="122"/>
      <c r="HSN66" s="122"/>
      <c r="HSO66" s="122"/>
      <c r="HSP66" s="122"/>
      <c r="HSQ66" s="122"/>
      <c r="HSR66" s="122"/>
      <c r="HSS66" s="122"/>
      <c r="HST66" s="122"/>
      <c r="HSU66" s="122"/>
      <c r="HSV66" s="122"/>
      <c r="HSW66" s="122"/>
      <c r="HSX66" s="122"/>
      <c r="HSY66" s="122"/>
      <c r="HSZ66" s="122"/>
      <c r="HTA66" s="122"/>
      <c r="HTB66" s="122"/>
      <c r="HTC66" s="122"/>
      <c r="HTD66" s="122"/>
      <c r="HTE66" s="122"/>
      <c r="HTF66" s="122"/>
      <c r="HTG66" s="122"/>
      <c r="HTH66" s="122"/>
      <c r="HTI66" s="122"/>
      <c r="HTJ66" s="122"/>
      <c r="HTK66" s="122"/>
      <c r="HTL66" s="122"/>
      <c r="HTM66" s="122"/>
      <c r="HTN66" s="122"/>
      <c r="HTO66" s="122"/>
      <c r="HTP66" s="122"/>
      <c r="HTQ66" s="122"/>
      <c r="HTR66" s="122"/>
      <c r="HTS66" s="122"/>
      <c r="HTT66" s="122"/>
      <c r="HTU66" s="122"/>
      <c r="HTV66" s="122"/>
      <c r="HTW66" s="122"/>
      <c r="HTX66" s="122"/>
      <c r="HTY66" s="122"/>
      <c r="HTZ66" s="122"/>
      <c r="HUA66" s="122"/>
      <c r="HUB66" s="122"/>
      <c r="HUC66" s="122"/>
      <c r="HUD66" s="122"/>
      <c r="HUE66" s="122"/>
      <c r="HUF66" s="122"/>
      <c r="HUG66" s="122"/>
      <c r="HUH66" s="122"/>
      <c r="HUI66" s="122"/>
      <c r="HUJ66" s="122"/>
      <c r="HUK66" s="122"/>
      <c r="HUL66" s="122"/>
      <c r="HUM66" s="122"/>
      <c r="HUN66" s="122"/>
      <c r="HUO66" s="122"/>
      <c r="HUP66" s="122"/>
      <c r="HUQ66" s="122"/>
      <c r="HUR66" s="122"/>
      <c r="HUS66" s="122"/>
      <c r="HUT66" s="122"/>
      <c r="HUU66" s="122"/>
      <c r="HUV66" s="122"/>
      <c r="HUW66" s="122"/>
      <c r="HUX66" s="122"/>
      <c r="HUY66" s="122"/>
      <c r="HUZ66" s="122"/>
      <c r="HVA66" s="122"/>
      <c r="HVB66" s="122"/>
      <c r="HVC66" s="122"/>
      <c r="HVD66" s="122"/>
      <c r="HVE66" s="122"/>
      <c r="HVF66" s="122"/>
      <c r="HVG66" s="122"/>
      <c r="HVH66" s="122"/>
      <c r="HVI66" s="122"/>
      <c r="HVJ66" s="122"/>
      <c r="HVK66" s="122"/>
      <c r="HVL66" s="122"/>
      <c r="HVM66" s="122"/>
      <c r="HVN66" s="122"/>
      <c r="HVO66" s="122"/>
      <c r="HVP66" s="122"/>
      <c r="HVQ66" s="122"/>
      <c r="HVR66" s="122"/>
      <c r="HVS66" s="122"/>
      <c r="HVT66" s="122"/>
      <c r="HVU66" s="122"/>
      <c r="HVV66" s="122"/>
      <c r="HVW66" s="122"/>
      <c r="HVX66" s="122"/>
      <c r="HVY66" s="122"/>
      <c r="HVZ66" s="122"/>
      <c r="HWA66" s="122"/>
      <c r="HWB66" s="122"/>
      <c r="HWC66" s="122"/>
      <c r="HWD66" s="122"/>
      <c r="HWE66" s="122"/>
      <c r="HWF66" s="122"/>
      <c r="HWG66" s="122"/>
      <c r="HWH66" s="122"/>
      <c r="HWI66" s="122"/>
      <c r="HWJ66" s="122"/>
      <c r="HWK66" s="122"/>
      <c r="HWL66" s="122"/>
      <c r="HWM66" s="122"/>
      <c r="HWN66" s="122"/>
      <c r="HWO66" s="122"/>
      <c r="HWP66" s="122"/>
      <c r="HWQ66" s="122"/>
      <c r="HWR66" s="122"/>
      <c r="HWS66" s="122"/>
      <c r="HWT66" s="122"/>
      <c r="HWU66" s="122"/>
      <c r="HWV66" s="122"/>
      <c r="HWW66" s="122"/>
      <c r="HWX66" s="122"/>
      <c r="HWY66" s="122"/>
      <c r="HWZ66" s="122"/>
      <c r="HXA66" s="122"/>
      <c r="HXB66" s="122"/>
      <c r="HXC66" s="122"/>
      <c r="HXD66" s="122"/>
      <c r="HXE66" s="122"/>
      <c r="HXF66" s="122"/>
      <c r="HXG66" s="122"/>
      <c r="HXH66" s="122"/>
      <c r="HXI66" s="122"/>
      <c r="HXJ66" s="122"/>
      <c r="HXK66" s="122"/>
      <c r="HXL66" s="122"/>
      <c r="HXM66" s="122"/>
      <c r="HXN66" s="122"/>
      <c r="HXO66" s="122"/>
      <c r="HXP66" s="122"/>
      <c r="HXQ66" s="122"/>
      <c r="HXR66" s="122"/>
      <c r="HXS66" s="122"/>
      <c r="HXT66" s="122"/>
      <c r="HXU66" s="122"/>
      <c r="HXV66" s="122"/>
      <c r="HXW66" s="122"/>
      <c r="HXX66" s="122"/>
      <c r="HXY66" s="122"/>
      <c r="HXZ66" s="122"/>
      <c r="HYA66" s="122"/>
      <c r="HYB66" s="122"/>
      <c r="HYC66" s="122"/>
      <c r="HYD66" s="122"/>
      <c r="HYE66" s="122"/>
      <c r="HYF66" s="122"/>
      <c r="HYG66" s="122"/>
      <c r="HYH66" s="122"/>
      <c r="HYI66" s="122"/>
      <c r="HYJ66" s="122"/>
      <c r="HYK66" s="122"/>
      <c r="HYL66" s="122"/>
      <c r="HYM66" s="122"/>
      <c r="HYN66" s="122"/>
      <c r="HYO66" s="122"/>
      <c r="HYP66" s="122"/>
      <c r="HYQ66" s="122"/>
      <c r="HYR66" s="122"/>
      <c r="HYS66" s="122"/>
      <c r="HYT66" s="122"/>
      <c r="HYU66" s="122"/>
      <c r="HYV66" s="122"/>
      <c r="HYW66" s="122"/>
      <c r="HYX66" s="122"/>
      <c r="HYY66" s="122"/>
      <c r="HYZ66" s="122"/>
      <c r="HZA66" s="122"/>
      <c r="HZB66" s="122"/>
      <c r="HZC66" s="122"/>
      <c r="HZD66" s="122"/>
      <c r="HZE66" s="122"/>
      <c r="HZF66" s="122"/>
      <c r="HZG66" s="122"/>
      <c r="HZH66" s="122"/>
      <c r="HZI66" s="122"/>
      <c r="HZJ66" s="122"/>
      <c r="HZK66" s="122"/>
      <c r="HZL66" s="122"/>
      <c r="HZM66" s="122"/>
      <c r="HZN66" s="122"/>
      <c r="HZO66" s="122"/>
      <c r="HZP66" s="122"/>
      <c r="HZQ66" s="122"/>
      <c r="HZR66" s="122"/>
      <c r="HZS66" s="122"/>
      <c r="HZT66" s="122"/>
      <c r="HZU66" s="122"/>
      <c r="HZV66" s="122"/>
      <c r="HZW66" s="122"/>
      <c r="HZX66" s="122"/>
      <c r="HZY66" s="122"/>
      <c r="HZZ66" s="122"/>
      <c r="IAA66" s="122"/>
      <c r="IAB66" s="122"/>
      <c r="IAC66" s="122"/>
      <c r="IAD66" s="122"/>
      <c r="IAE66" s="122"/>
      <c r="IAF66" s="122"/>
      <c r="IAG66" s="122"/>
      <c r="IAH66" s="122"/>
      <c r="IAI66" s="122"/>
      <c r="IAJ66" s="122"/>
      <c r="IAK66" s="122"/>
      <c r="IAL66" s="122"/>
      <c r="IAM66" s="122"/>
      <c r="IAN66" s="122"/>
      <c r="IAO66" s="122"/>
      <c r="IAP66" s="122"/>
      <c r="IAQ66" s="122"/>
      <c r="IAR66" s="122"/>
      <c r="IAS66" s="122"/>
      <c r="IAT66" s="122"/>
      <c r="IAU66" s="122"/>
      <c r="IAV66" s="122"/>
      <c r="IAW66" s="122"/>
      <c r="IAX66" s="122"/>
      <c r="IAY66" s="122"/>
      <c r="IAZ66" s="122"/>
      <c r="IBA66" s="122"/>
      <c r="IBB66" s="122"/>
      <c r="IBC66" s="122"/>
      <c r="IBD66" s="122"/>
      <c r="IBE66" s="122"/>
      <c r="IBF66" s="122"/>
      <c r="IBG66" s="122"/>
      <c r="IBH66" s="122"/>
      <c r="IBI66" s="122"/>
      <c r="IBJ66" s="122"/>
      <c r="IBK66" s="122"/>
      <c r="IBL66" s="122"/>
      <c r="IBM66" s="122"/>
      <c r="IBN66" s="122"/>
      <c r="IBO66" s="122"/>
      <c r="IBP66" s="122"/>
      <c r="IBQ66" s="122"/>
      <c r="IBR66" s="122"/>
      <c r="IBS66" s="122"/>
      <c r="IBT66" s="122"/>
      <c r="IBU66" s="122"/>
      <c r="IBV66" s="122"/>
      <c r="IBW66" s="122"/>
      <c r="IBX66" s="122"/>
      <c r="IBY66" s="122"/>
      <c r="IBZ66" s="122"/>
      <c r="ICA66" s="122"/>
      <c r="ICB66" s="122"/>
      <c r="ICC66" s="122"/>
      <c r="ICD66" s="122"/>
      <c r="ICE66" s="122"/>
      <c r="ICF66" s="122"/>
      <c r="ICG66" s="122"/>
      <c r="ICH66" s="122"/>
      <c r="ICI66" s="122"/>
      <c r="ICJ66" s="122"/>
      <c r="ICK66" s="122"/>
      <c r="ICL66" s="122"/>
      <c r="ICM66" s="122"/>
      <c r="ICN66" s="122"/>
      <c r="ICO66" s="122"/>
      <c r="ICP66" s="122"/>
      <c r="ICQ66" s="122"/>
      <c r="ICR66" s="122"/>
      <c r="ICS66" s="122"/>
      <c r="ICT66" s="122"/>
      <c r="ICU66" s="122"/>
      <c r="ICV66" s="122"/>
      <c r="ICW66" s="122"/>
      <c r="ICX66" s="122"/>
      <c r="ICY66" s="122"/>
      <c r="ICZ66" s="122"/>
      <c r="IDA66" s="122"/>
      <c r="IDB66" s="122"/>
      <c r="IDC66" s="122"/>
      <c r="IDD66" s="122"/>
      <c r="IDE66" s="122"/>
      <c r="IDF66" s="122"/>
      <c r="IDG66" s="122"/>
      <c r="IDH66" s="122"/>
      <c r="IDI66" s="122"/>
      <c r="IDJ66" s="122"/>
      <c r="IDK66" s="122"/>
      <c r="IDL66" s="122"/>
      <c r="IDM66" s="122"/>
      <c r="IDN66" s="122"/>
      <c r="IDO66" s="122"/>
      <c r="IDP66" s="122"/>
      <c r="IDQ66" s="122"/>
      <c r="IDR66" s="122"/>
      <c r="IDS66" s="122"/>
      <c r="IDT66" s="122"/>
      <c r="IDU66" s="122"/>
      <c r="IDV66" s="122"/>
      <c r="IDW66" s="122"/>
      <c r="IDX66" s="122"/>
      <c r="IDY66" s="122"/>
      <c r="IDZ66" s="122"/>
      <c r="IEA66" s="122"/>
      <c r="IEB66" s="122"/>
      <c r="IEC66" s="122"/>
      <c r="IED66" s="122"/>
      <c r="IEE66" s="122"/>
      <c r="IEF66" s="122"/>
      <c r="IEG66" s="122"/>
      <c r="IEH66" s="122"/>
      <c r="IEI66" s="122"/>
      <c r="IEJ66" s="122"/>
      <c r="IEK66" s="122"/>
      <c r="IEL66" s="122"/>
      <c r="IEM66" s="122"/>
      <c r="IEN66" s="122"/>
      <c r="IEO66" s="122"/>
      <c r="IEP66" s="122"/>
      <c r="IEQ66" s="122"/>
      <c r="IER66" s="122"/>
      <c r="IES66" s="122"/>
      <c r="IET66" s="122"/>
      <c r="IEU66" s="122"/>
      <c r="IEV66" s="122"/>
      <c r="IEW66" s="122"/>
      <c r="IEX66" s="122"/>
      <c r="IEY66" s="122"/>
      <c r="IEZ66" s="122"/>
      <c r="IFA66" s="122"/>
      <c r="IFB66" s="122"/>
      <c r="IFC66" s="122"/>
      <c r="IFD66" s="122"/>
      <c r="IFE66" s="122"/>
      <c r="IFF66" s="122"/>
      <c r="IFG66" s="122"/>
      <c r="IFH66" s="122"/>
      <c r="IFI66" s="122"/>
      <c r="IFJ66" s="122"/>
      <c r="IFK66" s="122"/>
      <c r="IFL66" s="122"/>
      <c r="IFM66" s="122"/>
      <c r="IFN66" s="122"/>
      <c r="IFO66" s="122"/>
      <c r="IFP66" s="122"/>
      <c r="IFQ66" s="122"/>
      <c r="IFR66" s="122"/>
      <c r="IFS66" s="122"/>
      <c r="IFT66" s="122"/>
      <c r="IFU66" s="122"/>
      <c r="IFV66" s="122"/>
      <c r="IFW66" s="122"/>
      <c r="IFX66" s="122"/>
      <c r="IFY66" s="122"/>
      <c r="IFZ66" s="122"/>
      <c r="IGA66" s="122"/>
      <c r="IGB66" s="122"/>
      <c r="IGC66" s="122"/>
      <c r="IGD66" s="122"/>
      <c r="IGE66" s="122"/>
      <c r="IGF66" s="122"/>
      <c r="IGG66" s="122"/>
      <c r="IGH66" s="122"/>
      <c r="IGI66" s="122"/>
      <c r="IGJ66" s="122"/>
      <c r="IGK66" s="122"/>
      <c r="IGL66" s="122"/>
      <c r="IGM66" s="122"/>
      <c r="IGN66" s="122"/>
      <c r="IGO66" s="122"/>
      <c r="IGP66" s="122"/>
      <c r="IGQ66" s="122"/>
      <c r="IGR66" s="122"/>
      <c r="IGS66" s="122"/>
      <c r="IGT66" s="122"/>
      <c r="IGU66" s="122"/>
      <c r="IGV66" s="122"/>
      <c r="IGW66" s="122"/>
      <c r="IGX66" s="122"/>
      <c r="IGY66" s="122"/>
      <c r="IGZ66" s="122"/>
      <c r="IHA66" s="122"/>
      <c r="IHB66" s="122"/>
      <c r="IHC66" s="122"/>
      <c r="IHD66" s="122"/>
      <c r="IHE66" s="122"/>
      <c r="IHF66" s="122"/>
      <c r="IHG66" s="122"/>
      <c r="IHH66" s="122"/>
      <c r="IHI66" s="122"/>
      <c r="IHJ66" s="122"/>
      <c r="IHK66" s="122"/>
      <c r="IHL66" s="122"/>
      <c r="IHM66" s="122"/>
      <c r="IHN66" s="122"/>
      <c r="IHO66" s="122"/>
      <c r="IHP66" s="122"/>
      <c r="IHQ66" s="122"/>
      <c r="IHR66" s="122"/>
      <c r="IHS66" s="122"/>
      <c r="IHT66" s="122"/>
      <c r="IHU66" s="122"/>
      <c r="IHV66" s="122"/>
      <c r="IHW66" s="122"/>
      <c r="IHX66" s="122"/>
      <c r="IHY66" s="122"/>
      <c r="IHZ66" s="122"/>
      <c r="IIA66" s="122"/>
      <c r="IIB66" s="122"/>
      <c r="IIC66" s="122"/>
      <c r="IID66" s="122"/>
      <c r="IIE66" s="122"/>
      <c r="IIF66" s="122"/>
      <c r="IIG66" s="122"/>
      <c r="IIH66" s="122"/>
      <c r="III66" s="122"/>
      <c r="IIJ66" s="122"/>
      <c r="IIK66" s="122"/>
      <c r="IIL66" s="122"/>
      <c r="IIM66" s="122"/>
      <c r="IIN66" s="122"/>
      <c r="IIO66" s="122"/>
      <c r="IIP66" s="122"/>
      <c r="IIQ66" s="122"/>
      <c r="IIR66" s="122"/>
      <c r="IIS66" s="122"/>
      <c r="IIT66" s="122"/>
      <c r="IIU66" s="122"/>
      <c r="IIV66" s="122"/>
      <c r="IIW66" s="122"/>
      <c r="IIX66" s="122"/>
      <c r="IIY66" s="122"/>
      <c r="IIZ66" s="122"/>
      <c r="IJA66" s="122"/>
      <c r="IJB66" s="122"/>
      <c r="IJC66" s="122"/>
      <c r="IJD66" s="122"/>
      <c r="IJE66" s="122"/>
      <c r="IJF66" s="122"/>
      <c r="IJG66" s="122"/>
      <c r="IJH66" s="122"/>
      <c r="IJI66" s="122"/>
      <c r="IJJ66" s="122"/>
      <c r="IJK66" s="122"/>
      <c r="IJL66" s="122"/>
      <c r="IJM66" s="122"/>
      <c r="IJN66" s="122"/>
      <c r="IJO66" s="122"/>
      <c r="IJP66" s="122"/>
      <c r="IJQ66" s="122"/>
      <c r="IJR66" s="122"/>
      <c r="IJS66" s="122"/>
      <c r="IJT66" s="122"/>
      <c r="IJU66" s="122"/>
      <c r="IJV66" s="122"/>
      <c r="IJW66" s="122"/>
      <c r="IJX66" s="122"/>
      <c r="IJY66" s="122"/>
      <c r="IJZ66" s="122"/>
      <c r="IKA66" s="122"/>
      <c r="IKB66" s="122"/>
      <c r="IKC66" s="122"/>
      <c r="IKD66" s="122"/>
      <c r="IKE66" s="122"/>
      <c r="IKF66" s="122"/>
      <c r="IKG66" s="122"/>
      <c r="IKH66" s="122"/>
      <c r="IKI66" s="122"/>
      <c r="IKJ66" s="122"/>
      <c r="IKK66" s="122"/>
      <c r="IKL66" s="122"/>
      <c r="IKM66" s="122"/>
      <c r="IKN66" s="122"/>
      <c r="IKO66" s="122"/>
      <c r="IKP66" s="122"/>
      <c r="IKQ66" s="122"/>
      <c r="IKR66" s="122"/>
      <c r="IKS66" s="122"/>
      <c r="IKT66" s="122"/>
      <c r="IKU66" s="122"/>
      <c r="IKV66" s="122"/>
      <c r="IKW66" s="122"/>
      <c r="IKX66" s="122"/>
      <c r="IKY66" s="122"/>
      <c r="IKZ66" s="122"/>
      <c r="ILA66" s="122"/>
      <c r="ILB66" s="122"/>
      <c r="ILC66" s="122"/>
      <c r="ILD66" s="122"/>
      <c r="ILE66" s="122"/>
      <c r="ILF66" s="122"/>
      <c r="ILG66" s="122"/>
      <c r="ILH66" s="122"/>
      <c r="ILI66" s="122"/>
      <c r="ILJ66" s="122"/>
      <c r="ILK66" s="122"/>
      <c r="ILL66" s="122"/>
      <c r="ILM66" s="122"/>
      <c r="ILN66" s="122"/>
      <c r="ILO66" s="122"/>
      <c r="ILP66" s="122"/>
      <c r="ILQ66" s="122"/>
      <c r="ILR66" s="122"/>
      <c r="ILS66" s="122"/>
      <c r="ILT66" s="122"/>
      <c r="ILU66" s="122"/>
      <c r="ILV66" s="122"/>
      <c r="ILW66" s="122"/>
      <c r="ILX66" s="122"/>
      <c r="ILY66" s="122"/>
      <c r="ILZ66" s="122"/>
      <c r="IMA66" s="122"/>
      <c r="IMB66" s="122"/>
      <c r="IMC66" s="122"/>
      <c r="IMD66" s="122"/>
      <c r="IME66" s="122"/>
      <c r="IMF66" s="122"/>
      <c r="IMG66" s="122"/>
      <c r="IMH66" s="122"/>
      <c r="IMI66" s="122"/>
      <c r="IMJ66" s="122"/>
      <c r="IMK66" s="122"/>
      <c r="IML66" s="122"/>
      <c r="IMM66" s="122"/>
      <c r="IMN66" s="122"/>
      <c r="IMO66" s="122"/>
      <c r="IMP66" s="122"/>
      <c r="IMQ66" s="122"/>
      <c r="IMR66" s="122"/>
      <c r="IMS66" s="122"/>
      <c r="IMT66" s="122"/>
      <c r="IMU66" s="122"/>
      <c r="IMV66" s="122"/>
      <c r="IMW66" s="122"/>
      <c r="IMX66" s="122"/>
      <c r="IMY66" s="122"/>
      <c r="IMZ66" s="122"/>
      <c r="INA66" s="122"/>
      <c r="INB66" s="122"/>
      <c r="INC66" s="122"/>
      <c r="IND66" s="122"/>
      <c r="INE66" s="122"/>
      <c r="INF66" s="122"/>
      <c r="ING66" s="122"/>
      <c r="INH66" s="122"/>
      <c r="INI66" s="122"/>
      <c r="INJ66" s="122"/>
      <c r="INK66" s="122"/>
      <c r="INL66" s="122"/>
      <c r="INM66" s="122"/>
      <c r="INN66" s="122"/>
      <c r="INO66" s="122"/>
      <c r="INP66" s="122"/>
      <c r="INQ66" s="122"/>
      <c r="INR66" s="122"/>
      <c r="INS66" s="122"/>
      <c r="INT66" s="122"/>
      <c r="INU66" s="122"/>
      <c r="INV66" s="122"/>
      <c r="INW66" s="122"/>
      <c r="INX66" s="122"/>
      <c r="INY66" s="122"/>
      <c r="INZ66" s="122"/>
      <c r="IOA66" s="122"/>
      <c r="IOB66" s="122"/>
      <c r="IOC66" s="122"/>
      <c r="IOD66" s="122"/>
      <c r="IOE66" s="122"/>
      <c r="IOF66" s="122"/>
      <c r="IOG66" s="122"/>
      <c r="IOH66" s="122"/>
      <c r="IOI66" s="122"/>
      <c r="IOJ66" s="122"/>
      <c r="IOK66" s="122"/>
      <c r="IOL66" s="122"/>
      <c r="IOM66" s="122"/>
      <c r="ION66" s="122"/>
      <c r="IOO66" s="122"/>
      <c r="IOP66" s="122"/>
      <c r="IOQ66" s="122"/>
      <c r="IOR66" s="122"/>
      <c r="IOS66" s="122"/>
      <c r="IOT66" s="122"/>
      <c r="IOU66" s="122"/>
      <c r="IOV66" s="122"/>
      <c r="IOW66" s="122"/>
      <c r="IOX66" s="122"/>
      <c r="IOY66" s="122"/>
      <c r="IOZ66" s="122"/>
      <c r="IPA66" s="122"/>
      <c r="IPB66" s="122"/>
      <c r="IPC66" s="122"/>
      <c r="IPD66" s="122"/>
      <c r="IPE66" s="122"/>
      <c r="IPF66" s="122"/>
      <c r="IPG66" s="122"/>
      <c r="IPH66" s="122"/>
      <c r="IPI66" s="122"/>
      <c r="IPJ66" s="122"/>
      <c r="IPK66" s="122"/>
      <c r="IPL66" s="122"/>
      <c r="IPM66" s="122"/>
      <c r="IPN66" s="122"/>
      <c r="IPO66" s="122"/>
      <c r="IPP66" s="122"/>
      <c r="IPQ66" s="122"/>
      <c r="IPR66" s="122"/>
      <c r="IPS66" s="122"/>
      <c r="IPT66" s="122"/>
      <c r="IPU66" s="122"/>
      <c r="IPV66" s="122"/>
      <c r="IPW66" s="122"/>
      <c r="IPX66" s="122"/>
      <c r="IPY66" s="122"/>
      <c r="IPZ66" s="122"/>
      <c r="IQA66" s="122"/>
      <c r="IQB66" s="122"/>
      <c r="IQC66" s="122"/>
      <c r="IQD66" s="122"/>
      <c r="IQE66" s="122"/>
      <c r="IQF66" s="122"/>
      <c r="IQG66" s="122"/>
      <c r="IQH66" s="122"/>
      <c r="IQI66" s="122"/>
      <c r="IQJ66" s="122"/>
      <c r="IQK66" s="122"/>
      <c r="IQL66" s="122"/>
      <c r="IQM66" s="122"/>
      <c r="IQN66" s="122"/>
      <c r="IQO66" s="122"/>
      <c r="IQP66" s="122"/>
      <c r="IQQ66" s="122"/>
      <c r="IQR66" s="122"/>
      <c r="IQS66" s="122"/>
      <c r="IQT66" s="122"/>
      <c r="IQU66" s="122"/>
      <c r="IQV66" s="122"/>
      <c r="IQW66" s="122"/>
      <c r="IQX66" s="122"/>
      <c r="IQY66" s="122"/>
      <c r="IQZ66" s="122"/>
      <c r="IRA66" s="122"/>
      <c r="IRB66" s="122"/>
      <c r="IRC66" s="122"/>
      <c r="IRD66" s="122"/>
      <c r="IRE66" s="122"/>
      <c r="IRF66" s="122"/>
      <c r="IRG66" s="122"/>
      <c r="IRH66" s="122"/>
      <c r="IRI66" s="122"/>
      <c r="IRJ66" s="122"/>
      <c r="IRK66" s="122"/>
      <c r="IRL66" s="122"/>
      <c r="IRM66" s="122"/>
      <c r="IRN66" s="122"/>
      <c r="IRO66" s="122"/>
      <c r="IRP66" s="122"/>
      <c r="IRQ66" s="122"/>
      <c r="IRR66" s="122"/>
      <c r="IRS66" s="122"/>
      <c r="IRT66" s="122"/>
      <c r="IRU66" s="122"/>
      <c r="IRV66" s="122"/>
      <c r="IRW66" s="122"/>
      <c r="IRX66" s="122"/>
      <c r="IRY66" s="122"/>
      <c r="IRZ66" s="122"/>
      <c r="ISA66" s="122"/>
      <c r="ISB66" s="122"/>
      <c r="ISC66" s="122"/>
      <c r="ISD66" s="122"/>
      <c r="ISE66" s="122"/>
      <c r="ISF66" s="122"/>
      <c r="ISG66" s="122"/>
      <c r="ISH66" s="122"/>
      <c r="ISI66" s="122"/>
      <c r="ISJ66" s="122"/>
      <c r="ISK66" s="122"/>
      <c r="ISL66" s="122"/>
      <c r="ISM66" s="122"/>
      <c r="ISN66" s="122"/>
      <c r="ISO66" s="122"/>
      <c r="ISP66" s="122"/>
      <c r="ISQ66" s="122"/>
      <c r="ISR66" s="122"/>
      <c r="ISS66" s="122"/>
      <c r="IST66" s="122"/>
      <c r="ISU66" s="122"/>
      <c r="ISV66" s="122"/>
      <c r="ISW66" s="122"/>
      <c r="ISX66" s="122"/>
      <c r="ISY66" s="122"/>
      <c r="ISZ66" s="122"/>
      <c r="ITA66" s="122"/>
      <c r="ITB66" s="122"/>
      <c r="ITC66" s="122"/>
      <c r="ITD66" s="122"/>
      <c r="ITE66" s="122"/>
      <c r="ITF66" s="122"/>
      <c r="ITG66" s="122"/>
      <c r="ITH66" s="122"/>
      <c r="ITI66" s="122"/>
      <c r="ITJ66" s="122"/>
      <c r="ITK66" s="122"/>
      <c r="ITL66" s="122"/>
      <c r="ITM66" s="122"/>
      <c r="ITN66" s="122"/>
      <c r="ITO66" s="122"/>
      <c r="ITP66" s="122"/>
      <c r="ITQ66" s="122"/>
      <c r="ITR66" s="122"/>
      <c r="ITS66" s="122"/>
      <c r="ITT66" s="122"/>
      <c r="ITU66" s="122"/>
      <c r="ITV66" s="122"/>
      <c r="ITW66" s="122"/>
      <c r="ITX66" s="122"/>
      <c r="ITY66" s="122"/>
      <c r="ITZ66" s="122"/>
      <c r="IUA66" s="122"/>
      <c r="IUB66" s="122"/>
      <c r="IUC66" s="122"/>
      <c r="IUD66" s="122"/>
      <c r="IUE66" s="122"/>
      <c r="IUF66" s="122"/>
      <c r="IUG66" s="122"/>
      <c r="IUH66" s="122"/>
      <c r="IUI66" s="122"/>
      <c r="IUJ66" s="122"/>
      <c r="IUK66" s="122"/>
      <c r="IUL66" s="122"/>
      <c r="IUM66" s="122"/>
      <c r="IUN66" s="122"/>
      <c r="IUO66" s="122"/>
      <c r="IUP66" s="122"/>
      <c r="IUQ66" s="122"/>
      <c r="IUR66" s="122"/>
      <c r="IUS66" s="122"/>
      <c r="IUT66" s="122"/>
      <c r="IUU66" s="122"/>
      <c r="IUV66" s="122"/>
      <c r="IUW66" s="122"/>
      <c r="IUX66" s="122"/>
      <c r="IUY66" s="122"/>
      <c r="IUZ66" s="122"/>
      <c r="IVA66" s="122"/>
      <c r="IVB66" s="122"/>
      <c r="IVC66" s="122"/>
      <c r="IVD66" s="122"/>
      <c r="IVE66" s="122"/>
      <c r="IVF66" s="122"/>
      <c r="IVG66" s="122"/>
      <c r="IVH66" s="122"/>
      <c r="IVI66" s="122"/>
      <c r="IVJ66" s="122"/>
      <c r="IVK66" s="122"/>
      <c r="IVL66" s="122"/>
      <c r="IVM66" s="122"/>
      <c r="IVN66" s="122"/>
      <c r="IVO66" s="122"/>
      <c r="IVP66" s="122"/>
      <c r="IVQ66" s="122"/>
      <c r="IVR66" s="122"/>
      <c r="IVS66" s="122"/>
      <c r="IVT66" s="122"/>
      <c r="IVU66" s="122"/>
      <c r="IVV66" s="122"/>
      <c r="IVW66" s="122"/>
      <c r="IVX66" s="122"/>
      <c r="IVY66" s="122"/>
      <c r="IVZ66" s="122"/>
      <c r="IWA66" s="122"/>
      <c r="IWB66" s="122"/>
      <c r="IWC66" s="122"/>
      <c r="IWD66" s="122"/>
      <c r="IWE66" s="122"/>
      <c r="IWF66" s="122"/>
      <c r="IWG66" s="122"/>
      <c r="IWH66" s="122"/>
      <c r="IWI66" s="122"/>
      <c r="IWJ66" s="122"/>
      <c r="IWK66" s="122"/>
      <c r="IWL66" s="122"/>
      <c r="IWM66" s="122"/>
      <c r="IWN66" s="122"/>
      <c r="IWO66" s="122"/>
      <c r="IWP66" s="122"/>
      <c r="IWQ66" s="122"/>
      <c r="IWR66" s="122"/>
      <c r="IWS66" s="122"/>
      <c r="IWT66" s="122"/>
      <c r="IWU66" s="122"/>
      <c r="IWV66" s="122"/>
      <c r="IWW66" s="122"/>
      <c r="IWX66" s="122"/>
      <c r="IWY66" s="122"/>
      <c r="IWZ66" s="122"/>
      <c r="IXA66" s="122"/>
      <c r="IXB66" s="122"/>
      <c r="IXC66" s="122"/>
      <c r="IXD66" s="122"/>
      <c r="IXE66" s="122"/>
      <c r="IXF66" s="122"/>
      <c r="IXG66" s="122"/>
      <c r="IXH66" s="122"/>
      <c r="IXI66" s="122"/>
      <c r="IXJ66" s="122"/>
      <c r="IXK66" s="122"/>
      <c r="IXL66" s="122"/>
      <c r="IXM66" s="122"/>
      <c r="IXN66" s="122"/>
      <c r="IXO66" s="122"/>
      <c r="IXP66" s="122"/>
      <c r="IXQ66" s="122"/>
      <c r="IXR66" s="122"/>
      <c r="IXS66" s="122"/>
      <c r="IXT66" s="122"/>
      <c r="IXU66" s="122"/>
      <c r="IXV66" s="122"/>
      <c r="IXW66" s="122"/>
      <c r="IXX66" s="122"/>
      <c r="IXY66" s="122"/>
      <c r="IXZ66" s="122"/>
      <c r="IYA66" s="122"/>
      <c r="IYB66" s="122"/>
      <c r="IYC66" s="122"/>
      <c r="IYD66" s="122"/>
      <c r="IYE66" s="122"/>
      <c r="IYF66" s="122"/>
      <c r="IYG66" s="122"/>
      <c r="IYH66" s="122"/>
      <c r="IYI66" s="122"/>
      <c r="IYJ66" s="122"/>
      <c r="IYK66" s="122"/>
      <c r="IYL66" s="122"/>
      <c r="IYM66" s="122"/>
      <c r="IYN66" s="122"/>
      <c r="IYO66" s="122"/>
      <c r="IYP66" s="122"/>
      <c r="IYQ66" s="122"/>
      <c r="IYR66" s="122"/>
      <c r="IYS66" s="122"/>
      <c r="IYT66" s="122"/>
      <c r="IYU66" s="122"/>
      <c r="IYV66" s="122"/>
      <c r="IYW66" s="122"/>
      <c r="IYX66" s="122"/>
      <c r="IYY66" s="122"/>
      <c r="IYZ66" s="122"/>
      <c r="IZA66" s="122"/>
      <c r="IZB66" s="122"/>
      <c r="IZC66" s="122"/>
      <c r="IZD66" s="122"/>
      <c r="IZE66" s="122"/>
      <c r="IZF66" s="122"/>
      <c r="IZG66" s="122"/>
      <c r="IZH66" s="122"/>
      <c r="IZI66" s="122"/>
      <c r="IZJ66" s="122"/>
      <c r="IZK66" s="122"/>
      <c r="IZL66" s="122"/>
      <c r="IZM66" s="122"/>
      <c r="IZN66" s="122"/>
      <c r="IZO66" s="122"/>
      <c r="IZP66" s="122"/>
      <c r="IZQ66" s="122"/>
      <c r="IZR66" s="122"/>
      <c r="IZS66" s="122"/>
      <c r="IZT66" s="122"/>
      <c r="IZU66" s="122"/>
      <c r="IZV66" s="122"/>
      <c r="IZW66" s="122"/>
      <c r="IZX66" s="122"/>
      <c r="IZY66" s="122"/>
      <c r="IZZ66" s="122"/>
      <c r="JAA66" s="122"/>
      <c r="JAB66" s="122"/>
      <c r="JAC66" s="122"/>
      <c r="JAD66" s="122"/>
      <c r="JAE66" s="122"/>
      <c r="JAF66" s="122"/>
      <c r="JAG66" s="122"/>
      <c r="JAH66" s="122"/>
      <c r="JAI66" s="122"/>
      <c r="JAJ66" s="122"/>
      <c r="JAK66" s="122"/>
      <c r="JAL66" s="122"/>
      <c r="JAM66" s="122"/>
      <c r="JAN66" s="122"/>
      <c r="JAO66" s="122"/>
      <c r="JAP66" s="122"/>
      <c r="JAQ66" s="122"/>
      <c r="JAR66" s="122"/>
      <c r="JAS66" s="122"/>
      <c r="JAT66" s="122"/>
      <c r="JAU66" s="122"/>
      <c r="JAV66" s="122"/>
      <c r="JAW66" s="122"/>
      <c r="JAX66" s="122"/>
      <c r="JAY66" s="122"/>
      <c r="JAZ66" s="122"/>
      <c r="JBA66" s="122"/>
      <c r="JBB66" s="122"/>
      <c r="JBC66" s="122"/>
      <c r="JBD66" s="122"/>
      <c r="JBE66" s="122"/>
      <c r="JBF66" s="122"/>
      <c r="JBG66" s="122"/>
      <c r="JBH66" s="122"/>
      <c r="JBI66" s="122"/>
      <c r="JBJ66" s="122"/>
      <c r="JBK66" s="122"/>
      <c r="JBL66" s="122"/>
      <c r="JBM66" s="122"/>
      <c r="JBN66" s="122"/>
      <c r="JBO66" s="122"/>
      <c r="JBP66" s="122"/>
      <c r="JBQ66" s="122"/>
      <c r="JBR66" s="122"/>
      <c r="JBS66" s="122"/>
      <c r="JBT66" s="122"/>
      <c r="JBU66" s="122"/>
      <c r="JBV66" s="122"/>
      <c r="JBW66" s="122"/>
      <c r="JBX66" s="122"/>
      <c r="JBY66" s="122"/>
      <c r="JBZ66" s="122"/>
      <c r="JCA66" s="122"/>
      <c r="JCB66" s="122"/>
      <c r="JCC66" s="122"/>
      <c r="JCD66" s="122"/>
      <c r="JCE66" s="122"/>
      <c r="JCF66" s="122"/>
      <c r="JCG66" s="122"/>
      <c r="JCH66" s="122"/>
      <c r="JCI66" s="122"/>
      <c r="JCJ66" s="122"/>
      <c r="JCK66" s="122"/>
      <c r="JCL66" s="122"/>
      <c r="JCM66" s="122"/>
      <c r="JCN66" s="122"/>
      <c r="JCO66" s="122"/>
      <c r="JCP66" s="122"/>
      <c r="JCQ66" s="122"/>
      <c r="JCR66" s="122"/>
      <c r="JCS66" s="122"/>
      <c r="JCT66" s="122"/>
      <c r="JCU66" s="122"/>
      <c r="JCV66" s="122"/>
      <c r="JCW66" s="122"/>
      <c r="JCX66" s="122"/>
      <c r="JCY66" s="122"/>
      <c r="JCZ66" s="122"/>
      <c r="JDA66" s="122"/>
      <c r="JDB66" s="122"/>
      <c r="JDC66" s="122"/>
      <c r="JDD66" s="122"/>
      <c r="JDE66" s="122"/>
      <c r="JDF66" s="122"/>
      <c r="JDG66" s="122"/>
      <c r="JDH66" s="122"/>
      <c r="JDI66" s="122"/>
      <c r="JDJ66" s="122"/>
      <c r="JDK66" s="122"/>
      <c r="JDL66" s="122"/>
      <c r="JDM66" s="122"/>
      <c r="JDN66" s="122"/>
      <c r="JDO66" s="122"/>
      <c r="JDP66" s="122"/>
      <c r="JDQ66" s="122"/>
      <c r="JDR66" s="122"/>
      <c r="JDS66" s="122"/>
      <c r="JDT66" s="122"/>
      <c r="JDU66" s="122"/>
      <c r="JDV66" s="122"/>
      <c r="JDW66" s="122"/>
      <c r="JDX66" s="122"/>
      <c r="JDY66" s="122"/>
      <c r="JDZ66" s="122"/>
      <c r="JEA66" s="122"/>
      <c r="JEB66" s="122"/>
      <c r="JEC66" s="122"/>
      <c r="JED66" s="122"/>
      <c r="JEE66" s="122"/>
      <c r="JEF66" s="122"/>
      <c r="JEG66" s="122"/>
      <c r="JEH66" s="122"/>
      <c r="JEI66" s="122"/>
      <c r="JEJ66" s="122"/>
      <c r="JEK66" s="122"/>
      <c r="JEL66" s="122"/>
      <c r="JEM66" s="122"/>
      <c r="JEN66" s="122"/>
      <c r="JEO66" s="122"/>
      <c r="JEP66" s="122"/>
      <c r="JEQ66" s="122"/>
      <c r="JER66" s="122"/>
      <c r="JES66" s="122"/>
      <c r="JET66" s="122"/>
      <c r="JEU66" s="122"/>
      <c r="JEV66" s="122"/>
      <c r="JEW66" s="122"/>
      <c r="JEX66" s="122"/>
      <c r="JEY66" s="122"/>
      <c r="JEZ66" s="122"/>
      <c r="JFA66" s="122"/>
      <c r="JFB66" s="122"/>
      <c r="JFC66" s="122"/>
      <c r="JFD66" s="122"/>
      <c r="JFE66" s="122"/>
      <c r="JFF66" s="122"/>
      <c r="JFG66" s="122"/>
      <c r="JFH66" s="122"/>
      <c r="JFI66" s="122"/>
      <c r="JFJ66" s="122"/>
      <c r="JFK66" s="122"/>
      <c r="JFL66" s="122"/>
      <c r="JFM66" s="122"/>
      <c r="JFN66" s="122"/>
      <c r="JFO66" s="122"/>
      <c r="JFP66" s="122"/>
      <c r="JFQ66" s="122"/>
      <c r="JFR66" s="122"/>
      <c r="JFS66" s="122"/>
      <c r="JFT66" s="122"/>
      <c r="JFU66" s="122"/>
      <c r="JFV66" s="122"/>
      <c r="JFW66" s="122"/>
      <c r="JFX66" s="122"/>
      <c r="JFY66" s="122"/>
      <c r="JFZ66" s="122"/>
      <c r="JGA66" s="122"/>
      <c r="JGB66" s="122"/>
      <c r="JGC66" s="122"/>
      <c r="JGD66" s="122"/>
      <c r="JGE66" s="122"/>
      <c r="JGF66" s="122"/>
      <c r="JGG66" s="122"/>
      <c r="JGH66" s="122"/>
      <c r="JGI66" s="122"/>
      <c r="JGJ66" s="122"/>
      <c r="JGK66" s="122"/>
      <c r="JGL66" s="122"/>
      <c r="JGM66" s="122"/>
      <c r="JGN66" s="122"/>
      <c r="JGO66" s="122"/>
      <c r="JGP66" s="122"/>
      <c r="JGQ66" s="122"/>
      <c r="JGR66" s="122"/>
      <c r="JGS66" s="122"/>
      <c r="JGT66" s="122"/>
      <c r="JGU66" s="122"/>
      <c r="JGV66" s="122"/>
      <c r="JGW66" s="122"/>
      <c r="JGX66" s="122"/>
      <c r="JGY66" s="122"/>
      <c r="JGZ66" s="122"/>
      <c r="JHA66" s="122"/>
      <c r="JHB66" s="122"/>
      <c r="JHC66" s="122"/>
      <c r="JHD66" s="122"/>
      <c r="JHE66" s="122"/>
      <c r="JHF66" s="122"/>
      <c r="JHG66" s="122"/>
      <c r="JHH66" s="122"/>
      <c r="JHI66" s="122"/>
      <c r="JHJ66" s="122"/>
      <c r="JHK66" s="122"/>
      <c r="JHL66" s="122"/>
      <c r="JHM66" s="122"/>
      <c r="JHN66" s="122"/>
      <c r="JHO66" s="122"/>
      <c r="JHP66" s="122"/>
      <c r="JHQ66" s="122"/>
      <c r="JHR66" s="122"/>
      <c r="JHS66" s="122"/>
      <c r="JHT66" s="122"/>
      <c r="JHU66" s="122"/>
      <c r="JHV66" s="122"/>
      <c r="JHW66" s="122"/>
      <c r="JHX66" s="122"/>
      <c r="JHY66" s="122"/>
      <c r="JHZ66" s="122"/>
      <c r="JIA66" s="122"/>
      <c r="JIB66" s="122"/>
      <c r="JIC66" s="122"/>
      <c r="JID66" s="122"/>
      <c r="JIE66" s="122"/>
      <c r="JIF66" s="122"/>
      <c r="JIG66" s="122"/>
      <c r="JIH66" s="122"/>
      <c r="JII66" s="122"/>
      <c r="JIJ66" s="122"/>
      <c r="JIK66" s="122"/>
      <c r="JIL66" s="122"/>
      <c r="JIM66" s="122"/>
      <c r="JIN66" s="122"/>
      <c r="JIO66" s="122"/>
      <c r="JIP66" s="122"/>
      <c r="JIQ66" s="122"/>
      <c r="JIR66" s="122"/>
      <c r="JIS66" s="122"/>
      <c r="JIT66" s="122"/>
      <c r="JIU66" s="122"/>
      <c r="JIV66" s="122"/>
      <c r="JIW66" s="122"/>
      <c r="JIX66" s="122"/>
      <c r="JIY66" s="122"/>
      <c r="JIZ66" s="122"/>
      <c r="JJA66" s="122"/>
      <c r="JJB66" s="122"/>
      <c r="JJC66" s="122"/>
      <c r="JJD66" s="122"/>
      <c r="JJE66" s="122"/>
      <c r="JJF66" s="122"/>
      <c r="JJG66" s="122"/>
      <c r="JJH66" s="122"/>
      <c r="JJI66" s="122"/>
      <c r="JJJ66" s="122"/>
      <c r="JJK66" s="122"/>
      <c r="JJL66" s="122"/>
      <c r="JJM66" s="122"/>
      <c r="JJN66" s="122"/>
      <c r="JJO66" s="122"/>
      <c r="JJP66" s="122"/>
      <c r="JJQ66" s="122"/>
      <c r="JJR66" s="122"/>
      <c r="JJS66" s="122"/>
      <c r="JJT66" s="122"/>
      <c r="JJU66" s="122"/>
      <c r="JJV66" s="122"/>
      <c r="JJW66" s="122"/>
      <c r="JJX66" s="122"/>
      <c r="JJY66" s="122"/>
      <c r="JJZ66" s="122"/>
      <c r="JKA66" s="122"/>
      <c r="JKB66" s="122"/>
      <c r="JKC66" s="122"/>
      <c r="JKD66" s="122"/>
      <c r="JKE66" s="122"/>
      <c r="JKF66" s="122"/>
      <c r="JKG66" s="122"/>
      <c r="JKH66" s="122"/>
      <c r="JKI66" s="122"/>
      <c r="JKJ66" s="122"/>
      <c r="JKK66" s="122"/>
      <c r="JKL66" s="122"/>
      <c r="JKM66" s="122"/>
      <c r="JKN66" s="122"/>
      <c r="JKO66" s="122"/>
      <c r="JKP66" s="122"/>
      <c r="JKQ66" s="122"/>
      <c r="JKR66" s="122"/>
      <c r="JKS66" s="122"/>
      <c r="JKT66" s="122"/>
      <c r="JKU66" s="122"/>
      <c r="JKV66" s="122"/>
      <c r="JKW66" s="122"/>
      <c r="JKX66" s="122"/>
      <c r="JKY66" s="122"/>
      <c r="JKZ66" s="122"/>
      <c r="JLA66" s="122"/>
      <c r="JLB66" s="122"/>
      <c r="JLC66" s="122"/>
      <c r="JLD66" s="122"/>
      <c r="JLE66" s="122"/>
      <c r="JLF66" s="122"/>
      <c r="JLG66" s="122"/>
      <c r="JLH66" s="122"/>
      <c r="JLI66" s="122"/>
      <c r="JLJ66" s="122"/>
      <c r="JLK66" s="122"/>
      <c r="JLL66" s="122"/>
      <c r="JLM66" s="122"/>
      <c r="JLN66" s="122"/>
      <c r="JLO66" s="122"/>
      <c r="JLP66" s="122"/>
      <c r="JLQ66" s="122"/>
      <c r="JLR66" s="122"/>
      <c r="JLS66" s="122"/>
      <c r="JLT66" s="122"/>
      <c r="JLU66" s="122"/>
      <c r="JLV66" s="122"/>
      <c r="JLW66" s="122"/>
      <c r="JLX66" s="122"/>
      <c r="JLY66" s="122"/>
      <c r="JLZ66" s="122"/>
      <c r="JMA66" s="122"/>
      <c r="JMB66" s="122"/>
      <c r="JMC66" s="122"/>
      <c r="JMD66" s="122"/>
      <c r="JME66" s="122"/>
      <c r="JMF66" s="122"/>
      <c r="JMG66" s="122"/>
      <c r="JMH66" s="122"/>
      <c r="JMI66" s="122"/>
      <c r="JMJ66" s="122"/>
      <c r="JMK66" s="122"/>
      <c r="JML66" s="122"/>
      <c r="JMM66" s="122"/>
      <c r="JMN66" s="122"/>
      <c r="JMO66" s="122"/>
      <c r="JMP66" s="122"/>
      <c r="JMQ66" s="122"/>
      <c r="JMR66" s="122"/>
      <c r="JMS66" s="122"/>
      <c r="JMT66" s="122"/>
      <c r="JMU66" s="122"/>
      <c r="JMV66" s="122"/>
      <c r="JMW66" s="122"/>
      <c r="JMX66" s="122"/>
      <c r="JMY66" s="122"/>
      <c r="JMZ66" s="122"/>
      <c r="JNA66" s="122"/>
      <c r="JNB66" s="122"/>
      <c r="JNC66" s="122"/>
      <c r="JND66" s="122"/>
      <c r="JNE66" s="122"/>
      <c r="JNF66" s="122"/>
      <c r="JNG66" s="122"/>
      <c r="JNH66" s="122"/>
      <c r="JNI66" s="122"/>
      <c r="JNJ66" s="122"/>
      <c r="JNK66" s="122"/>
      <c r="JNL66" s="122"/>
      <c r="JNM66" s="122"/>
      <c r="JNN66" s="122"/>
      <c r="JNO66" s="122"/>
      <c r="JNP66" s="122"/>
      <c r="JNQ66" s="122"/>
      <c r="JNR66" s="122"/>
      <c r="JNS66" s="122"/>
      <c r="JNT66" s="122"/>
      <c r="JNU66" s="122"/>
      <c r="JNV66" s="122"/>
      <c r="JNW66" s="122"/>
      <c r="JNX66" s="122"/>
      <c r="JNY66" s="122"/>
      <c r="JNZ66" s="122"/>
      <c r="JOA66" s="122"/>
      <c r="JOB66" s="122"/>
      <c r="JOC66" s="122"/>
      <c r="JOD66" s="122"/>
      <c r="JOE66" s="122"/>
      <c r="JOF66" s="122"/>
      <c r="JOG66" s="122"/>
      <c r="JOH66" s="122"/>
      <c r="JOI66" s="122"/>
      <c r="JOJ66" s="122"/>
      <c r="JOK66" s="122"/>
      <c r="JOL66" s="122"/>
      <c r="JOM66" s="122"/>
      <c r="JON66" s="122"/>
      <c r="JOO66" s="122"/>
      <c r="JOP66" s="122"/>
      <c r="JOQ66" s="122"/>
      <c r="JOR66" s="122"/>
      <c r="JOS66" s="122"/>
      <c r="JOT66" s="122"/>
      <c r="JOU66" s="122"/>
      <c r="JOV66" s="122"/>
      <c r="JOW66" s="122"/>
      <c r="JOX66" s="122"/>
      <c r="JOY66" s="122"/>
      <c r="JOZ66" s="122"/>
      <c r="JPA66" s="122"/>
      <c r="JPB66" s="122"/>
      <c r="JPC66" s="122"/>
      <c r="JPD66" s="122"/>
      <c r="JPE66" s="122"/>
      <c r="JPF66" s="122"/>
      <c r="JPG66" s="122"/>
      <c r="JPH66" s="122"/>
      <c r="JPI66" s="122"/>
      <c r="JPJ66" s="122"/>
      <c r="JPK66" s="122"/>
      <c r="JPL66" s="122"/>
      <c r="JPM66" s="122"/>
      <c r="JPN66" s="122"/>
      <c r="JPO66" s="122"/>
      <c r="JPP66" s="122"/>
      <c r="JPQ66" s="122"/>
      <c r="JPR66" s="122"/>
      <c r="JPS66" s="122"/>
      <c r="JPT66" s="122"/>
      <c r="JPU66" s="122"/>
      <c r="JPV66" s="122"/>
      <c r="JPW66" s="122"/>
      <c r="JPX66" s="122"/>
      <c r="JPY66" s="122"/>
      <c r="JPZ66" s="122"/>
      <c r="JQA66" s="122"/>
      <c r="JQB66" s="122"/>
      <c r="JQC66" s="122"/>
      <c r="JQD66" s="122"/>
      <c r="JQE66" s="122"/>
      <c r="JQF66" s="122"/>
      <c r="JQG66" s="122"/>
      <c r="JQH66" s="122"/>
      <c r="JQI66" s="122"/>
      <c r="JQJ66" s="122"/>
      <c r="JQK66" s="122"/>
      <c r="JQL66" s="122"/>
      <c r="JQM66" s="122"/>
      <c r="JQN66" s="122"/>
      <c r="JQO66" s="122"/>
      <c r="JQP66" s="122"/>
      <c r="JQQ66" s="122"/>
      <c r="JQR66" s="122"/>
      <c r="JQS66" s="122"/>
      <c r="JQT66" s="122"/>
      <c r="JQU66" s="122"/>
      <c r="JQV66" s="122"/>
      <c r="JQW66" s="122"/>
      <c r="JQX66" s="122"/>
      <c r="JQY66" s="122"/>
      <c r="JQZ66" s="122"/>
      <c r="JRA66" s="122"/>
      <c r="JRB66" s="122"/>
      <c r="JRC66" s="122"/>
      <c r="JRD66" s="122"/>
      <c r="JRE66" s="122"/>
      <c r="JRF66" s="122"/>
      <c r="JRG66" s="122"/>
      <c r="JRH66" s="122"/>
      <c r="JRI66" s="122"/>
      <c r="JRJ66" s="122"/>
      <c r="JRK66" s="122"/>
      <c r="JRL66" s="122"/>
      <c r="JRM66" s="122"/>
      <c r="JRN66" s="122"/>
      <c r="JRO66" s="122"/>
      <c r="JRP66" s="122"/>
      <c r="JRQ66" s="122"/>
      <c r="JRR66" s="122"/>
      <c r="JRS66" s="122"/>
      <c r="JRT66" s="122"/>
      <c r="JRU66" s="122"/>
      <c r="JRV66" s="122"/>
      <c r="JRW66" s="122"/>
      <c r="JRX66" s="122"/>
      <c r="JRY66" s="122"/>
      <c r="JRZ66" s="122"/>
      <c r="JSA66" s="122"/>
      <c r="JSB66" s="122"/>
      <c r="JSC66" s="122"/>
      <c r="JSD66" s="122"/>
      <c r="JSE66" s="122"/>
      <c r="JSF66" s="122"/>
      <c r="JSG66" s="122"/>
      <c r="JSH66" s="122"/>
      <c r="JSI66" s="122"/>
      <c r="JSJ66" s="122"/>
      <c r="JSK66" s="122"/>
      <c r="JSL66" s="122"/>
      <c r="JSM66" s="122"/>
      <c r="JSN66" s="122"/>
      <c r="JSO66" s="122"/>
      <c r="JSP66" s="122"/>
      <c r="JSQ66" s="122"/>
      <c r="JSR66" s="122"/>
      <c r="JSS66" s="122"/>
      <c r="JST66" s="122"/>
      <c r="JSU66" s="122"/>
      <c r="JSV66" s="122"/>
      <c r="JSW66" s="122"/>
      <c r="JSX66" s="122"/>
      <c r="JSY66" s="122"/>
      <c r="JSZ66" s="122"/>
      <c r="JTA66" s="122"/>
      <c r="JTB66" s="122"/>
      <c r="JTC66" s="122"/>
      <c r="JTD66" s="122"/>
      <c r="JTE66" s="122"/>
      <c r="JTF66" s="122"/>
      <c r="JTG66" s="122"/>
      <c r="JTH66" s="122"/>
      <c r="JTI66" s="122"/>
      <c r="JTJ66" s="122"/>
      <c r="JTK66" s="122"/>
      <c r="JTL66" s="122"/>
      <c r="JTM66" s="122"/>
      <c r="JTN66" s="122"/>
      <c r="JTO66" s="122"/>
      <c r="JTP66" s="122"/>
      <c r="JTQ66" s="122"/>
      <c r="JTR66" s="122"/>
      <c r="JTS66" s="122"/>
      <c r="JTT66" s="122"/>
      <c r="JTU66" s="122"/>
      <c r="JTV66" s="122"/>
      <c r="JTW66" s="122"/>
      <c r="JTX66" s="122"/>
      <c r="JTY66" s="122"/>
      <c r="JTZ66" s="122"/>
      <c r="JUA66" s="122"/>
      <c r="JUB66" s="122"/>
      <c r="JUC66" s="122"/>
      <c r="JUD66" s="122"/>
      <c r="JUE66" s="122"/>
      <c r="JUF66" s="122"/>
      <c r="JUG66" s="122"/>
      <c r="JUH66" s="122"/>
      <c r="JUI66" s="122"/>
      <c r="JUJ66" s="122"/>
      <c r="JUK66" s="122"/>
      <c r="JUL66" s="122"/>
      <c r="JUM66" s="122"/>
      <c r="JUN66" s="122"/>
      <c r="JUO66" s="122"/>
      <c r="JUP66" s="122"/>
      <c r="JUQ66" s="122"/>
      <c r="JUR66" s="122"/>
      <c r="JUS66" s="122"/>
      <c r="JUT66" s="122"/>
      <c r="JUU66" s="122"/>
      <c r="JUV66" s="122"/>
      <c r="JUW66" s="122"/>
      <c r="JUX66" s="122"/>
      <c r="JUY66" s="122"/>
      <c r="JUZ66" s="122"/>
      <c r="JVA66" s="122"/>
      <c r="JVB66" s="122"/>
      <c r="JVC66" s="122"/>
      <c r="JVD66" s="122"/>
      <c r="JVE66" s="122"/>
      <c r="JVF66" s="122"/>
      <c r="JVG66" s="122"/>
      <c r="JVH66" s="122"/>
      <c r="JVI66" s="122"/>
      <c r="JVJ66" s="122"/>
      <c r="JVK66" s="122"/>
      <c r="JVL66" s="122"/>
      <c r="JVM66" s="122"/>
      <c r="JVN66" s="122"/>
      <c r="JVO66" s="122"/>
      <c r="JVP66" s="122"/>
      <c r="JVQ66" s="122"/>
      <c r="JVR66" s="122"/>
      <c r="JVS66" s="122"/>
      <c r="JVT66" s="122"/>
      <c r="JVU66" s="122"/>
      <c r="JVV66" s="122"/>
      <c r="JVW66" s="122"/>
      <c r="JVX66" s="122"/>
      <c r="JVY66" s="122"/>
      <c r="JVZ66" s="122"/>
      <c r="JWA66" s="122"/>
      <c r="JWB66" s="122"/>
      <c r="JWC66" s="122"/>
      <c r="JWD66" s="122"/>
      <c r="JWE66" s="122"/>
      <c r="JWF66" s="122"/>
      <c r="JWG66" s="122"/>
      <c r="JWH66" s="122"/>
      <c r="JWI66" s="122"/>
      <c r="JWJ66" s="122"/>
      <c r="JWK66" s="122"/>
      <c r="JWL66" s="122"/>
      <c r="JWM66" s="122"/>
      <c r="JWN66" s="122"/>
      <c r="JWO66" s="122"/>
      <c r="JWP66" s="122"/>
      <c r="JWQ66" s="122"/>
      <c r="JWR66" s="122"/>
      <c r="JWS66" s="122"/>
      <c r="JWT66" s="122"/>
      <c r="JWU66" s="122"/>
      <c r="JWV66" s="122"/>
      <c r="JWW66" s="122"/>
      <c r="JWX66" s="122"/>
      <c r="JWY66" s="122"/>
      <c r="JWZ66" s="122"/>
      <c r="JXA66" s="122"/>
      <c r="JXB66" s="122"/>
      <c r="JXC66" s="122"/>
      <c r="JXD66" s="122"/>
      <c r="JXE66" s="122"/>
      <c r="JXF66" s="122"/>
      <c r="JXG66" s="122"/>
      <c r="JXH66" s="122"/>
      <c r="JXI66" s="122"/>
      <c r="JXJ66" s="122"/>
      <c r="JXK66" s="122"/>
      <c r="JXL66" s="122"/>
      <c r="JXM66" s="122"/>
      <c r="JXN66" s="122"/>
      <c r="JXO66" s="122"/>
      <c r="JXP66" s="122"/>
      <c r="JXQ66" s="122"/>
      <c r="JXR66" s="122"/>
      <c r="JXS66" s="122"/>
      <c r="JXT66" s="122"/>
      <c r="JXU66" s="122"/>
      <c r="JXV66" s="122"/>
      <c r="JXW66" s="122"/>
      <c r="JXX66" s="122"/>
      <c r="JXY66" s="122"/>
      <c r="JXZ66" s="122"/>
      <c r="JYA66" s="122"/>
      <c r="JYB66" s="122"/>
      <c r="JYC66" s="122"/>
      <c r="JYD66" s="122"/>
      <c r="JYE66" s="122"/>
      <c r="JYF66" s="122"/>
      <c r="JYG66" s="122"/>
      <c r="JYH66" s="122"/>
      <c r="JYI66" s="122"/>
      <c r="JYJ66" s="122"/>
      <c r="JYK66" s="122"/>
      <c r="JYL66" s="122"/>
      <c r="JYM66" s="122"/>
      <c r="JYN66" s="122"/>
      <c r="JYO66" s="122"/>
      <c r="JYP66" s="122"/>
      <c r="JYQ66" s="122"/>
      <c r="JYR66" s="122"/>
      <c r="JYS66" s="122"/>
      <c r="JYT66" s="122"/>
      <c r="JYU66" s="122"/>
      <c r="JYV66" s="122"/>
      <c r="JYW66" s="122"/>
      <c r="JYX66" s="122"/>
      <c r="JYY66" s="122"/>
      <c r="JYZ66" s="122"/>
      <c r="JZA66" s="122"/>
      <c r="JZB66" s="122"/>
      <c r="JZC66" s="122"/>
      <c r="JZD66" s="122"/>
      <c r="JZE66" s="122"/>
      <c r="JZF66" s="122"/>
      <c r="JZG66" s="122"/>
      <c r="JZH66" s="122"/>
      <c r="JZI66" s="122"/>
      <c r="JZJ66" s="122"/>
      <c r="JZK66" s="122"/>
      <c r="JZL66" s="122"/>
      <c r="JZM66" s="122"/>
      <c r="JZN66" s="122"/>
      <c r="JZO66" s="122"/>
      <c r="JZP66" s="122"/>
      <c r="JZQ66" s="122"/>
      <c r="JZR66" s="122"/>
      <c r="JZS66" s="122"/>
      <c r="JZT66" s="122"/>
      <c r="JZU66" s="122"/>
      <c r="JZV66" s="122"/>
      <c r="JZW66" s="122"/>
      <c r="JZX66" s="122"/>
      <c r="JZY66" s="122"/>
      <c r="JZZ66" s="122"/>
      <c r="KAA66" s="122"/>
      <c r="KAB66" s="122"/>
      <c r="KAC66" s="122"/>
      <c r="KAD66" s="122"/>
      <c r="KAE66" s="122"/>
      <c r="KAF66" s="122"/>
      <c r="KAG66" s="122"/>
      <c r="KAH66" s="122"/>
      <c r="KAI66" s="122"/>
      <c r="KAJ66" s="122"/>
      <c r="KAK66" s="122"/>
      <c r="KAL66" s="122"/>
      <c r="KAM66" s="122"/>
      <c r="KAN66" s="122"/>
      <c r="KAO66" s="122"/>
      <c r="KAP66" s="122"/>
      <c r="KAQ66" s="122"/>
      <c r="KAR66" s="122"/>
      <c r="KAS66" s="122"/>
      <c r="KAT66" s="122"/>
      <c r="KAU66" s="122"/>
      <c r="KAV66" s="122"/>
      <c r="KAW66" s="122"/>
      <c r="KAX66" s="122"/>
      <c r="KAY66" s="122"/>
      <c r="KAZ66" s="122"/>
      <c r="KBA66" s="122"/>
      <c r="KBB66" s="122"/>
      <c r="KBC66" s="122"/>
      <c r="KBD66" s="122"/>
      <c r="KBE66" s="122"/>
      <c r="KBF66" s="122"/>
      <c r="KBG66" s="122"/>
      <c r="KBH66" s="122"/>
      <c r="KBI66" s="122"/>
      <c r="KBJ66" s="122"/>
      <c r="KBK66" s="122"/>
      <c r="KBL66" s="122"/>
      <c r="KBM66" s="122"/>
      <c r="KBN66" s="122"/>
      <c r="KBO66" s="122"/>
      <c r="KBP66" s="122"/>
      <c r="KBQ66" s="122"/>
      <c r="KBR66" s="122"/>
      <c r="KBS66" s="122"/>
      <c r="KBT66" s="122"/>
      <c r="KBU66" s="122"/>
      <c r="KBV66" s="122"/>
      <c r="KBW66" s="122"/>
      <c r="KBX66" s="122"/>
      <c r="KBY66" s="122"/>
      <c r="KBZ66" s="122"/>
      <c r="KCA66" s="122"/>
      <c r="KCB66" s="122"/>
      <c r="KCC66" s="122"/>
      <c r="KCD66" s="122"/>
      <c r="KCE66" s="122"/>
      <c r="KCF66" s="122"/>
      <c r="KCG66" s="122"/>
      <c r="KCH66" s="122"/>
      <c r="KCI66" s="122"/>
      <c r="KCJ66" s="122"/>
      <c r="KCK66" s="122"/>
      <c r="KCL66" s="122"/>
      <c r="KCM66" s="122"/>
      <c r="KCN66" s="122"/>
      <c r="KCO66" s="122"/>
      <c r="KCP66" s="122"/>
      <c r="KCQ66" s="122"/>
      <c r="KCR66" s="122"/>
      <c r="KCS66" s="122"/>
      <c r="KCT66" s="122"/>
      <c r="KCU66" s="122"/>
      <c r="KCV66" s="122"/>
      <c r="KCW66" s="122"/>
      <c r="KCX66" s="122"/>
      <c r="KCY66" s="122"/>
      <c r="KCZ66" s="122"/>
      <c r="KDA66" s="122"/>
      <c r="KDB66" s="122"/>
      <c r="KDC66" s="122"/>
      <c r="KDD66" s="122"/>
      <c r="KDE66" s="122"/>
      <c r="KDF66" s="122"/>
      <c r="KDG66" s="122"/>
      <c r="KDH66" s="122"/>
      <c r="KDI66" s="122"/>
      <c r="KDJ66" s="122"/>
      <c r="KDK66" s="122"/>
      <c r="KDL66" s="122"/>
      <c r="KDM66" s="122"/>
      <c r="KDN66" s="122"/>
      <c r="KDO66" s="122"/>
      <c r="KDP66" s="122"/>
      <c r="KDQ66" s="122"/>
      <c r="KDR66" s="122"/>
      <c r="KDS66" s="122"/>
      <c r="KDT66" s="122"/>
      <c r="KDU66" s="122"/>
      <c r="KDV66" s="122"/>
      <c r="KDW66" s="122"/>
      <c r="KDX66" s="122"/>
      <c r="KDY66" s="122"/>
      <c r="KDZ66" s="122"/>
      <c r="KEA66" s="122"/>
      <c r="KEB66" s="122"/>
      <c r="KEC66" s="122"/>
      <c r="KED66" s="122"/>
      <c r="KEE66" s="122"/>
      <c r="KEF66" s="122"/>
      <c r="KEG66" s="122"/>
      <c r="KEH66" s="122"/>
      <c r="KEI66" s="122"/>
      <c r="KEJ66" s="122"/>
      <c r="KEK66" s="122"/>
      <c r="KEL66" s="122"/>
      <c r="KEM66" s="122"/>
      <c r="KEN66" s="122"/>
      <c r="KEO66" s="122"/>
      <c r="KEP66" s="122"/>
      <c r="KEQ66" s="122"/>
      <c r="KER66" s="122"/>
      <c r="KES66" s="122"/>
      <c r="KET66" s="122"/>
      <c r="KEU66" s="122"/>
      <c r="KEV66" s="122"/>
      <c r="KEW66" s="122"/>
      <c r="KEX66" s="122"/>
      <c r="KEY66" s="122"/>
      <c r="KEZ66" s="122"/>
      <c r="KFA66" s="122"/>
      <c r="KFB66" s="122"/>
      <c r="KFC66" s="122"/>
      <c r="KFD66" s="122"/>
      <c r="KFE66" s="122"/>
      <c r="KFF66" s="122"/>
      <c r="KFG66" s="122"/>
      <c r="KFH66" s="122"/>
      <c r="KFI66" s="122"/>
      <c r="KFJ66" s="122"/>
      <c r="KFK66" s="122"/>
      <c r="KFL66" s="122"/>
      <c r="KFM66" s="122"/>
      <c r="KFN66" s="122"/>
      <c r="KFO66" s="122"/>
      <c r="KFP66" s="122"/>
      <c r="KFQ66" s="122"/>
      <c r="KFR66" s="122"/>
      <c r="KFS66" s="122"/>
      <c r="KFT66" s="122"/>
      <c r="KFU66" s="122"/>
      <c r="KFV66" s="122"/>
      <c r="KFW66" s="122"/>
      <c r="KFX66" s="122"/>
      <c r="KFY66" s="122"/>
      <c r="KFZ66" s="122"/>
      <c r="KGA66" s="122"/>
      <c r="KGB66" s="122"/>
      <c r="KGC66" s="122"/>
      <c r="KGD66" s="122"/>
      <c r="KGE66" s="122"/>
      <c r="KGF66" s="122"/>
      <c r="KGG66" s="122"/>
      <c r="KGH66" s="122"/>
      <c r="KGI66" s="122"/>
      <c r="KGJ66" s="122"/>
      <c r="KGK66" s="122"/>
      <c r="KGL66" s="122"/>
      <c r="KGM66" s="122"/>
      <c r="KGN66" s="122"/>
      <c r="KGO66" s="122"/>
      <c r="KGP66" s="122"/>
      <c r="KGQ66" s="122"/>
      <c r="KGR66" s="122"/>
      <c r="KGS66" s="122"/>
      <c r="KGT66" s="122"/>
      <c r="KGU66" s="122"/>
      <c r="KGV66" s="122"/>
      <c r="KGW66" s="122"/>
      <c r="KGX66" s="122"/>
      <c r="KGY66" s="122"/>
      <c r="KGZ66" s="122"/>
      <c r="KHA66" s="122"/>
      <c r="KHB66" s="122"/>
      <c r="KHC66" s="122"/>
      <c r="KHD66" s="122"/>
      <c r="KHE66" s="122"/>
      <c r="KHF66" s="122"/>
      <c r="KHG66" s="122"/>
      <c r="KHH66" s="122"/>
      <c r="KHI66" s="122"/>
      <c r="KHJ66" s="122"/>
      <c r="KHK66" s="122"/>
      <c r="KHL66" s="122"/>
      <c r="KHM66" s="122"/>
      <c r="KHN66" s="122"/>
      <c r="KHO66" s="122"/>
      <c r="KHP66" s="122"/>
      <c r="KHQ66" s="122"/>
      <c r="KHR66" s="122"/>
      <c r="KHS66" s="122"/>
      <c r="KHT66" s="122"/>
      <c r="KHU66" s="122"/>
      <c r="KHV66" s="122"/>
      <c r="KHW66" s="122"/>
      <c r="KHX66" s="122"/>
      <c r="KHY66" s="122"/>
      <c r="KHZ66" s="122"/>
      <c r="KIA66" s="122"/>
      <c r="KIB66" s="122"/>
      <c r="KIC66" s="122"/>
      <c r="KID66" s="122"/>
      <c r="KIE66" s="122"/>
      <c r="KIF66" s="122"/>
      <c r="KIG66" s="122"/>
      <c r="KIH66" s="122"/>
      <c r="KII66" s="122"/>
      <c r="KIJ66" s="122"/>
      <c r="KIK66" s="122"/>
      <c r="KIL66" s="122"/>
      <c r="KIM66" s="122"/>
      <c r="KIN66" s="122"/>
      <c r="KIO66" s="122"/>
      <c r="KIP66" s="122"/>
      <c r="KIQ66" s="122"/>
      <c r="KIR66" s="122"/>
      <c r="KIS66" s="122"/>
      <c r="KIT66" s="122"/>
      <c r="KIU66" s="122"/>
      <c r="KIV66" s="122"/>
      <c r="KIW66" s="122"/>
      <c r="KIX66" s="122"/>
      <c r="KIY66" s="122"/>
      <c r="KIZ66" s="122"/>
      <c r="KJA66" s="122"/>
      <c r="KJB66" s="122"/>
      <c r="KJC66" s="122"/>
      <c r="KJD66" s="122"/>
      <c r="KJE66" s="122"/>
      <c r="KJF66" s="122"/>
      <c r="KJG66" s="122"/>
      <c r="KJH66" s="122"/>
      <c r="KJI66" s="122"/>
      <c r="KJJ66" s="122"/>
      <c r="KJK66" s="122"/>
      <c r="KJL66" s="122"/>
      <c r="KJM66" s="122"/>
      <c r="KJN66" s="122"/>
      <c r="KJO66" s="122"/>
      <c r="KJP66" s="122"/>
      <c r="KJQ66" s="122"/>
      <c r="KJR66" s="122"/>
      <c r="KJS66" s="122"/>
      <c r="KJT66" s="122"/>
      <c r="KJU66" s="122"/>
      <c r="KJV66" s="122"/>
      <c r="KJW66" s="122"/>
      <c r="KJX66" s="122"/>
      <c r="KJY66" s="122"/>
      <c r="KJZ66" s="122"/>
      <c r="KKA66" s="122"/>
      <c r="KKB66" s="122"/>
      <c r="KKC66" s="122"/>
      <c r="KKD66" s="122"/>
      <c r="KKE66" s="122"/>
      <c r="KKF66" s="122"/>
      <c r="KKG66" s="122"/>
      <c r="KKH66" s="122"/>
      <c r="KKI66" s="122"/>
      <c r="KKJ66" s="122"/>
      <c r="KKK66" s="122"/>
      <c r="KKL66" s="122"/>
      <c r="KKM66" s="122"/>
      <c r="KKN66" s="122"/>
      <c r="KKO66" s="122"/>
      <c r="KKP66" s="122"/>
      <c r="KKQ66" s="122"/>
      <c r="KKR66" s="122"/>
      <c r="KKS66" s="122"/>
      <c r="KKT66" s="122"/>
      <c r="KKU66" s="122"/>
      <c r="KKV66" s="122"/>
      <c r="KKW66" s="122"/>
      <c r="KKX66" s="122"/>
      <c r="KKY66" s="122"/>
      <c r="KKZ66" s="122"/>
      <c r="KLA66" s="122"/>
      <c r="KLB66" s="122"/>
      <c r="KLC66" s="122"/>
      <c r="KLD66" s="122"/>
      <c r="KLE66" s="122"/>
      <c r="KLF66" s="122"/>
      <c r="KLG66" s="122"/>
      <c r="KLH66" s="122"/>
      <c r="KLI66" s="122"/>
      <c r="KLJ66" s="122"/>
      <c r="KLK66" s="122"/>
      <c r="KLL66" s="122"/>
      <c r="KLM66" s="122"/>
      <c r="KLN66" s="122"/>
      <c r="KLO66" s="122"/>
      <c r="KLP66" s="122"/>
      <c r="KLQ66" s="122"/>
      <c r="KLR66" s="122"/>
      <c r="KLS66" s="122"/>
      <c r="KLT66" s="122"/>
      <c r="KLU66" s="122"/>
      <c r="KLV66" s="122"/>
      <c r="KLW66" s="122"/>
      <c r="KLX66" s="122"/>
      <c r="KLY66" s="122"/>
      <c r="KLZ66" s="122"/>
      <c r="KMA66" s="122"/>
      <c r="KMB66" s="122"/>
      <c r="KMC66" s="122"/>
      <c r="KMD66" s="122"/>
      <c r="KME66" s="122"/>
      <c r="KMF66" s="122"/>
      <c r="KMG66" s="122"/>
      <c r="KMH66" s="122"/>
      <c r="KMI66" s="122"/>
      <c r="KMJ66" s="122"/>
      <c r="KMK66" s="122"/>
      <c r="KML66" s="122"/>
      <c r="KMM66" s="122"/>
      <c r="KMN66" s="122"/>
      <c r="KMO66" s="122"/>
      <c r="KMP66" s="122"/>
      <c r="KMQ66" s="122"/>
      <c r="KMR66" s="122"/>
      <c r="KMS66" s="122"/>
      <c r="KMT66" s="122"/>
      <c r="KMU66" s="122"/>
      <c r="KMV66" s="122"/>
      <c r="KMW66" s="122"/>
      <c r="KMX66" s="122"/>
      <c r="KMY66" s="122"/>
      <c r="KMZ66" s="122"/>
      <c r="KNA66" s="122"/>
      <c r="KNB66" s="122"/>
      <c r="KNC66" s="122"/>
      <c r="KND66" s="122"/>
      <c r="KNE66" s="122"/>
      <c r="KNF66" s="122"/>
      <c r="KNG66" s="122"/>
      <c r="KNH66" s="122"/>
      <c r="KNI66" s="122"/>
      <c r="KNJ66" s="122"/>
      <c r="KNK66" s="122"/>
      <c r="KNL66" s="122"/>
      <c r="KNM66" s="122"/>
      <c r="KNN66" s="122"/>
      <c r="KNO66" s="122"/>
      <c r="KNP66" s="122"/>
      <c r="KNQ66" s="122"/>
      <c r="KNR66" s="122"/>
      <c r="KNS66" s="122"/>
      <c r="KNT66" s="122"/>
      <c r="KNU66" s="122"/>
      <c r="KNV66" s="122"/>
      <c r="KNW66" s="122"/>
      <c r="KNX66" s="122"/>
      <c r="KNY66" s="122"/>
      <c r="KNZ66" s="122"/>
      <c r="KOA66" s="122"/>
      <c r="KOB66" s="122"/>
      <c r="KOC66" s="122"/>
      <c r="KOD66" s="122"/>
      <c r="KOE66" s="122"/>
      <c r="KOF66" s="122"/>
      <c r="KOG66" s="122"/>
      <c r="KOH66" s="122"/>
      <c r="KOI66" s="122"/>
      <c r="KOJ66" s="122"/>
      <c r="KOK66" s="122"/>
      <c r="KOL66" s="122"/>
      <c r="KOM66" s="122"/>
      <c r="KON66" s="122"/>
      <c r="KOO66" s="122"/>
      <c r="KOP66" s="122"/>
      <c r="KOQ66" s="122"/>
      <c r="KOR66" s="122"/>
      <c r="KOS66" s="122"/>
      <c r="KOT66" s="122"/>
      <c r="KOU66" s="122"/>
      <c r="KOV66" s="122"/>
      <c r="KOW66" s="122"/>
      <c r="KOX66" s="122"/>
      <c r="KOY66" s="122"/>
      <c r="KOZ66" s="122"/>
      <c r="KPA66" s="122"/>
      <c r="KPB66" s="122"/>
      <c r="KPC66" s="122"/>
      <c r="KPD66" s="122"/>
      <c r="KPE66" s="122"/>
      <c r="KPF66" s="122"/>
      <c r="KPG66" s="122"/>
      <c r="KPH66" s="122"/>
      <c r="KPI66" s="122"/>
      <c r="KPJ66" s="122"/>
      <c r="KPK66" s="122"/>
      <c r="KPL66" s="122"/>
      <c r="KPM66" s="122"/>
      <c r="KPN66" s="122"/>
      <c r="KPO66" s="122"/>
      <c r="KPP66" s="122"/>
      <c r="KPQ66" s="122"/>
      <c r="KPR66" s="122"/>
      <c r="KPS66" s="122"/>
      <c r="KPT66" s="122"/>
      <c r="KPU66" s="122"/>
      <c r="KPV66" s="122"/>
      <c r="KPW66" s="122"/>
      <c r="KPX66" s="122"/>
      <c r="KPY66" s="122"/>
      <c r="KPZ66" s="122"/>
      <c r="KQA66" s="122"/>
      <c r="KQB66" s="122"/>
      <c r="KQC66" s="122"/>
      <c r="KQD66" s="122"/>
      <c r="KQE66" s="122"/>
      <c r="KQF66" s="122"/>
      <c r="KQG66" s="122"/>
      <c r="KQH66" s="122"/>
      <c r="KQI66" s="122"/>
      <c r="KQJ66" s="122"/>
      <c r="KQK66" s="122"/>
      <c r="KQL66" s="122"/>
      <c r="KQM66" s="122"/>
      <c r="KQN66" s="122"/>
      <c r="KQO66" s="122"/>
      <c r="KQP66" s="122"/>
      <c r="KQQ66" s="122"/>
      <c r="KQR66" s="122"/>
      <c r="KQS66" s="122"/>
      <c r="KQT66" s="122"/>
      <c r="KQU66" s="122"/>
      <c r="KQV66" s="122"/>
      <c r="KQW66" s="122"/>
      <c r="KQX66" s="122"/>
      <c r="KQY66" s="122"/>
      <c r="KQZ66" s="122"/>
      <c r="KRA66" s="122"/>
      <c r="KRB66" s="122"/>
      <c r="KRC66" s="122"/>
      <c r="KRD66" s="122"/>
      <c r="KRE66" s="122"/>
      <c r="KRF66" s="122"/>
      <c r="KRG66" s="122"/>
      <c r="KRH66" s="122"/>
      <c r="KRI66" s="122"/>
      <c r="KRJ66" s="122"/>
      <c r="KRK66" s="122"/>
      <c r="KRL66" s="122"/>
      <c r="KRM66" s="122"/>
      <c r="KRN66" s="122"/>
      <c r="KRO66" s="122"/>
      <c r="KRP66" s="122"/>
      <c r="KRQ66" s="122"/>
      <c r="KRR66" s="122"/>
      <c r="KRS66" s="122"/>
      <c r="KRT66" s="122"/>
      <c r="KRU66" s="122"/>
      <c r="KRV66" s="122"/>
      <c r="KRW66" s="122"/>
      <c r="KRX66" s="122"/>
      <c r="KRY66" s="122"/>
      <c r="KRZ66" s="122"/>
      <c r="KSA66" s="122"/>
      <c r="KSB66" s="122"/>
      <c r="KSC66" s="122"/>
      <c r="KSD66" s="122"/>
      <c r="KSE66" s="122"/>
      <c r="KSF66" s="122"/>
      <c r="KSG66" s="122"/>
      <c r="KSH66" s="122"/>
      <c r="KSI66" s="122"/>
      <c r="KSJ66" s="122"/>
      <c r="KSK66" s="122"/>
      <c r="KSL66" s="122"/>
      <c r="KSM66" s="122"/>
      <c r="KSN66" s="122"/>
      <c r="KSO66" s="122"/>
      <c r="KSP66" s="122"/>
      <c r="KSQ66" s="122"/>
      <c r="KSR66" s="122"/>
      <c r="KSS66" s="122"/>
      <c r="KST66" s="122"/>
      <c r="KSU66" s="122"/>
      <c r="KSV66" s="122"/>
      <c r="KSW66" s="122"/>
      <c r="KSX66" s="122"/>
      <c r="KSY66" s="122"/>
      <c r="KSZ66" s="122"/>
      <c r="KTA66" s="122"/>
      <c r="KTB66" s="122"/>
      <c r="KTC66" s="122"/>
      <c r="KTD66" s="122"/>
      <c r="KTE66" s="122"/>
      <c r="KTF66" s="122"/>
      <c r="KTG66" s="122"/>
      <c r="KTH66" s="122"/>
      <c r="KTI66" s="122"/>
      <c r="KTJ66" s="122"/>
      <c r="KTK66" s="122"/>
      <c r="KTL66" s="122"/>
      <c r="KTM66" s="122"/>
      <c r="KTN66" s="122"/>
      <c r="KTO66" s="122"/>
      <c r="KTP66" s="122"/>
      <c r="KTQ66" s="122"/>
      <c r="KTR66" s="122"/>
      <c r="KTS66" s="122"/>
      <c r="KTT66" s="122"/>
      <c r="KTU66" s="122"/>
      <c r="KTV66" s="122"/>
      <c r="KTW66" s="122"/>
      <c r="KTX66" s="122"/>
      <c r="KTY66" s="122"/>
      <c r="KTZ66" s="122"/>
      <c r="KUA66" s="122"/>
      <c r="KUB66" s="122"/>
      <c r="KUC66" s="122"/>
      <c r="KUD66" s="122"/>
      <c r="KUE66" s="122"/>
      <c r="KUF66" s="122"/>
      <c r="KUG66" s="122"/>
      <c r="KUH66" s="122"/>
      <c r="KUI66" s="122"/>
      <c r="KUJ66" s="122"/>
      <c r="KUK66" s="122"/>
      <c r="KUL66" s="122"/>
      <c r="KUM66" s="122"/>
      <c r="KUN66" s="122"/>
      <c r="KUO66" s="122"/>
      <c r="KUP66" s="122"/>
      <c r="KUQ66" s="122"/>
      <c r="KUR66" s="122"/>
      <c r="KUS66" s="122"/>
      <c r="KUT66" s="122"/>
      <c r="KUU66" s="122"/>
      <c r="KUV66" s="122"/>
      <c r="KUW66" s="122"/>
      <c r="KUX66" s="122"/>
      <c r="KUY66" s="122"/>
      <c r="KUZ66" s="122"/>
      <c r="KVA66" s="122"/>
      <c r="KVB66" s="122"/>
      <c r="KVC66" s="122"/>
      <c r="KVD66" s="122"/>
      <c r="KVE66" s="122"/>
      <c r="KVF66" s="122"/>
      <c r="KVG66" s="122"/>
      <c r="KVH66" s="122"/>
      <c r="KVI66" s="122"/>
      <c r="KVJ66" s="122"/>
      <c r="KVK66" s="122"/>
      <c r="KVL66" s="122"/>
      <c r="KVM66" s="122"/>
      <c r="KVN66" s="122"/>
      <c r="KVO66" s="122"/>
      <c r="KVP66" s="122"/>
      <c r="KVQ66" s="122"/>
      <c r="KVR66" s="122"/>
      <c r="KVS66" s="122"/>
      <c r="KVT66" s="122"/>
      <c r="KVU66" s="122"/>
      <c r="KVV66" s="122"/>
      <c r="KVW66" s="122"/>
      <c r="KVX66" s="122"/>
      <c r="KVY66" s="122"/>
      <c r="KVZ66" s="122"/>
      <c r="KWA66" s="122"/>
      <c r="KWB66" s="122"/>
      <c r="KWC66" s="122"/>
      <c r="KWD66" s="122"/>
      <c r="KWE66" s="122"/>
      <c r="KWF66" s="122"/>
      <c r="KWG66" s="122"/>
      <c r="KWH66" s="122"/>
      <c r="KWI66" s="122"/>
      <c r="KWJ66" s="122"/>
      <c r="KWK66" s="122"/>
      <c r="KWL66" s="122"/>
      <c r="KWM66" s="122"/>
      <c r="KWN66" s="122"/>
      <c r="KWO66" s="122"/>
      <c r="KWP66" s="122"/>
      <c r="KWQ66" s="122"/>
      <c r="KWR66" s="122"/>
      <c r="KWS66" s="122"/>
      <c r="KWT66" s="122"/>
      <c r="KWU66" s="122"/>
      <c r="KWV66" s="122"/>
      <c r="KWW66" s="122"/>
      <c r="KWX66" s="122"/>
      <c r="KWY66" s="122"/>
      <c r="KWZ66" s="122"/>
      <c r="KXA66" s="122"/>
      <c r="KXB66" s="122"/>
      <c r="KXC66" s="122"/>
      <c r="KXD66" s="122"/>
      <c r="KXE66" s="122"/>
      <c r="KXF66" s="122"/>
      <c r="KXG66" s="122"/>
      <c r="KXH66" s="122"/>
      <c r="KXI66" s="122"/>
      <c r="KXJ66" s="122"/>
      <c r="KXK66" s="122"/>
      <c r="KXL66" s="122"/>
      <c r="KXM66" s="122"/>
      <c r="KXN66" s="122"/>
      <c r="KXO66" s="122"/>
      <c r="KXP66" s="122"/>
      <c r="KXQ66" s="122"/>
      <c r="KXR66" s="122"/>
      <c r="KXS66" s="122"/>
      <c r="KXT66" s="122"/>
      <c r="KXU66" s="122"/>
      <c r="KXV66" s="122"/>
      <c r="KXW66" s="122"/>
      <c r="KXX66" s="122"/>
      <c r="KXY66" s="122"/>
      <c r="KXZ66" s="122"/>
      <c r="KYA66" s="122"/>
      <c r="KYB66" s="122"/>
      <c r="KYC66" s="122"/>
      <c r="KYD66" s="122"/>
      <c r="KYE66" s="122"/>
      <c r="KYF66" s="122"/>
      <c r="KYG66" s="122"/>
      <c r="KYH66" s="122"/>
      <c r="KYI66" s="122"/>
      <c r="KYJ66" s="122"/>
      <c r="KYK66" s="122"/>
      <c r="KYL66" s="122"/>
      <c r="KYM66" s="122"/>
      <c r="KYN66" s="122"/>
      <c r="KYO66" s="122"/>
      <c r="KYP66" s="122"/>
      <c r="KYQ66" s="122"/>
      <c r="KYR66" s="122"/>
      <c r="KYS66" s="122"/>
      <c r="KYT66" s="122"/>
      <c r="KYU66" s="122"/>
      <c r="KYV66" s="122"/>
      <c r="KYW66" s="122"/>
      <c r="KYX66" s="122"/>
      <c r="KYY66" s="122"/>
      <c r="KYZ66" s="122"/>
      <c r="KZA66" s="122"/>
      <c r="KZB66" s="122"/>
      <c r="KZC66" s="122"/>
      <c r="KZD66" s="122"/>
      <c r="KZE66" s="122"/>
      <c r="KZF66" s="122"/>
      <c r="KZG66" s="122"/>
      <c r="KZH66" s="122"/>
      <c r="KZI66" s="122"/>
      <c r="KZJ66" s="122"/>
      <c r="KZK66" s="122"/>
      <c r="KZL66" s="122"/>
      <c r="KZM66" s="122"/>
      <c r="KZN66" s="122"/>
      <c r="KZO66" s="122"/>
      <c r="KZP66" s="122"/>
      <c r="KZQ66" s="122"/>
      <c r="KZR66" s="122"/>
      <c r="KZS66" s="122"/>
      <c r="KZT66" s="122"/>
      <c r="KZU66" s="122"/>
      <c r="KZV66" s="122"/>
      <c r="KZW66" s="122"/>
      <c r="KZX66" s="122"/>
      <c r="KZY66" s="122"/>
      <c r="KZZ66" s="122"/>
      <c r="LAA66" s="122"/>
      <c r="LAB66" s="122"/>
      <c r="LAC66" s="122"/>
      <c r="LAD66" s="122"/>
      <c r="LAE66" s="122"/>
      <c r="LAF66" s="122"/>
      <c r="LAG66" s="122"/>
      <c r="LAH66" s="122"/>
      <c r="LAI66" s="122"/>
      <c r="LAJ66" s="122"/>
      <c r="LAK66" s="122"/>
      <c r="LAL66" s="122"/>
      <c r="LAM66" s="122"/>
      <c r="LAN66" s="122"/>
      <c r="LAO66" s="122"/>
      <c r="LAP66" s="122"/>
      <c r="LAQ66" s="122"/>
      <c r="LAR66" s="122"/>
      <c r="LAS66" s="122"/>
      <c r="LAT66" s="122"/>
      <c r="LAU66" s="122"/>
      <c r="LAV66" s="122"/>
      <c r="LAW66" s="122"/>
      <c r="LAX66" s="122"/>
      <c r="LAY66" s="122"/>
      <c r="LAZ66" s="122"/>
      <c r="LBA66" s="122"/>
      <c r="LBB66" s="122"/>
      <c r="LBC66" s="122"/>
      <c r="LBD66" s="122"/>
      <c r="LBE66" s="122"/>
      <c r="LBF66" s="122"/>
      <c r="LBG66" s="122"/>
      <c r="LBH66" s="122"/>
      <c r="LBI66" s="122"/>
      <c r="LBJ66" s="122"/>
      <c r="LBK66" s="122"/>
      <c r="LBL66" s="122"/>
      <c r="LBM66" s="122"/>
      <c r="LBN66" s="122"/>
      <c r="LBO66" s="122"/>
      <c r="LBP66" s="122"/>
      <c r="LBQ66" s="122"/>
      <c r="LBR66" s="122"/>
      <c r="LBS66" s="122"/>
      <c r="LBT66" s="122"/>
      <c r="LBU66" s="122"/>
      <c r="LBV66" s="122"/>
      <c r="LBW66" s="122"/>
      <c r="LBX66" s="122"/>
      <c r="LBY66" s="122"/>
      <c r="LBZ66" s="122"/>
      <c r="LCA66" s="122"/>
      <c r="LCB66" s="122"/>
      <c r="LCC66" s="122"/>
      <c r="LCD66" s="122"/>
      <c r="LCE66" s="122"/>
      <c r="LCF66" s="122"/>
      <c r="LCG66" s="122"/>
      <c r="LCH66" s="122"/>
      <c r="LCI66" s="122"/>
      <c r="LCJ66" s="122"/>
      <c r="LCK66" s="122"/>
      <c r="LCL66" s="122"/>
      <c r="LCM66" s="122"/>
      <c r="LCN66" s="122"/>
      <c r="LCO66" s="122"/>
      <c r="LCP66" s="122"/>
      <c r="LCQ66" s="122"/>
      <c r="LCR66" s="122"/>
      <c r="LCS66" s="122"/>
      <c r="LCT66" s="122"/>
      <c r="LCU66" s="122"/>
      <c r="LCV66" s="122"/>
      <c r="LCW66" s="122"/>
      <c r="LCX66" s="122"/>
      <c r="LCY66" s="122"/>
      <c r="LCZ66" s="122"/>
      <c r="LDA66" s="122"/>
      <c r="LDB66" s="122"/>
      <c r="LDC66" s="122"/>
      <c r="LDD66" s="122"/>
      <c r="LDE66" s="122"/>
      <c r="LDF66" s="122"/>
      <c r="LDG66" s="122"/>
      <c r="LDH66" s="122"/>
      <c r="LDI66" s="122"/>
      <c r="LDJ66" s="122"/>
      <c r="LDK66" s="122"/>
      <c r="LDL66" s="122"/>
      <c r="LDM66" s="122"/>
      <c r="LDN66" s="122"/>
      <c r="LDO66" s="122"/>
      <c r="LDP66" s="122"/>
      <c r="LDQ66" s="122"/>
      <c r="LDR66" s="122"/>
      <c r="LDS66" s="122"/>
      <c r="LDT66" s="122"/>
      <c r="LDU66" s="122"/>
      <c r="LDV66" s="122"/>
      <c r="LDW66" s="122"/>
      <c r="LDX66" s="122"/>
      <c r="LDY66" s="122"/>
      <c r="LDZ66" s="122"/>
      <c r="LEA66" s="122"/>
      <c r="LEB66" s="122"/>
      <c r="LEC66" s="122"/>
      <c r="LED66" s="122"/>
      <c r="LEE66" s="122"/>
      <c r="LEF66" s="122"/>
      <c r="LEG66" s="122"/>
      <c r="LEH66" s="122"/>
      <c r="LEI66" s="122"/>
      <c r="LEJ66" s="122"/>
      <c r="LEK66" s="122"/>
      <c r="LEL66" s="122"/>
      <c r="LEM66" s="122"/>
      <c r="LEN66" s="122"/>
      <c r="LEO66" s="122"/>
      <c r="LEP66" s="122"/>
      <c r="LEQ66" s="122"/>
      <c r="LER66" s="122"/>
      <c r="LES66" s="122"/>
      <c r="LET66" s="122"/>
      <c r="LEU66" s="122"/>
      <c r="LEV66" s="122"/>
      <c r="LEW66" s="122"/>
      <c r="LEX66" s="122"/>
      <c r="LEY66" s="122"/>
      <c r="LEZ66" s="122"/>
      <c r="LFA66" s="122"/>
      <c r="LFB66" s="122"/>
      <c r="LFC66" s="122"/>
      <c r="LFD66" s="122"/>
      <c r="LFE66" s="122"/>
      <c r="LFF66" s="122"/>
      <c r="LFG66" s="122"/>
      <c r="LFH66" s="122"/>
      <c r="LFI66" s="122"/>
      <c r="LFJ66" s="122"/>
      <c r="LFK66" s="122"/>
      <c r="LFL66" s="122"/>
      <c r="LFM66" s="122"/>
      <c r="LFN66" s="122"/>
      <c r="LFO66" s="122"/>
      <c r="LFP66" s="122"/>
      <c r="LFQ66" s="122"/>
      <c r="LFR66" s="122"/>
      <c r="LFS66" s="122"/>
      <c r="LFT66" s="122"/>
      <c r="LFU66" s="122"/>
      <c r="LFV66" s="122"/>
      <c r="LFW66" s="122"/>
      <c r="LFX66" s="122"/>
      <c r="LFY66" s="122"/>
      <c r="LFZ66" s="122"/>
      <c r="LGA66" s="122"/>
      <c r="LGB66" s="122"/>
      <c r="LGC66" s="122"/>
      <c r="LGD66" s="122"/>
      <c r="LGE66" s="122"/>
      <c r="LGF66" s="122"/>
      <c r="LGG66" s="122"/>
      <c r="LGH66" s="122"/>
      <c r="LGI66" s="122"/>
      <c r="LGJ66" s="122"/>
      <c r="LGK66" s="122"/>
      <c r="LGL66" s="122"/>
      <c r="LGM66" s="122"/>
      <c r="LGN66" s="122"/>
      <c r="LGO66" s="122"/>
      <c r="LGP66" s="122"/>
      <c r="LGQ66" s="122"/>
      <c r="LGR66" s="122"/>
      <c r="LGS66" s="122"/>
      <c r="LGT66" s="122"/>
      <c r="LGU66" s="122"/>
      <c r="LGV66" s="122"/>
      <c r="LGW66" s="122"/>
      <c r="LGX66" s="122"/>
      <c r="LGY66" s="122"/>
      <c r="LGZ66" s="122"/>
      <c r="LHA66" s="122"/>
      <c r="LHB66" s="122"/>
      <c r="LHC66" s="122"/>
      <c r="LHD66" s="122"/>
      <c r="LHE66" s="122"/>
      <c r="LHF66" s="122"/>
      <c r="LHG66" s="122"/>
      <c r="LHH66" s="122"/>
      <c r="LHI66" s="122"/>
      <c r="LHJ66" s="122"/>
      <c r="LHK66" s="122"/>
      <c r="LHL66" s="122"/>
      <c r="LHM66" s="122"/>
      <c r="LHN66" s="122"/>
      <c r="LHO66" s="122"/>
      <c r="LHP66" s="122"/>
      <c r="LHQ66" s="122"/>
      <c r="LHR66" s="122"/>
      <c r="LHS66" s="122"/>
      <c r="LHT66" s="122"/>
      <c r="LHU66" s="122"/>
      <c r="LHV66" s="122"/>
      <c r="LHW66" s="122"/>
      <c r="LHX66" s="122"/>
      <c r="LHY66" s="122"/>
      <c r="LHZ66" s="122"/>
      <c r="LIA66" s="122"/>
      <c r="LIB66" s="122"/>
      <c r="LIC66" s="122"/>
      <c r="LID66" s="122"/>
      <c r="LIE66" s="122"/>
      <c r="LIF66" s="122"/>
      <c r="LIG66" s="122"/>
      <c r="LIH66" s="122"/>
      <c r="LII66" s="122"/>
      <c r="LIJ66" s="122"/>
      <c r="LIK66" s="122"/>
      <c r="LIL66" s="122"/>
      <c r="LIM66" s="122"/>
      <c r="LIN66" s="122"/>
      <c r="LIO66" s="122"/>
      <c r="LIP66" s="122"/>
      <c r="LIQ66" s="122"/>
      <c r="LIR66" s="122"/>
      <c r="LIS66" s="122"/>
      <c r="LIT66" s="122"/>
      <c r="LIU66" s="122"/>
      <c r="LIV66" s="122"/>
      <c r="LIW66" s="122"/>
      <c r="LIX66" s="122"/>
      <c r="LIY66" s="122"/>
      <c r="LIZ66" s="122"/>
      <c r="LJA66" s="122"/>
      <c r="LJB66" s="122"/>
      <c r="LJC66" s="122"/>
      <c r="LJD66" s="122"/>
      <c r="LJE66" s="122"/>
      <c r="LJF66" s="122"/>
      <c r="LJG66" s="122"/>
      <c r="LJH66" s="122"/>
      <c r="LJI66" s="122"/>
      <c r="LJJ66" s="122"/>
      <c r="LJK66" s="122"/>
      <c r="LJL66" s="122"/>
      <c r="LJM66" s="122"/>
      <c r="LJN66" s="122"/>
      <c r="LJO66" s="122"/>
      <c r="LJP66" s="122"/>
      <c r="LJQ66" s="122"/>
      <c r="LJR66" s="122"/>
      <c r="LJS66" s="122"/>
      <c r="LJT66" s="122"/>
      <c r="LJU66" s="122"/>
      <c r="LJV66" s="122"/>
      <c r="LJW66" s="122"/>
      <c r="LJX66" s="122"/>
      <c r="LJY66" s="122"/>
      <c r="LJZ66" s="122"/>
      <c r="LKA66" s="122"/>
      <c r="LKB66" s="122"/>
      <c r="LKC66" s="122"/>
      <c r="LKD66" s="122"/>
      <c r="LKE66" s="122"/>
      <c r="LKF66" s="122"/>
      <c r="LKG66" s="122"/>
      <c r="LKH66" s="122"/>
      <c r="LKI66" s="122"/>
      <c r="LKJ66" s="122"/>
      <c r="LKK66" s="122"/>
      <c r="LKL66" s="122"/>
      <c r="LKM66" s="122"/>
      <c r="LKN66" s="122"/>
      <c r="LKO66" s="122"/>
      <c r="LKP66" s="122"/>
      <c r="LKQ66" s="122"/>
      <c r="LKR66" s="122"/>
      <c r="LKS66" s="122"/>
      <c r="LKT66" s="122"/>
      <c r="LKU66" s="122"/>
      <c r="LKV66" s="122"/>
      <c r="LKW66" s="122"/>
      <c r="LKX66" s="122"/>
      <c r="LKY66" s="122"/>
      <c r="LKZ66" s="122"/>
      <c r="LLA66" s="122"/>
      <c r="LLB66" s="122"/>
      <c r="LLC66" s="122"/>
      <c r="LLD66" s="122"/>
      <c r="LLE66" s="122"/>
      <c r="LLF66" s="122"/>
      <c r="LLG66" s="122"/>
      <c r="LLH66" s="122"/>
      <c r="LLI66" s="122"/>
      <c r="LLJ66" s="122"/>
      <c r="LLK66" s="122"/>
      <c r="LLL66" s="122"/>
      <c r="LLM66" s="122"/>
      <c r="LLN66" s="122"/>
      <c r="LLO66" s="122"/>
      <c r="LLP66" s="122"/>
      <c r="LLQ66" s="122"/>
      <c r="LLR66" s="122"/>
      <c r="LLS66" s="122"/>
      <c r="LLT66" s="122"/>
      <c r="LLU66" s="122"/>
      <c r="LLV66" s="122"/>
      <c r="LLW66" s="122"/>
      <c r="LLX66" s="122"/>
      <c r="LLY66" s="122"/>
      <c r="LLZ66" s="122"/>
      <c r="LMA66" s="122"/>
      <c r="LMB66" s="122"/>
      <c r="LMC66" s="122"/>
      <c r="LMD66" s="122"/>
      <c r="LME66" s="122"/>
      <c r="LMF66" s="122"/>
      <c r="LMG66" s="122"/>
      <c r="LMH66" s="122"/>
      <c r="LMI66" s="122"/>
      <c r="LMJ66" s="122"/>
      <c r="LMK66" s="122"/>
      <c r="LML66" s="122"/>
      <c r="LMM66" s="122"/>
      <c r="LMN66" s="122"/>
      <c r="LMO66" s="122"/>
      <c r="LMP66" s="122"/>
      <c r="LMQ66" s="122"/>
      <c r="LMR66" s="122"/>
      <c r="LMS66" s="122"/>
      <c r="LMT66" s="122"/>
      <c r="LMU66" s="122"/>
      <c r="LMV66" s="122"/>
      <c r="LMW66" s="122"/>
      <c r="LMX66" s="122"/>
      <c r="LMY66" s="122"/>
      <c r="LMZ66" s="122"/>
      <c r="LNA66" s="122"/>
      <c r="LNB66" s="122"/>
      <c r="LNC66" s="122"/>
      <c r="LND66" s="122"/>
      <c r="LNE66" s="122"/>
      <c r="LNF66" s="122"/>
      <c r="LNG66" s="122"/>
      <c r="LNH66" s="122"/>
      <c r="LNI66" s="122"/>
      <c r="LNJ66" s="122"/>
      <c r="LNK66" s="122"/>
      <c r="LNL66" s="122"/>
      <c r="LNM66" s="122"/>
      <c r="LNN66" s="122"/>
      <c r="LNO66" s="122"/>
      <c r="LNP66" s="122"/>
      <c r="LNQ66" s="122"/>
      <c r="LNR66" s="122"/>
      <c r="LNS66" s="122"/>
      <c r="LNT66" s="122"/>
      <c r="LNU66" s="122"/>
      <c r="LNV66" s="122"/>
      <c r="LNW66" s="122"/>
      <c r="LNX66" s="122"/>
      <c r="LNY66" s="122"/>
      <c r="LNZ66" s="122"/>
      <c r="LOA66" s="122"/>
      <c r="LOB66" s="122"/>
      <c r="LOC66" s="122"/>
      <c r="LOD66" s="122"/>
      <c r="LOE66" s="122"/>
      <c r="LOF66" s="122"/>
      <c r="LOG66" s="122"/>
      <c r="LOH66" s="122"/>
      <c r="LOI66" s="122"/>
      <c r="LOJ66" s="122"/>
      <c r="LOK66" s="122"/>
      <c r="LOL66" s="122"/>
      <c r="LOM66" s="122"/>
      <c r="LON66" s="122"/>
      <c r="LOO66" s="122"/>
      <c r="LOP66" s="122"/>
      <c r="LOQ66" s="122"/>
      <c r="LOR66" s="122"/>
      <c r="LOS66" s="122"/>
      <c r="LOT66" s="122"/>
      <c r="LOU66" s="122"/>
      <c r="LOV66" s="122"/>
      <c r="LOW66" s="122"/>
      <c r="LOX66" s="122"/>
      <c r="LOY66" s="122"/>
      <c r="LOZ66" s="122"/>
      <c r="LPA66" s="122"/>
      <c r="LPB66" s="122"/>
      <c r="LPC66" s="122"/>
      <c r="LPD66" s="122"/>
      <c r="LPE66" s="122"/>
      <c r="LPF66" s="122"/>
      <c r="LPG66" s="122"/>
      <c r="LPH66" s="122"/>
      <c r="LPI66" s="122"/>
      <c r="LPJ66" s="122"/>
      <c r="LPK66" s="122"/>
      <c r="LPL66" s="122"/>
      <c r="LPM66" s="122"/>
      <c r="LPN66" s="122"/>
      <c r="LPO66" s="122"/>
      <c r="LPP66" s="122"/>
      <c r="LPQ66" s="122"/>
      <c r="LPR66" s="122"/>
      <c r="LPS66" s="122"/>
      <c r="LPT66" s="122"/>
      <c r="LPU66" s="122"/>
      <c r="LPV66" s="122"/>
      <c r="LPW66" s="122"/>
      <c r="LPX66" s="122"/>
      <c r="LPY66" s="122"/>
      <c r="LPZ66" s="122"/>
      <c r="LQA66" s="122"/>
      <c r="LQB66" s="122"/>
      <c r="LQC66" s="122"/>
      <c r="LQD66" s="122"/>
      <c r="LQE66" s="122"/>
      <c r="LQF66" s="122"/>
      <c r="LQG66" s="122"/>
      <c r="LQH66" s="122"/>
      <c r="LQI66" s="122"/>
      <c r="LQJ66" s="122"/>
      <c r="LQK66" s="122"/>
      <c r="LQL66" s="122"/>
      <c r="LQM66" s="122"/>
      <c r="LQN66" s="122"/>
      <c r="LQO66" s="122"/>
      <c r="LQP66" s="122"/>
      <c r="LQQ66" s="122"/>
      <c r="LQR66" s="122"/>
      <c r="LQS66" s="122"/>
      <c r="LQT66" s="122"/>
      <c r="LQU66" s="122"/>
      <c r="LQV66" s="122"/>
      <c r="LQW66" s="122"/>
      <c r="LQX66" s="122"/>
      <c r="LQY66" s="122"/>
      <c r="LQZ66" s="122"/>
      <c r="LRA66" s="122"/>
      <c r="LRB66" s="122"/>
      <c r="LRC66" s="122"/>
      <c r="LRD66" s="122"/>
      <c r="LRE66" s="122"/>
      <c r="LRF66" s="122"/>
      <c r="LRG66" s="122"/>
      <c r="LRH66" s="122"/>
      <c r="LRI66" s="122"/>
      <c r="LRJ66" s="122"/>
      <c r="LRK66" s="122"/>
      <c r="LRL66" s="122"/>
      <c r="LRM66" s="122"/>
      <c r="LRN66" s="122"/>
      <c r="LRO66" s="122"/>
      <c r="LRP66" s="122"/>
      <c r="LRQ66" s="122"/>
      <c r="LRR66" s="122"/>
      <c r="LRS66" s="122"/>
      <c r="LRT66" s="122"/>
      <c r="LRU66" s="122"/>
      <c r="LRV66" s="122"/>
      <c r="LRW66" s="122"/>
      <c r="LRX66" s="122"/>
      <c r="LRY66" s="122"/>
      <c r="LRZ66" s="122"/>
      <c r="LSA66" s="122"/>
      <c r="LSB66" s="122"/>
      <c r="LSC66" s="122"/>
      <c r="LSD66" s="122"/>
      <c r="LSE66" s="122"/>
      <c r="LSF66" s="122"/>
      <c r="LSG66" s="122"/>
      <c r="LSH66" s="122"/>
      <c r="LSI66" s="122"/>
      <c r="LSJ66" s="122"/>
      <c r="LSK66" s="122"/>
      <c r="LSL66" s="122"/>
      <c r="LSM66" s="122"/>
      <c r="LSN66" s="122"/>
      <c r="LSO66" s="122"/>
      <c r="LSP66" s="122"/>
      <c r="LSQ66" s="122"/>
      <c r="LSR66" s="122"/>
      <c r="LSS66" s="122"/>
      <c r="LST66" s="122"/>
      <c r="LSU66" s="122"/>
      <c r="LSV66" s="122"/>
      <c r="LSW66" s="122"/>
      <c r="LSX66" s="122"/>
      <c r="LSY66" s="122"/>
      <c r="LSZ66" s="122"/>
      <c r="LTA66" s="122"/>
      <c r="LTB66" s="122"/>
      <c r="LTC66" s="122"/>
      <c r="LTD66" s="122"/>
      <c r="LTE66" s="122"/>
      <c r="LTF66" s="122"/>
      <c r="LTG66" s="122"/>
      <c r="LTH66" s="122"/>
      <c r="LTI66" s="122"/>
      <c r="LTJ66" s="122"/>
      <c r="LTK66" s="122"/>
      <c r="LTL66" s="122"/>
      <c r="LTM66" s="122"/>
      <c r="LTN66" s="122"/>
      <c r="LTO66" s="122"/>
      <c r="LTP66" s="122"/>
      <c r="LTQ66" s="122"/>
      <c r="LTR66" s="122"/>
      <c r="LTS66" s="122"/>
      <c r="LTT66" s="122"/>
      <c r="LTU66" s="122"/>
      <c r="LTV66" s="122"/>
      <c r="LTW66" s="122"/>
      <c r="LTX66" s="122"/>
      <c r="LTY66" s="122"/>
      <c r="LTZ66" s="122"/>
      <c r="LUA66" s="122"/>
      <c r="LUB66" s="122"/>
      <c r="LUC66" s="122"/>
      <c r="LUD66" s="122"/>
      <c r="LUE66" s="122"/>
      <c r="LUF66" s="122"/>
      <c r="LUG66" s="122"/>
      <c r="LUH66" s="122"/>
      <c r="LUI66" s="122"/>
      <c r="LUJ66" s="122"/>
      <c r="LUK66" s="122"/>
      <c r="LUL66" s="122"/>
      <c r="LUM66" s="122"/>
      <c r="LUN66" s="122"/>
      <c r="LUO66" s="122"/>
      <c r="LUP66" s="122"/>
      <c r="LUQ66" s="122"/>
      <c r="LUR66" s="122"/>
      <c r="LUS66" s="122"/>
      <c r="LUT66" s="122"/>
      <c r="LUU66" s="122"/>
      <c r="LUV66" s="122"/>
      <c r="LUW66" s="122"/>
      <c r="LUX66" s="122"/>
      <c r="LUY66" s="122"/>
      <c r="LUZ66" s="122"/>
      <c r="LVA66" s="122"/>
      <c r="LVB66" s="122"/>
      <c r="LVC66" s="122"/>
      <c r="LVD66" s="122"/>
      <c r="LVE66" s="122"/>
      <c r="LVF66" s="122"/>
      <c r="LVG66" s="122"/>
      <c r="LVH66" s="122"/>
      <c r="LVI66" s="122"/>
      <c r="LVJ66" s="122"/>
      <c r="LVK66" s="122"/>
      <c r="LVL66" s="122"/>
      <c r="LVM66" s="122"/>
      <c r="LVN66" s="122"/>
      <c r="LVO66" s="122"/>
      <c r="LVP66" s="122"/>
      <c r="LVQ66" s="122"/>
      <c r="LVR66" s="122"/>
      <c r="LVS66" s="122"/>
      <c r="LVT66" s="122"/>
      <c r="LVU66" s="122"/>
      <c r="LVV66" s="122"/>
      <c r="LVW66" s="122"/>
      <c r="LVX66" s="122"/>
      <c r="LVY66" s="122"/>
      <c r="LVZ66" s="122"/>
      <c r="LWA66" s="122"/>
      <c r="LWB66" s="122"/>
      <c r="LWC66" s="122"/>
      <c r="LWD66" s="122"/>
      <c r="LWE66" s="122"/>
      <c r="LWF66" s="122"/>
      <c r="LWG66" s="122"/>
      <c r="LWH66" s="122"/>
      <c r="LWI66" s="122"/>
      <c r="LWJ66" s="122"/>
      <c r="LWK66" s="122"/>
      <c r="LWL66" s="122"/>
      <c r="LWM66" s="122"/>
      <c r="LWN66" s="122"/>
      <c r="LWO66" s="122"/>
      <c r="LWP66" s="122"/>
      <c r="LWQ66" s="122"/>
      <c r="LWR66" s="122"/>
      <c r="LWS66" s="122"/>
      <c r="LWT66" s="122"/>
      <c r="LWU66" s="122"/>
      <c r="LWV66" s="122"/>
      <c r="LWW66" s="122"/>
      <c r="LWX66" s="122"/>
      <c r="LWY66" s="122"/>
      <c r="LWZ66" s="122"/>
      <c r="LXA66" s="122"/>
      <c r="LXB66" s="122"/>
      <c r="LXC66" s="122"/>
      <c r="LXD66" s="122"/>
      <c r="LXE66" s="122"/>
      <c r="LXF66" s="122"/>
      <c r="LXG66" s="122"/>
      <c r="LXH66" s="122"/>
      <c r="LXI66" s="122"/>
      <c r="LXJ66" s="122"/>
      <c r="LXK66" s="122"/>
      <c r="LXL66" s="122"/>
      <c r="LXM66" s="122"/>
      <c r="LXN66" s="122"/>
      <c r="LXO66" s="122"/>
      <c r="LXP66" s="122"/>
      <c r="LXQ66" s="122"/>
      <c r="LXR66" s="122"/>
      <c r="LXS66" s="122"/>
      <c r="LXT66" s="122"/>
      <c r="LXU66" s="122"/>
      <c r="LXV66" s="122"/>
      <c r="LXW66" s="122"/>
      <c r="LXX66" s="122"/>
      <c r="LXY66" s="122"/>
      <c r="LXZ66" s="122"/>
      <c r="LYA66" s="122"/>
      <c r="LYB66" s="122"/>
      <c r="LYC66" s="122"/>
      <c r="LYD66" s="122"/>
      <c r="LYE66" s="122"/>
      <c r="LYF66" s="122"/>
      <c r="LYG66" s="122"/>
      <c r="LYH66" s="122"/>
      <c r="LYI66" s="122"/>
      <c r="LYJ66" s="122"/>
      <c r="LYK66" s="122"/>
      <c r="LYL66" s="122"/>
      <c r="LYM66" s="122"/>
      <c r="LYN66" s="122"/>
      <c r="LYO66" s="122"/>
      <c r="LYP66" s="122"/>
      <c r="LYQ66" s="122"/>
      <c r="LYR66" s="122"/>
      <c r="LYS66" s="122"/>
      <c r="LYT66" s="122"/>
      <c r="LYU66" s="122"/>
      <c r="LYV66" s="122"/>
      <c r="LYW66" s="122"/>
      <c r="LYX66" s="122"/>
      <c r="LYY66" s="122"/>
      <c r="LYZ66" s="122"/>
      <c r="LZA66" s="122"/>
      <c r="LZB66" s="122"/>
      <c r="LZC66" s="122"/>
      <c r="LZD66" s="122"/>
      <c r="LZE66" s="122"/>
      <c r="LZF66" s="122"/>
      <c r="LZG66" s="122"/>
      <c r="LZH66" s="122"/>
      <c r="LZI66" s="122"/>
      <c r="LZJ66" s="122"/>
      <c r="LZK66" s="122"/>
      <c r="LZL66" s="122"/>
      <c r="LZM66" s="122"/>
      <c r="LZN66" s="122"/>
      <c r="LZO66" s="122"/>
      <c r="LZP66" s="122"/>
      <c r="LZQ66" s="122"/>
      <c r="LZR66" s="122"/>
      <c r="LZS66" s="122"/>
      <c r="LZT66" s="122"/>
      <c r="LZU66" s="122"/>
      <c r="LZV66" s="122"/>
      <c r="LZW66" s="122"/>
      <c r="LZX66" s="122"/>
      <c r="LZY66" s="122"/>
      <c r="LZZ66" s="122"/>
      <c r="MAA66" s="122"/>
      <c r="MAB66" s="122"/>
      <c r="MAC66" s="122"/>
      <c r="MAD66" s="122"/>
      <c r="MAE66" s="122"/>
      <c r="MAF66" s="122"/>
      <c r="MAG66" s="122"/>
      <c r="MAH66" s="122"/>
      <c r="MAI66" s="122"/>
      <c r="MAJ66" s="122"/>
      <c r="MAK66" s="122"/>
      <c r="MAL66" s="122"/>
      <c r="MAM66" s="122"/>
      <c r="MAN66" s="122"/>
      <c r="MAO66" s="122"/>
      <c r="MAP66" s="122"/>
      <c r="MAQ66" s="122"/>
      <c r="MAR66" s="122"/>
      <c r="MAS66" s="122"/>
      <c r="MAT66" s="122"/>
      <c r="MAU66" s="122"/>
      <c r="MAV66" s="122"/>
      <c r="MAW66" s="122"/>
      <c r="MAX66" s="122"/>
      <c r="MAY66" s="122"/>
      <c r="MAZ66" s="122"/>
      <c r="MBA66" s="122"/>
      <c r="MBB66" s="122"/>
      <c r="MBC66" s="122"/>
      <c r="MBD66" s="122"/>
      <c r="MBE66" s="122"/>
      <c r="MBF66" s="122"/>
      <c r="MBG66" s="122"/>
      <c r="MBH66" s="122"/>
      <c r="MBI66" s="122"/>
      <c r="MBJ66" s="122"/>
      <c r="MBK66" s="122"/>
      <c r="MBL66" s="122"/>
      <c r="MBM66" s="122"/>
      <c r="MBN66" s="122"/>
      <c r="MBO66" s="122"/>
      <c r="MBP66" s="122"/>
      <c r="MBQ66" s="122"/>
      <c r="MBR66" s="122"/>
      <c r="MBS66" s="122"/>
      <c r="MBT66" s="122"/>
      <c r="MBU66" s="122"/>
      <c r="MBV66" s="122"/>
      <c r="MBW66" s="122"/>
      <c r="MBX66" s="122"/>
      <c r="MBY66" s="122"/>
      <c r="MBZ66" s="122"/>
      <c r="MCA66" s="122"/>
      <c r="MCB66" s="122"/>
      <c r="MCC66" s="122"/>
      <c r="MCD66" s="122"/>
      <c r="MCE66" s="122"/>
      <c r="MCF66" s="122"/>
      <c r="MCG66" s="122"/>
      <c r="MCH66" s="122"/>
      <c r="MCI66" s="122"/>
      <c r="MCJ66" s="122"/>
      <c r="MCK66" s="122"/>
      <c r="MCL66" s="122"/>
      <c r="MCM66" s="122"/>
      <c r="MCN66" s="122"/>
      <c r="MCO66" s="122"/>
      <c r="MCP66" s="122"/>
      <c r="MCQ66" s="122"/>
      <c r="MCR66" s="122"/>
      <c r="MCS66" s="122"/>
      <c r="MCT66" s="122"/>
      <c r="MCU66" s="122"/>
      <c r="MCV66" s="122"/>
      <c r="MCW66" s="122"/>
      <c r="MCX66" s="122"/>
      <c r="MCY66" s="122"/>
      <c r="MCZ66" s="122"/>
      <c r="MDA66" s="122"/>
      <c r="MDB66" s="122"/>
      <c r="MDC66" s="122"/>
      <c r="MDD66" s="122"/>
      <c r="MDE66" s="122"/>
      <c r="MDF66" s="122"/>
      <c r="MDG66" s="122"/>
      <c r="MDH66" s="122"/>
      <c r="MDI66" s="122"/>
      <c r="MDJ66" s="122"/>
      <c r="MDK66" s="122"/>
      <c r="MDL66" s="122"/>
      <c r="MDM66" s="122"/>
      <c r="MDN66" s="122"/>
      <c r="MDO66" s="122"/>
      <c r="MDP66" s="122"/>
      <c r="MDQ66" s="122"/>
      <c r="MDR66" s="122"/>
      <c r="MDS66" s="122"/>
      <c r="MDT66" s="122"/>
      <c r="MDU66" s="122"/>
      <c r="MDV66" s="122"/>
      <c r="MDW66" s="122"/>
      <c r="MDX66" s="122"/>
      <c r="MDY66" s="122"/>
      <c r="MDZ66" s="122"/>
      <c r="MEA66" s="122"/>
      <c r="MEB66" s="122"/>
      <c r="MEC66" s="122"/>
      <c r="MED66" s="122"/>
      <c r="MEE66" s="122"/>
      <c r="MEF66" s="122"/>
      <c r="MEG66" s="122"/>
      <c r="MEH66" s="122"/>
      <c r="MEI66" s="122"/>
      <c r="MEJ66" s="122"/>
      <c r="MEK66" s="122"/>
      <c r="MEL66" s="122"/>
      <c r="MEM66" s="122"/>
      <c r="MEN66" s="122"/>
      <c r="MEO66" s="122"/>
      <c r="MEP66" s="122"/>
      <c r="MEQ66" s="122"/>
      <c r="MER66" s="122"/>
      <c r="MES66" s="122"/>
      <c r="MET66" s="122"/>
      <c r="MEU66" s="122"/>
      <c r="MEV66" s="122"/>
      <c r="MEW66" s="122"/>
      <c r="MEX66" s="122"/>
      <c r="MEY66" s="122"/>
      <c r="MEZ66" s="122"/>
      <c r="MFA66" s="122"/>
      <c r="MFB66" s="122"/>
      <c r="MFC66" s="122"/>
      <c r="MFD66" s="122"/>
      <c r="MFE66" s="122"/>
      <c r="MFF66" s="122"/>
      <c r="MFG66" s="122"/>
      <c r="MFH66" s="122"/>
      <c r="MFI66" s="122"/>
      <c r="MFJ66" s="122"/>
      <c r="MFK66" s="122"/>
      <c r="MFL66" s="122"/>
      <c r="MFM66" s="122"/>
      <c r="MFN66" s="122"/>
      <c r="MFO66" s="122"/>
      <c r="MFP66" s="122"/>
      <c r="MFQ66" s="122"/>
      <c r="MFR66" s="122"/>
      <c r="MFS66" s="122"/>
      <c r="MFT66" s="122"/>
      <c r="MFU66" s="122"/>
      <c r="MFV66" s="122"/>
      <c r="MFW66" s="122"/>
      <c r="MFX66" s="122"/>
      <c r="MFY66" s="122"/>
      <c r="MFZ66" s="122"/>
      <c r="MGA66" s="122"/>
      <c r="MGB66" s="122"/>
      <c r="MGC66" s="122"/>
      <c r="MGD66" s="122"/>
      <c r="MGE66" s="122"/>
      <c r="MGF66" s="122"/>
      <c r="MGG66" s="122"/>
      <c r="MGH66" s="122"/>
      <c r="MGI66" s="122"/>
      <c r="MGJ66" s="122"/>
      <c r="MGK66" s="122"/>
      <c r="MGL66" s="122"/>
      <c r="MGM66" s="122"/>
      <c r="MGN66" s="122"/>
      <c r="MGO66" s="122"/>
      <c r="MGP66" s="122"/>
      <c r="MGQ66" s="122"/>
      <c r="MGR66" s="122"/>
      <c r="MGS66" s="122"/>
      <c r="MGT66" s="122"/>
      <c r="MGU66" s="122"/>
      <c r="MGV66" s="122"/>
      <c r="MGW66" s="122"/>
      <c r="MGX66" s="122"/>
      <c r="MGY66" s="122"/>
      <c r="MGZ66" s="122"/>
      <c r="MHA66" s="122"/>
      <c r="MHB66" s="122"/>
      <c r="MHC66" s="122"/>
      <c r="MHD66" s="122"/>
      <c r="MHE66" s="122"/>
      <c r="MHF66" s="122"/>
      <c r="MHG66" s="122"/>
      <c r="MHH66" s="122"/>
      <c r="MHI66" s="122"/>
      <c r="MHJ66" s="122"/>
      <c r="MHK66" s="122"/>
      <c r="MHL66" s="122"/>
      <c r="MHM66" s="122"/>
      <c r="MHN66" s="122"/>
      <c r="MHO66" s="122"/>
      <c r="MHP66" s="122"/>
      <c r="MHQ66" s="122"/>
      <c r="MHR66" s="122"/>
      <c r="MHS66" s="122"/>
      <c r="MHT66" s="122"/>
      <c r="MHU66" s="122"/>
      <c r="MHV66" s="122"/>
      <c r="MHW66" s="122"/>
      <c r="MHX66" s="122"/>
      <c r="MHY66" s="122"/>
      <c r="MHZ66" s="122"/>
      <c r="MIA66" s="122"/>
      <c r="MIB66" s="122"/>
      <c r="MIC66" s="122"/>
      <c r="MID66" s="122"/>
      <c r="MIE66" s="122"/>
      <c r="MIF66" s="122"/>
      <c r="MIG66" s="122"/>
      <c r="MIH66" s="122"/>
      <c r="MII66" s="122"/>
      <c r="MIJ66" s="122"/>
      <c r="MIK66" s="122"/>
      <c r="MIL66" s="122"/>
      <c r="MIM66" s="122"/>
      <c r="MIN66" s="122"/>
      <c r="MIO66" s="122"/>
      <c r="MIP66" s="122"/>
      <c r="MIQ66" s="122"/>
      <c r="MIR66" s="122"/>
      <c r="MIS66" s="122"/>
      <c r="MIT66" s="122"/>
      <c r="MIU66" s="122"/>
      <c r="MIV66" s="122"/>
      <c r="MIW66" s="122"/>
      <c r="MIX66" s="122"/>
      <c r="MIY66" s="122"/>
      <c r="MIZ66" s="122"/>
      <c r="MJA66" s="122"/>
      <c r="MJB66" s="122"/>
      <c r="MJC66" s="122"/>
      <c r="MJD66" s="122"/>
      <c r="MJE66" s="122"/>
      <c r="MJF66" s="122"/>
      <c r="MJG66" s="122"/>
      <c r="MJH66" s="122"/>
      <c r="MJI66" s="122"/>
      <c r="MJJ66" s="122"/>
      <c r="MJK66" s="122"/>
      <c r="MJL66" s="122"/>
      <c r="MJM66" s="122"/>
      <c r="MJN66" s="122"/>
      <c r="MJO66" s="122"/>
      <c r="MJP66" s="122"/>
      <c r="MJQ66" s="122"/>
      <c r="MJR66" s="122"/>
      <c r="MJS66" s="122"/>
      <c r="MJT66" s="122"/>
      <c r="MJU66" s="122"/>
      <c r="MJV66" s="122"/>
      <c r="MJW66" s="122"/>
      <c r="MJX66" s="122"/>
      <c r="MJY66" s="122"/>
      <c r="MJZ66" s="122"/>
      <c r="MKA66" s="122"/>
      <c r="MKB66" s="122"/>
      <c r="MKC66" s="122"/>
      <c r="MKD66" s="122"/>
      <c r="MKE66" s="122"/>
      <c r="MKF66" s="122"/>
      <c r="MKG66" s="122"/>
      <c r="MKH66" s="122"/>
      <c r="MKI66" s="122"/>
      <c r="MKJ66" s="122"/>
      <c r="MKK66" s="122"/>
      <c r="MKL66" s="122"/>
      <c r="MKM66" s="122"/>
      <c r="MKN66" s="122"/>
      <c r="MKO66" s="122"/>
      <c r="MKP66" s="122"/>
      <c r="MKQ66" s="122"/>
      <c r="MKR66" s="122"/>
      <c r="MKS66" s="122"/>
      <c r="MKT66" s="122"/>
      <c r="MKU66" s="122"/>
      <c r="MKV66" s="122"/>
      <c r="MKW66" s="122"/>
      <c r="MKX66" s="122"/>
      <c r="MKY66" s="122"/>
      <c r="MKZ66" s="122"/>
      <c r="MLA66" s="122"/>
      <c r="MLB66" s="122"/>
      <c r="MLC66" s="122"/>
      <c r="MLD66" s="122"/>
      <c r="MLE66" s="122"/>
      <c r="MLF66" s="122"/>
      <c r="MLG66" s="122"/>
      <c r="MLH66" s="122"/>
      <c r="MLI66" s="122"/>
      <c r="MLJ66" s="122"/>
      <c r="MLK66" s="122"/>
      <c r="MLL66" s="122"/>
      <c r="MLM66" s="122"/>
      <c r="MLN66" s="122"/>
      <c r="MLO66" s="122"/>
      <c r="MLP66" s="122"/>
      <c r="MLQ66" s="122"/>
      <c r="MLR66" s="122"/>
      <c r="MLS66" s="122"/>
      <c r="MLT66" s="122"/>
      <c r="MLU66" s="122"/>
      <c r="MLV66" s="122"/>
      <c r="MLW66" s="122"/>
      <c r="MLX66" s="122"/>
      <c r="MLY66" s="122"/>
      <c r="MLZ66" s="122"/>
      <c r="MMA66" s="122"/>
      <c r="MMB66" s="122"/>
      <c r="MMC66" s="122"/>
      <c r="MMD66" s="122"/>
      <c r="MME66" s="122"/>
      <c r="MMF66" s="122"/>
      <c r="MMG66" s="122"/>
      <c r="MMH66" s="122"/>
      <c r="MMI66" s="122"/>
      <c r="MMJ66" s="122"/>
      <c r="MMK66" s="122"/>
      <c r="MML66" s="122"/>
      <c r="MMM66" s="122"/>
      <c r="MMN66" s="122"/>
      <c r="MMO66" s="122"/>
      <c r="MMP66" s="122"/>
      <c r="MMQ66" s="122"/>
      <c r="MMR66" s="122"/>
      <c r="MMS66" s="122"/>
      <c r="MMT66" s="122"/>
      <c r="MMU66" s="122"/>
      <c r="MMV66" s="122"/>
      <c r="MMW66" s="122"/>
      <c r="MMX66" s="122"/>
      <c r="MMY66" s="122"/>
      <c r="MMZ66" s="122"/>
      <c r="MNA66" s="122"/>
      <c r="MNB66" s="122"/>
      <c r="MNC66" s="122"/>
      <c r="MND66" s="122"/>
      <c r="MNE66" s="122"/>
      <c r="MNF66" s="122"/>
      <c r="MNG66" s="122"/>
      <c r="MNH66" s="122"/>
      <c r="MNI66" s="122"/>
      <c r="MNJ66" s="122"/>
      <c r="MNK66" s="122"/>
      <c r="MNL66" s="122"/>
      <c r="MNM66" s="122"/>
      <c r="MNN66" s="122"/>
      <c r="MNO66" s="122"/>
      <c r="MNP66" s="122"/>
      <c r="MNQ66" s="122"/>
      <c r="MNR66" s="122"/>
      <c r="MNS66" s="122"/>
      <c r="MNT66" s="122"/>
      <c r="MNU66" s="122"/>
      <c r="MNV66" s="122"/>
      <c r="MNW66" s="122"/>
      <c r="MNX66" s="122"/>
      <c r="MNY66" s="122"/>
      <c r="MNZ66" s="122"/>
      <c r="MOA66" s="122"/>
      <c r="MOB66" s="122"/>
      <c r="MOC66" s="122"/>
      <c r="MOD66" s="122"/>
      <c r="MOE66" s="122"/>
      <c r="MOF66" s="122"/>
      <c r="MOG66" s="122"/>
      <c r="MOH66" s="122"/>
      <c r="MOI66" s="122"/>
      <c r="MOJ66" s="122"/>
      <c r="MOK66" s="122"/>
      <c r="MOL66" s="122"/>
      <c r="MOM66" s="122"/>
      <c r="MON66" s="122"/>
      <c r="MOO66" s="122"/>
      <c r="MOP66" s="122"/>
      <c r="MOQ66" s="122"/>
      <c r="MOR66" s="122"/>
      <c r="MOS66" s="122"/>
      <c r="MOT66" s="122"/>
      <c r="MOU66" s="122"/>
      <c r="MOV66" s="122"/>
      <c r="MOW66" s="122"/>
      <c r="MOX66" s="122"/>
      <c r="MOY66" s="122"/>
      <c r="MOZ66" s="122"/>
      <c r="MPA66" s="122"/>
      <c r="MPB66" s="122"/>
      <c r="MPC66" s="122"/>
      <c r="MPD66" s="122"/>
      <c r="MPE66" s="122"/>
      <c r="MPF66" s="122"/>
      <c r="MPG66" s="122"/>
      <c r="MPH66" s="122"/>
      <c r="MPI66" s="122"/>
      <c r="MPJ66" s="122"/>
      <c r="MPK66" s="122"/>
      <c r="MPL66" s="122"/>
      <c r="MPM66" s="122"/>
      <c r="MPN66" s="122"/>
      <c r="MPO66" s="122"/>
      <c r="MPP66" s="122"/>
      <c r="MPQ66" s="122"/>
      <c r="MPR66" s="122"/>
      <c r="MPS66" s="122"/>
      <c r="MPT66" s="122"/>
      <c r="MPU66" s="122"/>
      <c r="MPV66" s="122"/>
      <c r="MPW66" s="122"/>
      <c r="MPX66" s="122"/>
      <c r="MPY66" s="122"/>
      <c r="MPZ66" s="122"/>
      <c r="MQA66" s="122"/>
      <c r="MQB66" s="122"/>
      <c r="MQC66" s="122"/>
      <c r="MQD66" s="122"/>
      <c r="MQE66" s="122"/>
      <c r="MQF66" s="122"/>
      <c r="MQG66" s="122"/>
      <c r="MQH66" s="122"/>
      <c r="MQI66" s="122"/>
      <c r="MQJ66" s="122"/>
      <c r="MQK66" s="122"/>
      <c r="MQL66" s="122"/>
      <c r="MQM66" s="122"/>
      <c r="MQN66" s="122"/>
      <c r="MQO66" s="122"/>
      <c r="MQP66" s="122"/>
      <c r="MQQ66" s="122"/>
      <c r="MQR66" s="122"/>
      <c r="MQS66" s="122"/>
      <c r="MQT66" s="122"/>
      <c r="MQU66" s="122"/>
      <c r="MQV66" s="122"/>
      <c r="MQW66" s="122"/>
      <c r="MQX66" s="122"/>
      <c r="MQY66" s="122"/>
      <c r="MQZ66" s="122"/>
      <c r="MRA66" s="122"/>
      <c r="MRB66" s="122"/>
      <c r="MRC66" s="122"/>
      <c r="MRD66" s="122"/>
      <c r="MRE66" s="122"/>
      <c r="MRF66" s="122"/>
      <c r="MRG66" s="122"/>
      <c r="MRH66" s="122"/>
      <c r="MRI66" s="122"/>
      <c r="MRJ66" s="122"/>
      <c r="MRK66" s="122"/>
      <c r="MRL66" s="122"/>
      <c r="MRM66" s="122"/>
      <c r="MRN66" s="122"/>
      <c r="MRO66" s="122"/>
      <c r="MRP66" s="122"/>
      <c r="MRQ66" s="122"/>
      <c r="MRR66" s="122"/>
      <c r="MRS66" s="122"/>
      <c r="MRT66" s="122"/>
      <c r="MRU66" s="122"/>
      <c r="MRV66" s="122"/>
      <c r="MRW66" s="122"/>
      <c r="MRX66" s="122"/>
      <c r="MRY66" s="122"/>
      <c r="MRZ66" s="122"/>
      <c r="MSA66" s="122"/>
      <c r="MSB66" s="122"/>
      <c r="MSC66" s="122"/>
      <c r="MSD66" s="122"/>
      <c r="MSE66" s="122"/>
      <c r="MSF66" s="122"/>
      <c r="MSG66" s="122"/>
      <c r="MSH66" s="122"/>
      <c r="MSI66" s="122"/>
      <c r="MSJ66" s="122"/>
      <c r="MSK66" s="122"/>
      <c r="MSL66" s="122"/>
      <c r="MSM66" s="122"/>
      <c r="MSN66" s="122"/>
      <c r="MSO66" s="122"/>
      <c r="MSP66" s="122"/>
      <c r="MSQ66" s="122"/>
      <c r="MSR66" s="122"/>
      <c r="MSS66" s="122"/>
      <c r="MST66" s="122"/>
      <c r="MSU66" s="122"/>
      <c r="MSV66" s="122"/>
      <c r="MSW66" s="122"/>
      <c r="MSX66" s="122"/>
      <c r="MSY66" s="122"/>
      <c r="MSZ66" s="122"/>
      <c r="MTA66" s="122"/>
      <c r="MTB66" s="122"/>
      <c r="MTC66" s="122"/>
      <c r="MTD66" s="122"/>
      <c r="MTE66" s="122"/>
      <c r="MTF66" s="122"/>
      <c r="MTG66" s="122"/>
      <c r="MTH66" s="122"/>
      <c r="MTI66" s="122"/>
      <c r="MTJ66" s="122"/>
      <c r="MTK66" s="122"/>
      <c r="MTL66" s="122"/>
      <c r="MTM66" s="122"/>
      <c r="MTN66" s="122"/>
      <c r="MTO66" s="122"/>
      <c r="MTP66" s="122"/>
      <c r="MTQ66" s="122"/>
      <c r="MTR66" s="122"/>
      <c r="MTS66" s="122"/>
      <c r="MTT66" s="122"/>
      <c r="MTU66" s="122"/>
      <c r="MTV66" s="122"/>
      <c r="MTW66" s="122"/>
      <c r="MTX66" s="122"/>
      <c r="MTY66" s="122"/>
      <c r="MTZ66" s="122"/>
      <c r="MUA66" s="122"/>
      <c r="MUB66" s="122"/>
      <c r="MUC66" s="122"/>
      <c r="MUD66" s="122"/>
      <c r="MUE66" s="122"/>
      <c r="MUF66" s="122"/>
      <c r="MUG66" s="122"/>
      <c r="MUH66" s="122"/>
      <c r="MUI66" s="122"/>
      <c r="MUJ66" s="122"/>
      <c r="MUK66" s="122"/>
      <c r="MUL66" s="122"/>
      <c r="MUM66" s="122"/>
      <c r="MUN66" s="122"/>
      <c r="MUO66" s="122"/>
      <c r="MUP66" s="122"/>
      <c r="MUQ66" s="122"/>
      <c r="MUR66" s="122"/>
      <c r="MUS66" s="122"/>
      <c r="MUT66" s="122"/>
      <c r="MUU66" s="122"/>
      <c r="MUV66" s="122"/>
      <c r="MUW66" s="122"/>
      <c r="MUX66" s="122"/>
      <c r="MUY66" s="122"/>
      <c r="MUZ66" s="122"/>
      <c r="MVA66" s="122"/>
      <c r="MVB66" s="122"/>
      <c r="MVC66" s="122"/>
      <c r="MVD66" s="122"/>
      <c r="MVE66" s="122"/>
      <c r="MVF66" s="122"/>
      <c r="MVG66" s="122"/>
      <c r="MVH66" s="122"/>
      <c r="MVI66" s="122"/>
      <c r="MVJ66" s="122"/>
      <c r="MVK66" s="122"/>
      <c r="MVL66" s="122"/>
      <c r="MVM66" s="122"/>
      <c r="MVN66" s="122"/>
      <c r="MVO66" s="122"/>
      <c r="MVP66" s="122"/>
      <c r="MVQ66" s="122"/>
      <c r="MVR66" s="122"/>
      <c r="MVS66" s="122"/>
      <c r="MVT66" s="122"/>
      <c r="MVU66" s="122"/>
      <c r="MVV66" s="122"/>
      <c r="MVW66" s="122"/>
      <c r="MVX66" s="122"/>
      <c r="MVY66" s="122"/>
      <c r="MVZ66" s="122"/>
      <c r="MWA66" s="122"/>
      <c r="MWB66" s="122"/>
      <c r="MWC66" s="122"/>
      <c r="MWD66" s="122"/>
      <c r="MWE66" s="122"/>
      <c r="MWF66" s="122"/>
      <c r="MWG66" s="122"/>
      <c r="MWH66" s="122"/>
      <c r="MWI66" s="122"/>
      <c r="MWJ66" s="122"/>
      <c r="MWK66" s="122"/>
      <c r="MWL66" s="122"/>
      <c r="MWM66" s="122"/>
      <c r="MWN66" s="122"/>
      <c r="MWO66" s="122"/>
      <c r="MWP66" s="122"/>
      <c r="MWQ66" s="122"/>
      <c r="MWR66" s="122"/>
      <c r="MWS66" s="122"/>
      <c r="MWT66" s="122"/>
      <c r="MWU66" s="122"/>
      <c r="MWV66" s="122"/>
      <c r="MWW66" s="122"/>
      <c r="MWX66" s="122"/>
      <c r="MWY66" s="122"/>
      <c r="MWZ66" s="122"/>
      <c r="MXA66" s="122"/>
      <c r="MXB66" s="122"/>
      <c r="MXC66" s="122"/>
      <c r="MXD66" s="122"/>
      <c r="MXE66" s="122"/>
      <c r="MXF66" s="122"/>
      <c r="MXG66" s="122"/>
      <c r="MXH66" s="122"/>
      <c r="MXI66" s="122"/>
      <c r="MXJ66" s="122"/>
      <c r="MXK66" s="122"/>
      <c r="MXL66" s="122"/>
      <c r="MXM66" s="122"/>
      <c r="MXN66" s="122"/>
      <c r="MXO66" s="122"/>
      <c r="MXP66" s="122"/>
      <c r="MXQ66" s="122"/>
      <c r="MXR66" s="122"/>
      <c r="MXS66" s="122"/>
      <c r="MXT66" s="122"/>
      <c r="MXU66" s="122"/>
      <c r="MXV66" s="122"/>
      <c r="MXW66" s="122"/>
      <c r="MXX66" s="122"/>
      <c r="MXY66" s="122"/>
      <c r="MXZ66" s="122"/>
      <c r="MYA66" s="122"/>
      <c r="MYB66" s="122"/>
      <c r="MYC66" s="122"/>
      <c r="MYD66" s="122"/>
      <c r="MYE66" s="122"/>
      <c r="MYF66" s="122"/>
      <c r="MYG66" s="122"/>
      <c r="MYH66" s="122"/>
      <c r="MYI66" s="122"/>
      <c r="MYJ66" s="122"/>
      <c r="MYK66" s="122"/>
      <c r="MYL66" s="122"/>
      <c r="MYM66" s="122"/>
      <c r="MYN66" s="122"/>
      <c r="MYO66" s="122"/>
      <c r="MYP66" s="122"/>
      <c r="MYQ66" s="122"/>
      <c r="MYR66" s="122"/>
      <c r="MYS66" s="122"/>
      <c r="MYT66" s="122"/>
      <c r="MYU66" s="122"/>
      <c r="MYV66" s="122"/>
      <c r="MYW66" s="122"/>
      <c r="MYX66" s="122"/>
      <c r="MYY66" s="122"/>
      <c r="MYZ66" s="122"/>
      <c r="MZA66" s="122"/>
      <c r="MZB66" s="122"/>
      <c r="MZC66" s="122"/>
      <c r="MZD66" s="122"/>
      <c r="MZE66" s="122"/>
      <c r="MZF66" s="122"/>
      <c r="MZG66" s="122"/>
      <c r="MZH66" s="122"/>
      <c r="MZI66" s="122"/>
      <c r="MZJ66" s="122"/>
      <c r="MZK66" s="122"/>
      <c r="MZL66" s="122"/>
      <c r="MZM66" s="122"/>
      <c r="MZN66" s="122"/>
      <c r="MZO66" s="122"/>
      <c r="MZP66" s="122"/>
      <c r="MZQ66" s="122"/>
      <c r="MZR66" s="122"/>
      <c r="MZS66" s="122"/>
      <c r="MZT66" s="122"/>
      <c r="MZU66" s="122"/>
      <c r="MZV66" s="122"/>
      <c r="MZW66" s="122"/>
      <c r="MZX66" s="122"/>
      <c r="MZY66" s="122"/>
      <c r="MZZ66" s="122"/>
      <c r="NAA66" s="122"/>
      <c r="NAB66" s="122"/>
      <c r="NAC66" s="122"/>
      <c r="NAD66" s="122"/>
      <c r="NAE66" s="122"/>
      <c r="NAF66" s="122"/>
      <c r="NAG66" s="122"/>
      <c r="NAH66" s="122"/>
      <c r="NAI66" s="122"/>
      <c r="NAJ66" s="122"/>
      <c r="NAK66" s="122"/>
      <c r="NAL66" s="122"/>
      <c r="NAM66" s="122"/>
      <c r="NAN66" s="122"/>
      <c r="NAO66" s="122"/>
      <c r="NAP66" s="122"/>
      <c r="NAQ66" s="122"/>
      <c r="NAR66" s="122"/>
      <c r="NAS66" s="122"/>
      <c r="NAT66" s="122"/>
      <c r="NAU66" s="122"/>
      <c r="NAV66" s="122"/>
      <c r="NAW66" s="122"/>
      <c r="NAX66" s="122"/>
      <c r="NAY66" s="122"/>
      <c r="NAZ66" s="122"/>
      <c r="NBA66" s="122"/>
      <c r="NBB66" s="122"/>
      <c r="NBC66" s="122"/>
      <c r="NBD66" s="122"/>
      <c r="NBE66" s="122"/>
      <c r="NBF66" s="122"/>
      <c r="NBG66" s="122"/>
      <c r="NBH66" s="122"/>
      <c r="NBI66" s="122"/>
      <c r="NBJ66" s="122"/>
      <c r="NBK66" s="122"/>
      <c r="NBL66" s="122"/>
      <c r="NBM66" s="122"/>
      <c r="NBN66" s="122"/>
      <c r="NBO66" s="122"/>
      <c r="NBP66" s="122"/>
      <c r="NBQ66" s="122"/>
      <c r="NBR66" s="122"/>
      <c r="NBS66" s="122"/>
      <c r="NBT66" s="122"/>
      <c r="NBU66" s="122"/>
      <c r="NBV66" s="122"/>
      <c r="NBW66" s="122"/>
      <c r="NBX66" s="122"/>
      <c r="NBY66" s="122"/>
      <c r="NBZ66" s="122"/>
      <c r="NCA66" s="122"/>
      <c r="NCB66" s="122"/>
      <c r="NCC66" s="122"/>
      <c r="NCD66" s="122"/>
      <c r="NCE66" s="122"/>
      <c r="NCF66" s="122"/>
      <c r="NCG66" s="122"/>
      <c r="NCH66" s="122"/>
      <c r="NCI66" s="122"/>
      <c r="NCJ66" s="122"/>
      <c r="NCK66" s="122"/>
      <c r="NCL66" s="122"/>
      <c r="NCM66" s="122"/>
      <c r="NCN66" s="122"/>
      <c r="NCO66" s="122"/>
      <c r="NCP66" s="122"/>
      <c r="NCQ66" s="122"/>
      <c r="NCR66" s="122"/>
      <c r="NCS66" s="122"/>
      <c r="NCT66" s="122"/>
      <c r="NCU66" s="122"/>
      <c r="NCV66" s="122"/>
      <c r="NCW66" s="122"/>
      <c r="NCX66" s="122"/>
      <c r="NCY66" s="122"/>
      <c r="NCZ66" s="122"/>
      <c r="NDA66" s="122"/>
      <c r="NDB66" s="122"/>
      <c r="NDC66" s="122"/>
      <c r="NDD66" s="122"/>
      <c r="NDE66" s="122"/>
      <c r="NDF66" s="122"/>
      <c r="NDG66" s="122"/>
      <c r="NDH66" s="122"/>
      <c r="NDI66" s="122"/>
      <c r="NDJ66" s="122"/>
      <c r="NDK66" s="122"/>
      <c r="NDL66" s="122"/>
      <c r="NDM66" s="122"/>
      <c r="NDN66" s="122"/>
      <c r="NDO66" s="122"/>
      <c r="NDP66" s="122"/>
      <c r="NDQ66" s="122"/>
      <c r="NDR66" s="122"/>
      <c r="NDS66" s="122"/>
      <c r="NDT66" s="122"/>
      <c r="NDU66" s="122"/>
      <c r="NDV66" s="122"/>
      <c r="NDW66" s="122"/>
      <c r="NDX66" s="122"/>
      <c r="NDY66" s="122"/>
      <c r="NDZ66" s="122"/>
      <c r="NEA66" s="122"/>
      <c r="NEB66" s="122"/>
      <c r="NEC66" s="122"/>
      <c r="NED66" s="122"/>
      <c r="NEE66" s="122"/>
      <c r="NEF66" s="122"/>
      <c r="NEG66" s="122"/>
      <c r="NEH66" s="122"/>
      <c r="NEI66" s="122"/>
      <c r="NEJ66" s="122"/>
      <c r="NEK66" s="122"/>
      <c r="NEL66" s="122"/>
      <c r="NEM66" s="122"/>
      <c r="NEN66" s="122"/>
      <c r="NEO66" s="122"/>
      <c r="NEP66" s="122"/>
      <c r="NEQ66" s="122"/>
      <c r="NER66" s="122"/>
      <c r="NES66" s="122"/>
      <c r="NET66" s="122"/>
      <c r="NEU66" s="122"/>
      <c r="NEV66" s="122"/>
      <c r="NEW66" s="122"/>
      <c r="NEX66" s="122"/>
      <c r="NEY66" s="122"/>
      <c r="NEZ66" s="122"/>
      <c r="NFA66" s="122"/>
      <c r="NFB66" s="122"/>
      <c r="NFC66" s="122"/>
      <c r="NFD66" s="122"/>
      <c r="NFE66" s="122"/>
      <c r="NFF66" s="122"/>
      <c r="NFG66" s="122"/>
      <c r="NFH66" s="122"/>
      <c r="NFI66" s="122"/>
      <c r="NFJ66" s="122"/>
      <c r="NFK66" s="122"/>
      <c r="NFL66" s="122"/>
      <c r="NFM66" s="122"/>
      <c r="NFN66" s="122"/>
      <c r="NFO66" s="122"/>
      <c r="NFP66" s="122"/>
      <c r="NFQ66" s="122"/>
      <c r="NFR66" s="122"/>
      <c r="NFS66" s="122"/>
      <c r="NFT66" s="122"/>
      <c r="NFU66" s="122"/>
      <c r="NFV66" s="122"/>
      <c r="NFW66" s="122"/>
      <c r="NFX66" s="122"/>
      <c r="NFY66" s="122"/>
      <c r="NFZ66" s="122"/>
      <c r="NGA66" s="122"/>
      <c r="NGB66" s="122"/>
      <c r="NGC66" s="122"/>
      <c r="NGD66" s="122"/>
      <c r="NGE66" s="122"/>
      <c r="NGF66" s="122"/>
      <c r="NGG66" s="122"/>
      <c r="NGH66" s="122"/>
      <c r="NGI66" s="122"/>
      <c r="NGJ66" s="122"/>
      <c r="NGK66" s="122"/>
      <c r="NGL66" s="122"/>
      <c r="NGM66" s="122"/>
      <c r="NGN66" s="122"/>
      <c r="NGO66" s="122"/>
      <c r="NGP66" s="122"/>
      <c r="NGQ66" s="122"/>
      <c r="NGR66" s="122"/>
      <c r="NGS66" s="122"/>
      <c r="NGT66" s="122"/>
      <c r="NGU66" s="122"/>
      <c r="NGV66" s="122"/>
      <c r="NGW66" s="122"/>
      <c r="NGX66" s="122"/>
      <c r="NGY66" s="122"/>
      <c r="NGZ66" s="122"/>
      <c r="NHA66" s="122"/>
      <c r="NHB66" s="122"/>
      <c r="NHC66" s="122"/>
      <c r="NHD66" s="122"/>
      <c r="NHE66" s="122"/>
      <c r="NHF66" s="122"/>
      <c r="NHG66" s="122"/>
      <c r="NHH66" s="122"/>
      <c r="NHI66" s="122"/>
      <c r="NHJ66" s="122"/>
      <c r="NHK66" s="122"/>
      <c r="NHL66" s="122"/>
      <c r="NHM66" s="122"/>
      <c r="NHN66" s="122"/>
      <c r="NHO66" s="122"/>
      <c r="NHP66" s="122"/>
      <c r="NHQ66" s="122"/>
      <c r="NHR66" s="122"/>
      <c r="NHS66" s="122"/>
      <c r="NHT66" s="122"/>
      <c r="NHU66" s="122"/>
      <c r="NHV66" s="122"/>
      <c r="NHW66" s="122"/>
      <c r="NHX66" s="122"/>
      <c r="NHY66" s="122"/>
      <c r="NHZ66" s="122"/>
      <c r="NIA66" s="122"/>
      <c r="NIB66" s="122"/>
      <c r="NIC66" s="122"/>
      <c r="NID66" s="122"/>
      <c r="NIE66" s="122"/>
      <c r="NIF66" s="122"/>
      <c r="NIG66" s="122"/>
      <c r="NIH66" s="122"/>
      <c r="NII66" s="122"/>
      <c r="NIJ66" s="122"/>
      <c r="NIK66" s="122"/>
      <c r="NIL66" s="122"/>
      <c r="NIM66" s="122"/>
      <c r="NIN66" s="122"/>
      <c r="NIO66" s="122"/>
      <c r="NIP66" s="122"/>
      <c r="NIQ66" s="122"/>
      <c r="NIR66" s="122"/>
      <c r="NIS66" s="122"/>
      <c r="NIT66" s="122"/>
      <c r="NIU66" s="122"/>
      <c r="NIV66" s="122"/>
      <c r="NIW66" s="122"/>
      <c r="NIX66" s="122"/>
      <c r="NIY66" s="122"/>
      <c r="NIZ66" s="122"/>
      <c r="NJA66" s="122"/>
      <c r="NJB66" s="122"/>
      <c r="NJC66" s="122"/>
      <c r="NJD66" s="122"/>
      <c r="NJE66" s="122"/>
      <c r="NJF66" s="122"/>
      <c r="NJG66" s="122"/>
      <c r="NJH66" s="122"/>
      <c r="NJI66" s="122"/>
      <c r="NJJ66" s="122"/>
      <c r="NJK66" s="122"/>
      <c r="NJL66" s="122"/>
      <c r="NJM66" s="122"/>
      <c r="NJN66" s="122"/>
      <c r="NJO66" s="122"/>
      <c r="NJP66" s="122"/>
      <c r="NJQ66" s="122"/>
      <c r="NJR66" s="122"/>
      <c r="NJS66" s="122"/>
      <c r="NJT66" s="122"/>
      <c r="NJU66" s="122"/>
      <c r="NJV66" s="122"/>
      <c r="NJW66" s="122"/>
      <c r="NJX66" s="122"/>
      <c r="NJY66" s="122"/>
      <c r="NJZ66" s="122"/>
      <c r="NKA66" s="122"/>
      <c r="NKB66" s="122"/>
      <c r="NKC66" s="122"/>
      <c r="NKD66" s="122"/>
      <c r="NKE66" s="122"/>
      <c r="NKF66" s="122"/>
      <c r="NKG66" s="122"/>
      <c r="NKH66" s="122"/>
      <c r="NKI66" s="122"/>
      <c r="NKJ66" s="122"/>
      <c r="NKK66" s="122"/>
      <c r="NKL66" s="122"/>
      <c r="NKM66" s="122"/>
      <c r="NKN66" s="122"/>
      <c r="NKO66" s="122"/>
      <c r="NKP66" s="122"/>
      <c r="NKQ66" s="122"/>
      <c r="NKR66" s="122"/>
      <c r="NKS66" s="122"/>
      <c r="NKT66" s="122"/>
      <c r="NKU66" s="122"/>
      <c r="NKV66" s="122"/>
      <c r="NKW66" s="122"/>
      <c r="NKX66" s="122"/>
      <c r="NKY66" s="122"/>
      <c r="NKZ66" s="122"/>
      <c r="NLA66" s="122"/>
      <c r="NLB66" s="122"/>
      <c r="NLC66" s="122"/>
      <c r="NLD66" s="122"/>
      <c r="NLE66" s="122"/>
      <c r="NLF66" s="122"/>
      <c r="NLG66" s="122"/>
      <c r="NLH66" s="122"/>
      <c r="NLI66" s="122"/>
      <c r="NLJ66" s="122"/>
      <c r="NLK66" s="122"/>
      <c r="NLL66" s="122"/>
      <c r="NLM66" s="122"/>
      <c r="NLN66" s="122"/>
      <c r="NLO66" s="122"/>
      <c r="NLP66" s="122"/>
      <c r="NLQ66" s="122"/>
      <c r="NLR66" s="122"/>
      <c r="NLS66" s="122"/>
      <c r="NLT66" s="122"/>
      <c r="NLU66" s="122"/>
      <c r="NLV66" s="122"/>
      <c r="NLW66" s="122"/>
      <c r="NLX66" s="122"/>
      <c r="NLY66" s="122"/>
      <c r="NLZ66" s="122"/>
      <c r="NMA66" s="122"/>
      <c r="NMB66" s="122"/>
      <c r="NMC66" s="122"/>
      <c r="NMD66" s="122"/>
      <c r="NME66" s="122"/>
      <c r="NMF66" s="122"/>
      <c r="NMG66" s="122"/>
      <c r="NMH66" s="122"/>
      <c r="NMI66" s="122"/>
      <c r="NMJ66" s="122"/>
      <c r="NMK66" s="122"/>
      <c r="NML66" s="122"/>
      <c r="NMM66" s="122"/>
      <c r="NMN66" s="122"/>
      <c r="NMO66" s="122"/>
      <c r="NMP66" s="122"/>
      <c r="NMQ66" s="122"/>
      <c r="NMR66" s="122"/>
      <c r="NMS66" s="122"/>
      <c r="NMT66" s="122"/>
      <c r="NMU66" s="122"/>
      <c r="NMV66" s="122"/>
      <c r="NMW66" s="122"/>
      <c r="NMX66" s="122"/>
      <c r="NMY66" s="122"/>
      <c r="NMZ66" s="122"/>
      <c r="NNA66" s="122"/>
      <c r="NNB66" s="122"/>
      <c r="NNC66" s="122"/>
      <c r="NND66" s="122"/>
      <c r="NNE66" s="122"/>
      <c r="NNF66" s="122"/>
      <c r="NNG66" s="122"/>
      <c r="NNH66" s="122"/>
      <c r="NNI66" s="122"/>
      <c r="NNJ66" s="122"/>
      <c r="NNK66" s="122"/>
      <c r="NNL66" s="122"/>
      <c r="NNM66" s="122"/>
      <c r="NNN66" s="122"/>
      <c r="NNO66" s="122"/>
      <c r="NNP66" s="122"/>
      <c r="NNQ66" s="122"/>
      <c r="NNR66" s="122"/>
      <c r="NNS66" s="122"/>
      <c r="NNT66" s="122"/>
      <c r="NNU66" s="122"/>
      <c r="NNV66" s="122"/>
      <c r="NNW66" s="122"/>
      <c r="NNX66" s="122"/>
      <c r="NNY66" s="122"/>
      <c r="NNZ66" s="122"/>
      <c r="NOA66" s="122"/>
      <c r="NOB66" s="122"/>
      <c r="NOC66" s="122"/>
      <c r="NOD66" s="122"/>
      <c r="NOE66" s="122"/>
      <c r="NOF66" s="122"/>
      <c r="NOG66" s="122"/>
      <c r="NOH66" s="122"/>
      <c r="NOI66" s="122"/>
      <c r="NOJ66" s="122"/>
      <c r="NOK66" s="122"/>
      <c r="NOL66" s="122"/>
      <c r="NOM66" s="122"/>
      <c r="NON66" s="122"/>
      <c r="NOO66" s="122"/>
      <c r="NOP66" s="122"/>
      <c r="NOQ66" s="122"/>
      <c r="NOR66" s="122"/>
      <c r="NOS66" s="122"/>
      <c r="NOT66" s="122"/>
      <c r="NOU66" s="122"/>
      <c r="NOV66" s="122"/>
      <c r="NOW66" s="122"/>
      <c r="NOX66" s="122"/>
      <c r="NOY66" s="122"/>
      <c r="NOZ66" s="122"/>
      <c r="NPA66" s="122"/>
      <c r="NPB66" s="122"/>
      <c r="NPC66" s="122"/>
      <c r="NPD66" s="122"/>
      <c r="NPE66" s="122"/>
      <c r="NPF66" s="122"/>
      <c r="NPG66" s="122"/>
      <c r="NPH66" s="122"/>
      <c r="NPI66" s="122"/>
      <c r="NPJ66" s="122"/>
      <c r="NPK66" s="122"/>
      <c r="NPL66" s="122"/>
      <c r="NPM66" s="122"/>
      <c r="NPN66" s="122"/>
      <c r="NPO66" s="122"/>
      <c r="NPP66" s="122"/>
      <c r="NPQ66" s="122"/>
      <c r="NPR66" s="122"/>
      <c r="NPS66" s="122"/>
      <c r="NPT66" s="122"/>
      <c r="NPU66" s="122"/>
      <c r="NPV66" s="122"/>
      <c r="NPW66" s="122"/>
      <c r="NPX66" s="122"/>
      <c r="NPY66" s="122"/>
      <c r="NPZ66" s="122"/>
      <c r="NQA66" s="122"/>
      <c r="NQB66" s="122"/>
      <c r="NQC66" s="122"/>
      <c r="NQD66" s="122"/>
      <c r="NQE66" s="122"/>
      <c r="NQF66" s="122"/>
      <c r="NQG66" s="122"/>
      <c r="NQH66" s="122"/>
      <c r="NQI66" s="122"/>
      <c r="NQJ66" s="122"/>
      <c r="NQK66" s="122"/>
      <c r="NQL66" s="122"/>
      <c r="NQM66" s="122"/>
      <c r="NQN66" s="122"/>
      <c r="NQO66" s="122"/>
      <c r="NQP66" s="122"/>
      <c r="NQQ66" s="122"/>
      <c r="NQR66" s="122"/>
      <c r="NQS66" s="122"/>
      <c r="NQT66" s="122"/>
      <c r="NQU66" s="122"/>
      <c r="NQV66" s="122"/>
      <c r="NQW66" s="122"/>
      <c r="NQX66" s="122"/>
      <c r="NQY66" s="122"/>
      <c r="NQZ66" s="122"/>
      <c r="NRA66" s="122"/>
      <c r="NRB66" s="122"/>
      <c r="NRC66" s="122"/>
      <c r="NRD66" s="122"/>
      <c r="NRE66" s="122"/>
      <c r="NRF66" s="122"/>
      <c r="NRG66" s="122"/>
      <c r="NRH66" s="122"/>
      <c r="NRI66" s="122"/>
      <c r="NRJ66" s="122"/>
      <c r="NRK66" s="122"/>
      <c r="NRL66" s="122"/>
      <c r="NRM66" s="122"/>
      <c r="NRN66" s="122"/>
      <c r="NRO66" s="122"/>
      <c r="NRP66" s="122"/>
      <c r="NRQ66" s="122"/>
      <c r="NRR66" s="122"/>
      <c r="NRS66" s="122"/>
      <c r="NRT66" s="122"/>
      <c r="NRU66" s="122"/>
      <c r="NRV66" s="122"/>
      <c r="NRW66" s="122"/>
      <c r="NRX66" s="122"/>
      <c r="NRY66" s="122"/>
      <c r="NRZ66" s="122"/>
      <c r="NSA66" s="122"/>
      <c r="NSB66" s="122"/>
      <c r="NSC66" s="122"/>
      <c r="NSD66" s="122"/>
      <c r="NSE66" s="122"/>
      <c r="NSF66" s="122"/>
      <c r="NSG66" s="122"/>
      <c r="NSH66" s="122"/>
      <c r="NSI66" s="122"/>
      <c r="NSJ66" s="122"/>
      <c r="NSK66" s="122"/>
      <c r="NSL66" s="122"/>
      <c r="NSM66" s="122"/>
      <c r="NSN66" s="122"/>
      <c r="NSO66" s="122"/>
      <c r="NSP66" s="122"/>
      <c r="NSQ66" s="122"/>
      <c r="NSR66" s="122"/>
      <c r="NSS66" s="122"/>
      <c r="NST66" s="122"/>
      <c r="NSU66" s="122"/>
      <c r="NSV66" s="122"/>
      <c r="NSW66" s="122"/>
      <c r="NSX66" s="122"/>
      <c r="NSY66" s="122"/>
      <c r="NSZ66" s="122"/>
      <c r="NTA66" s="122"/>
      <c r="NTB66" s="122"/>
      <c r="NTC66" s="122"/>
      <c r="NTD66" s="122"/>
      <c r="NTE66" s="122"/>
      <c r="NTF66" s="122"/>
      <c r="NTG66" s="122"/>
      <c r="NTH66" s="122"/>
      <c r="NTI66" s="122"/>
      <c r="NTJ66" s="122"/>
      <c r="NTK66" s="122"/>
      <c r="NTL66" s="122"/>
      <c r="NTM66" s="122"/>
      <c r="NTN66" s="122"/>
      <c r="NTO66" s="122"/>
      <c r="NTP66" s="122"/>
      <c r="NTQ66" s="122"/>
      <c r="NTR66" s="122"/>
      <c r="NTS66" s="122"/>
      <c r="NTT66" s="122"/>
      <c r="NTU66" s="122"/>
      <c r="NTV66" s="122"/>
      <c r="NTW66" s="122"/>
      <c r="NTX66" s="122"/>
      <c r="NTY66" s="122"/>
      <c r="NTZ66" s="122"/>
      <c r="NUA66" s="122"/>
      <c r="NUB66" s="122"/>
      <c r="NUC66" s="122"/>
      <c r="NUD66" s="122"/>
      <c r="NUE66" s="122"/>
      <c r="NUF66" s="122"/>
      <c r="NUG66" s="122"/>
      <c r="NUH66" s="122"/>
      <c r="NUI66" s="122"/>
      <c r="NUJ66" s="122"/>
      <c r="NUK66" s="122"/>
      <c r="NUL66" s="122"/>
      <c r="NUM66" s="122"/>
      <c r="NUN66" s="122"/>
      <c r="NUO66" s="122"/>
      <c r="NUP66" s="122"/>
      <c r="NUQ66" s="122"/>
      <c r="NUR66" s="122"/>
      <c r="NUS66" s="122"/>
      <c r="NUT66" s="122"/>
      <c r="NUU66" s="122"/>
      <c r="NUV66" s="122"/>
      <c r="NUW66" s="122"/>
      <c r="NUX66" s="122"/>
      <c r="NUY66" s="122"/>
      <c r="NUZ66" s="122"/>
      <c r="NVA66" s="122"/>
      <c r="NVB66" s="122"/>
      <c r="NVC66" s="122"/>
      <c r="NVD66" s="122"/>
      <c r="NVE66" s="122"/>
      <c r="NVF66" s="122"/>
      <c r="NVG66" s="122"/>
      <c r="NVH66" s="122"/>
      <c r="NVI66" s="122"/>
      <c r="NVJ66" s="122"/>
      <c r="NVK66" s="122"/>
      <c r="NVL66" s="122"/>
      <c r="NVM66" s="122"/>
      <c r="NVN66" s="122"/>
      <c r="NVO66" s="122"/>
      <c r="NVP66" s="122"/>
      <c r="NVQ66" s="122"/>
      <c r="NVR66" s="122"/>
      <c r="NVS66" s="122"/>
      <c r="NVT66" s="122"/>
      <c r="NVU66" s="122"/>
      <c r="NVV66" s="122"/>
      <c r="NVW66" s="122"/>
      <c r="NVX66" s="122"/>
      <c r="NVY66" s="122"/>
      <c r="NVZ66" s="122"/>
      <c r="NWA66" s="122"/>
      <c r="NWB66" s="122"/>
      <c r="NWC66" s="122"/>
      <c r="NWD66" s="122"/>
      <c r="NWE66" s="122"/>
      <c r="NWF66" s="122"/>
      <c r="NWG66" s="122"/>
      <c r="NWH66" s="122"/>
      <c r="NWI66" s="122"/>
      <c r="NWJ66" s="122"/>
      <c r="NWK66" s="122"/>
      <c r="NWL66" s="122"/>
      <c r="NWM66" s="122"/>
      <c r="NWN66" s="122"/>
      <c r="NWO66" s="122"/>
      <c r="NWP66" s="122"/>
      <c r="NWQ66" s="122"/>
      <c r="NWR66" s="122"/>
      <c r="NWS66" s="122"/>
      <c r="NWT66" s="122"/>
      <c r="NWU66" s="122"/>
      <c r="NWV66" s="122"/>
      <c r="NWW66" s="122"/>
      <c r="NWX66" s="122"/>
      <c r="NWY66" s="122"/>
      <c r="NWZ66" s="122"/>
      <c r="NXA66" s="122"/>
      <c r="NXB66" s="122"/>
      <c r="NXC66" s="122"/>
      <c r="NXD66" s="122"/>
      <c r="NXE66" s="122"/>
      <c r="NXF66" s="122"/>
      <c r="NXG66" s="122"/>
      <c r="NXH66" s="122"/>
      <c r="NXI66" s="122"/>
      <c r="NXJ66" s="122"/>
      <c r="NXK66" s="122"/>
      <c r="NXL66" s="122"/>
      <c r="NXM66" s="122"/>
      <c r="NXN66" s="122"/>
      <c r="NXO66" s="122"/>
      <c r="NXP66" s="122"/>
      <c r="NXQ66" s="122"/>
      <c r="NXR66" s="122"/>
      <c r="NXS66" s="122"/>
      <c r="NXT66" s="122"/>
      <c r="NXU66" s="122"/>
      <c r="NXV66" s="122"/>
      <c r="NXW66" s="122"/>
      <c r="NXX66" s="122"/>
      <c r="NXY66" s="122"/>
      <c r="NXZ66" s="122"/>
      <c r="NYA66" s="122"/>
      <c r="NYB66" s="122"/>
      <c r="NYC66" s="122"/>
      <c r="NYD66" s="122"/>
      <c r="NYE66" s="122"/>
      <c r="NYF66" s="122"/>
      <c r="NYG66" s="122"/>
      <c r="NYH66" s="122"/>
      <c r="NYI66" s="122"/>
      <c r="NYJ66" s="122"/>
      <c r="NYK66" s="122"/>
      <c r="NYL66" s="122"/>
      <c r="NYM66" s="122"/>
      <c r="NYN66" s="122"/>
      <c r="NYO66" s="122"/>
      <c r="NYP66" s="122"/>
      <c r="NYQ66" s="122"/>
      <c r="NYR66" s="122"/>
      <c r="NYS66" s="122"/>
      <c r="NYT66" s="122"/>
      <c r="NYU66" s="122"/>
      <c r="NYV66" s="122"/>
      <c r="NYW66" s="122"/>
      <c r="NYX66" s="122"/>
      <c r="NYY66" s="122"/>
      <c r="NYZ66" s="122"/>
      <c r="NZA66" s="122"/>
      <c r="NZB66" s="122"/>
      <c r="NZC66" s="122"/>
      <c r="NZD66" s="122"/>
      <c r="NZE66" s="122"/>
      <c r="NZF66" s="122"/>
      <c r="NZG66" s="122"/>
      <c r="NZH66" s="122"/>
      <c r="NZI66" s="122"/>
      <c r="NZJ66" s="122"/>
      <c r="NZK66" s="122"/>
      <c r="NZL66" s="122"/>
      <c r="NZM66" s="122"/>
      <c r="NZN66" s="122"/>
      <c r="NZO66" s="122"/>
      <c r="NZP66" s="122"/>
      <c r="NZQ66" s="122"/>
      <c r="NZR66" s="122"/>
      <c r="NZS66" s="122"/>
      <c r="NZT66" s="122"/>
      <c r="NZU66" s="122"/>
      <c r="NZV66" s="122"/>
      <c r="NZW66" s="122"/>
      <c r="NZX66" s="122"/>
      <c r="NZY66" s="122"/>
      <c r="NZZ66" s="122"/>
      <c r="OAA66" s="122"/>
      <c r="OAB66" s="122"/>
      <c r="OAC66" s="122"/>
      <c r="OAD66" s="122"/>
      <c r="OAE66" s="122"/>
      <c r="OAF66" s="122"/>
      <c r="OAG66" s="122"/>
      <c r="OAH66" s="122"/>
      <c r="OAI66" s="122"/>
      <c r="OAJ66" s="122"/>
      <c r="OAK66" s="122"/>
      <c r="OAL66" s="122"/>
      <c r="OAM66" s="122"/>
      <c r="OAN66" s="122"/>
      <c r="OAO66" s="122"/>
      <c r="OAP66" s="122"/>
      <c r="OAQ66" s="122"/>
      <c r="OAR66" s="122"/>
      <c r="OAS66" s="122"/>
      <c r="OAT66" s="122"/>
      <c r="OAU66" s="122"/>
      <c r="OAV66" s="122"/>
      <c r="OAW66" s="122"/>
      <c r="OAX66" s="122"/>
      <c r="OAY66" s="122"/>
      <c r="OAZ66" s="122"/>
      <c r="OBA66" s="122"/>
      <c r="OBB66" s="122"/>
      <c r="OBC66" s="122"/>
      <c r="OBD66" s="122"/>
      <c r="OBE66" s="122"/>
      <c r="OBF66" s="122"/>
      <c r="OBG66" s="122"/>
      <c r="OBH66" s="122"/>
      <c r="OBI66" s="122"/>
      <c r="OBJ66" s="122"/>
      <c r="OBK66" s="122"/>
      <c r="OBL66" s="122"/>
      <c r="OBM66" s="122"/>
      <c r="OBN66" s="122"/>
      <c r="OBO66" s="122"/>
      <c r="OBP66" s="122"/>
      <c r="OBQ66" s="122"/>
      <c r="OBR66" s="122"/>
      <c r="OBS66" s="122"/>
      <c r="OBT66" s="122"/>
      <c r="OBU66" s="122"/>
      <c r="OBV66" s="122"/>
      <c r="OBW66" s="122"/>
      <c r="OBX66" s="122"/>
      <c r="OBY66" s="122"/>
      <c r="OBZ66" s="122"/>
      <c r="OCA66" s="122"/>
      <c r="OCB66" s="122"/>
      <c r="OCC66" s="122"/>
      <c r="OCD66" s="122"/>
      <c r="OCE66" s="122"/>
      <c r="OCF66" s="122"/>
      <c r="OCG66" s="122"/>
      <c r="OCH66" s="122"/>
      <c r="OCI66" s="122"/>
      <c r="OCJ66" s="122"/>
      <c r="OCK66" s="122"/>
      <c r="OCL66" s="122"/>
      <c r="OCM66" s="122"/>
      <c r="OCN66" s="122"/>
      <c r="OCO66" s="122"/>
      <c r="OCP66" s="122"/>
      <c r="OCQ66" s="122"/>
      <c r="OCR66" s="122"/>
      <c r="OCS66" s="122"/>
      <c r="OCT66" s="122"/>
      <c r="OCU66" s="122"/>
      <c r="OCV66" s="122"/>
      <c r="OCW66" s="122"/>
      <c r="OCX66" s="122"/>
      <c r="OCY66" s="122"/>
      <c r="OCZ66" s="122"/>
      <c r="ODA66" s="122"/>
      <c r="ODB66" s="122"/>
      <c r="ODC66" s="122"/>
      <c r="ODD66" s="122"/>
      <c r="ODE66" s="122"/>
      <c r="ODF66" s="122"/>
      <c r="ODG66" s="122"/>
      <c r="ODH66" s="122"/>
      <c r="ODI66" s="122"/>
      <c r="ODJ66" s="122"/>
      <c r="ODK66" s="122"/>
      <c r="ODL66" s="122"/>
      <c r="ODM66" s="122"/>
      <c r="ODN66" s="122"/>
      <c r="ODO66" s="122"/>
      <c r="ODP66" s="122"/>
      <c r="ODQ66" s="122"/>
      <c r="ODR66" s="122"/>
      <c r="ODS66" s="122"/>
      <c r="ODT66" s="122"/>
      <c r="ODU66" s="122"/>
      <c r="ODV66" s="122"/>
      <c r="ODW66" s="122"/>
      <c r="ODX66" s="122"/>
      <c r="ODY66" s="122"/>
      <c r="ODZ66" s="122"/>
      <c r="OEA66" s="122"/>
      <c r="OEB66" s="122"/>
      <c r="OEC66" s="122"/>
      <c r="OED66" s="122"/>
      <c r="OEE66" s="122"/>
      <c r="OEF66" s="122"/>
      <c r="OEG66" s="122"/>
      <c r="OEH66" s="122"/>
      <c r="OEI66" s="122"/>
      <c r="OEJ66" s="122"/>
      <c r="OEK66" s="122"/>
      <c r="OEL66" s="122"/>
      <c r="OEM66" s="122"/>
      <c r="OEN66" s="122"/>
      <c r="OEO66" s="122"/>
      <c r="OEP66" s="122"/>
      <c r="OEQ66" s="122"/>
      <c r="OER66" s="122"/>
      <c r="OES66" s="122"/>
      <c r="OET66" s="122"/>
      <c r="OEU66" s="122"/>
      <c r="OEV66" s="122"/>
      <c r="OEW66" s="122"/>
      <c r="OEX66" s="122"/>
      <c r="OEY66" s="122"/>
      <c r="OEZ66" s="122"/>
      <c r="OFA66" s="122"/>
      <c r="OFB66" s="122"/>
      <c r="OFC66" s="122"/>
      <c r="OFD66" s="122"/>
      <c r="OFE66" s="122"/>
      <c r="OFF66" s="122"/>
      <c r="OFG66" s="122"/>
      <c r="OFH66" s="122"/>
      <c r="OFI66" s="122"/>
      <c r="OFJ66" s="122"/>
      <c r="OFK66" s="122"/>
      <c r="OFL66" s="122"/>
      <c r="OFM66" s="122"/>
      <c r="OFN66" s="122"/>
      <c r="OFO66" s="122"/>
      <c r="OFP66" s="122"/>
      <c r="OFQ66" s="122"/>
      <c r="OFR66" s="122"/>
      <c r="OFS66" s="122"/>
      <c r="OFT66" s="122"/>
      <c r="OFU66" s="122"/>
      <c r="OFV66" s="122"/>
      <c r="OFW66" s="122"/>
      <c r="OFX66" s="122"/>
      <c r="OFY66" s="122"/>
      <c r="OFZ66" s="122"/>
      <c r="OGA66" s="122"/>
      <c r="OGB66" s="122"/>
      <c r="OGC66" s="122"/>
      <c r="OGD66" s="122"/>
      <c r="OGE66" s="122"/>
      <c r="OGF66" s="122"/>
      <c r="OGG66" s="122"/>
      <c r="OGH66" s="122"/>
      <c r="OGI66" s="122"/>
      <c r="OGJ66" s="122"/>
      <c r="OGK66" s="122"/>
      <c r="OGL66" s="122"/>
      <c r="OGM66" s="122"/>
      <c r="OGN66" s="122"/>
      <c r="OGO66" s="122"/>
      <c r="OGP66" s="122"/>
      <c r="OGQ66" s="122"/>
      <c r="OGR66" s="122"/>
      <c r="OGS66" s="122"/>
      <c r="OGT66" s="122"/>
      <c r="OGU66" s="122"/>
      <c r="OGV66" s="122"/>
      <c r="OGW66" s="122"/>
      <c r="OGX66" s="122"/>
      <c r="OGY66" s="122"/>
      <c r="OGZ66" s="122"/>
      <c r="OHA66" s="122"/>
      <c r="OHB66" s="122"/>
      <c r="OHC66" s="122"/>
      <c r="OHD66" s="122"/>
      <c r="OHE66" s="122"/>
      <c r="OHF66" s="122"/>
      <c r="OHG66" s="122"/>
      <c r="OHH66" s="122"/>
      <c r="OHI66" s="122"/>
      <c r="OHJ66" s="122"/>
      <c r="OHK66" s="122"/>
      <c r="OHL66" s="122"/>
      <c r="OHM66" s="122"/>
      <c r="OHN66" s="122"/>
      <c r="OHO66" s="122"/>
      <c r="OHP66" s="122"/>
      <c r="OHQ66" s="122"/>
      <c r="OHR66" s="122"/>
      <c r="OHS66" s="122"/>
      <c r="OHT66" s="122"/>
      <c r="OHU66" s="122"/>
      <c r="OHV66" s="122"/>
      <c r="OHW66" s="122"/>
      <c r="OHX66" s="122"/>
      <c r="OHY66" s="122"/>
      <c r="OHZ66" s="122"/>
      <c r="OIA66" s="122"/>
      <c r="OIB66" s="122"/>
      <c r="OIC66" s="122"/>
      <c r="OID66" s="122"/>
      <c r="OIE66" s="122"/>
      <c r="OIF66" s="122"/>
      <c r="OIG66" s="122"/>
      <c r="OIH66" s="122"/>
      <c r="OII66" s="122"/>
      <c r="OIJ66" s="122"/>
      <c r="OIK66" s="122"/>
      <c r="OIL66" s="122"/>
      <c r="OIM66" s="122"/>
      <c r="OIN66" s="122"/>
      <c r="OIO66" s="122"/>
      <c r="OIP66" s="122"/>
      <c r="OIQ66" s="122"/>
      <c r="OIR66" s="122"/>
      <c r="OIS66" s="122"/>
      <c r="OIT66" s="122"/>
      <c r="OIU66" s="122"/>
      <c r="OIV66" s="122"/>
      <c r="OIW66" s="122"/>
      <c r="OIX66" s="122"/>
      <c r="OIY66" s="122"/>
      <c r="OIZ66" s="122"/>
      <c r="OJA66" s="122"/>
      <c r="OJB66" s="122"/>
      <c r="OJC66" s="122"/>
      <c r="OJD66" s="122"/>
      <c r="OJE66" s="122"/>
      <c r="OJF66" s="122"/>
      <c r="OJG66" s="122"/>
      <c r="OJH66" s="122"/>
      <c r="OJI66" s="122"/>
      <c r="OJJ66" s="122"/>
      <c r="OJK66" s="122"/>
      <c r="OJL66" s="122"/>
      <c r="OJM66" s="122"/>
      <c r="OJN66" s="122"/>
      <c r="OJO66" s="122"/>
      <c r="OJP66" s="122"/>
      <c r="OJQ66" s="122"/>
      <c r="OJR66" s="122"/>
      <c r="OJS66" s="122"/>
      <c r="OJT66" s="122"/>
      <c r="OJU66" s="122"/>
      <c r="OJV66" s="122"/>
      <c r="OJW66" s="122"/>
      <c r="OJX66" s="122"/>
      <c r="OJY66" s="122"/>
      <c r="OJZ66" s="122"/>
      <c r="OKA66" s="122"/>
      <c r="OKB66" s="122"/>
      <c r="OKC66" s="122"/>
      <c r="OKD66" s="122"/>
      <c r="OKE66" s="122"/>
      <c r="OKF66" s="122"/>
      <c r="OKG66" s="122"/>
      <c r="OKH66" s="122"/>
      <c r="OKI66" s="122"/>
      <c r="OKJ66" s="122"/>
      <c r="OKK66" s="122"/>
      <c r="OKL66" s="122"/>
      <c r="OKM66" s="122"/>
      <c r="OKN66" s="122"/>
      <c r="OKO66" s="122"/>
      <c r="OKP66" s="122"/>
      <c r="OKQ66" s="122"/>
      <c r="OKR66" s="122"/>
      <c r="OKS66" s="122"/>
      <c r="OKT66" s="122"/>
      <c r="OKU66" s="122"/>
      <c r="OKV66" s="122"/>
      <c r="OKW66" s="122"/>
      <c r="OKX66" s="122"/>
      <c r="OKY66" s="122"/>
      <c r="OKZ66" s="122"/>
      <c r="OLA66" s="122"/>
      <c r="OLB66" s="122"/>
      <c r="OLC66" s="122"/>
      <c r="OLD66" s="122"/>
      <c r="OLE66" s="122"/>
      <c r="OLF66" s="122"/>
      <c r="OLG66" s="122"/>
      <c r="OLH66" s="122"/>
      <c r="OLI66" s="122"/>
      <c r="OLJ66" s="122"/>
      <c r="OLK66" s="122"/>
      <c r="OLL66" s="122"/>
      <c r="OLM66" s="122"/>
      <c r="OLN66" s="122"/>
      <c r="OLO66" s="122"/>
      <c r="OLP66" s="122"/>
      <c r="OLQ66" s="122"/>
      <c r="OLR66" s="122"/>
      <c r="OLS66" s="122"/>
      <c r="OLT66" s="122"/>
      <c r="OLU66" s="122"/>
      <c r="OLV66" s="122"/>
      <c r="OLW66" s="122"/>
      <c r="OLX66" s="122"/>
      <c r="OLY66" s="122"/>
      <c r="OLZ66" s="122"/>
      <c r="OMA66" s="122"/>
      <c r="OMB66" s="122"/>
      <c r="OMC66" s="122"/>
      <c r="OMD66" s="122"/>
      <c r="OME66" s="122"/>
      <c r="OMF66" s="122"/>
      <c r="OMG66" s="122"/>
      <c r="OMH66" s="122"/>
      <c r="OMI66" s="122"/>
      <c r="OMJ66" s="122"/>
      <c r="OMK66" s="122"/>
      <c r="OML66" s="122"/>
      <c r="OMM66" s="122"/>
      <c r="OMN66" s="122"/>
      <c r="OMO66" s="122"/>
      <c r="OMP66" s="122"/>
      <c r="OMQ66" s="122"/>
      <c r="OMR66" s="122"/>
      <c r="OMS66" s="122"/>
      <c r="OMT66" s="122"/>
      <c r="OMU66" s="122"/>
      <c r="OMV66" s="122"/>
      <c r="OMW66" s="122"/>
      <c r="OMX66" s="122"/>
      <c r="OMY66" s="122"/>
      <c r="OMZ66" s="122"/>
      <c r="ONA66" s="122"/>
      <c r="ONB66" s="122"/>
      <c r="ONC66" s="122"/>
      <c r="OND66" s="122"/>
      <c r="ONE66" s="122"/>
      <c r="ONF66" s="122"/>
      <c r="ONG66" s="122"/>
      <c r="ONH66" s="122"/>
      <c r="ONI66" s="122"/>
      <c r="ONJ66" s="122"/>
      <c r="ONK66" s="122"/>
      <c r="ONL66" s="122"/>
      <c r="ONM66" s="122"/>
      <c r="ONN66" s="122"/>
      <c r="ONO66" s="122"/>
      <c r="ONP66" s="122"/>
      <c r="ONQ66" s="122"/>
      <c r="ONR66" s="122"/>
      <c r="ONS66" s="122"/>
      <c r="ONT66" s="122"/>
      <c r="ONU66" s="122"/>
      <c r="ONV66" s="122"/>
      <c r="ONW66" s="122"/>
      <c r="ONX66" s="122"/>
      <c r="ONY66" s="122"/>
      <c r="ONZ66" s="122"/>
      <c r="OOA66" s="122"/>
      <c r="OOB66" s="122"/>
      <c r="OOC66" s="122"/>
      <c r="OOD66" s="122"/>
      <c r="OOE66" s="122"/>
      <c r="OOF66" s="122"/>
      <c r="OOG66" s="122"/>
      <c r="OOH66" s="122"/>
      <c r="OOI66" s="122"/>
      <c r="OOJ66" s="122"/>
      <c r="OOK66" s="122"/>
      <c r="OOL66" s="122"/>
      <c r="OOM66" s="122"/>
      <c r="OON66" s="122"/>
      <c r="OOO66" s="122"/>
      <c r="OOP66" s="122"/>
      <c r="OOQ66" s="122"/>
      <c r="OOR66" s="122"/>
      <c r="OOS66" s="122"/>
      <c r="OOT66" s="122"/>
      <c r="OOU66" s="122"/>
      <c r="OOV66" s="122"/>
      <c r="OOW66" s="122"/>
      <c r="OOX66" s="122"/>
      <c r="OOY66" s="122"/>
      <c r="OOZ66" s="122"/>
      <c r="OPA66" s="122"/>
      <c r="OPB66" s="122"/>
      <c r="OPC66" s="122"/>
      <c r="OPD66" s="122"/>
      <c r="OPE66" s="122"/>
      <c r="OPF66" s="122"/>
      <c r="OPG66" s="122"/>
      <c r="OPH66" s="122"/>
      <c r="OPI66" s="122"/>
      <c r="OPJ66" s="122"/>
      <c r="OPK66" s="122"/>
      <c r="OPL66" s="122"/>
      <c r="OPM66" s="122"/>
      <c r="OPN66" s="122"/>
      <c r="OPO66" s="122"/>
      <c r="OPP66" s="122"/>
      <c r="OPQ66" s="122"/>
      <c r="OPR66" s="122"/>
      <c r="OPS66" s="122"/>
      <c r="OPT66" s="122"/>
      <c r="OPU66" s="122"/>
      <c r="OPV66" s="122"/>
      <c r="OPW66" s="122"/>
      <c r="OPX66" s="122"/>
      <c r="OPY66" s="122"/>
      <c r="OPZ66" s="122"/>
      <c r="OQA66" s="122"/>
      <c r="OQB66" s="122"/>
      <c r="OQC66" s="122"/>
      <c r="OQD66" s="122"/>
      <c r="OQE66" s="122"/>
      <c r="OQF66" s="122"/>
      <c r="OQG66" s="122"/>
      <c r="OQH66" s="122"/>
      <c r="OQI66" s="122"/>
      <c r="OQJ66" s="122"/>
      <c r="OQK66" s="122"/>
      <c r="OQL66" s="122"/>
      <c r="OQM66" s="122"/>
      <c r="OQN66" s="122"/>
      <c r="OQO66" s="122"/>
      <c r="OQP66" s="122"/>
      <c r="OQQ66" s="122"/>
      <c r="OQR66" s="122"/>
      <c r="OQS66" s="122"/>
      <c r="OQT66" s="122"/>
      <c r="OQU66" s="122"/>
      <c r="OQV66" s="122"/>
      <c r="OQW66" s="122"/>
      <c r="OQX66" s="122"/>
      <c r="OQY66" s="122"/>
      <c r="OQZ66" s="122"/>
      <c r="ORA66" s="122"/>
      <c r="ORB66" s="122"/>
      <c r="ORC66" s="122"/>
      <c r="ORD66" s="122"/>
      <c r="ORE66" s="122"/>
      <c r="ORF66" s="122"/>
      <c r="ORG66" s="122"/>
      <c r="ORH66" s="122"/>
      <c r="ORI66" s="122"/>
      <c r="ORJ66" s="122"/>
      <c r="ORK66" s="122"/>
      <c r="ORL66" s="122"/>
      <c r="ORM66" s="122"/>
      <c r="ORN66" s="122"/>
      <c r="ORO66" s="122"/>
      <c r="ORP66" s="122"/>
      <c r="ORQ66" s="122"/>
      <c r="ORR66" s="122"/>
      <c r="ORS66" s="122"/>
      <c r="ORT66" s="122"/>
      <c r="ORU66" s="122"/>
      <c r="ORV66" s="122"/>
      <c r="ORW66" s="122"/>
      <c r="ORX66" s="122"/>
      <c r="ORY66" s="122"/>
      <c r="ORZ66" s="122"/>
      <c r="OSA66" s="122"/>
      <c r="OSB66" s="122"/>
      <c r="OSC66" s="122"/>
      <c r="OSD66" s="122"/>
      <c r="OSE66" s="122"/>
      <c r="OSF66" s="122"/>
      <c r="OSG66" s="122"/>
      <c r="OSH66" s="122"/>
      <c r="OSI66" s="122"/>
      <c r="OSJ66" s="122"/>
      <c r="OSK66" s="122"/>
      <c r="OSL66" s="122"/>
      <c r="OSM66" s="122"/>
      <c r="OSN66" s="122"/>
      <c r="OSO66" s="122"/>
      <c r="OSP66" s="122"/>
      <c r="OSQ66" s="122"/>
      <c r="OSR66" s="122"/>
      <c r="OSS66" s="122"/>
      <c r="OST66" s="122"/>
      <c r="OSU66" s="122"/>
      <c r="OSV66" s="122"/>
      <c r="OSW66" s="122"/>
      <c r="OSX66" s="122"/>
      <c r="OSY66" s="122"/>
      <c r="OSZ66" s="122"/>
      <c r="OTA66" s="122"/>
      <c r="OTB66" s="122"/>
      <c r="OTC66" s="122"/>
      <c r="OTD66" s="122"/>
      <c r="OTE66" s="122"/>
      <c r="OTF66" s="122"/>
      <c r="OTG66" s="122"/>
      <c r="OTH66" s="122"/>
      <c r="OTI66" s="122"/>
      <c r="OTJ66" s="122"/>
      <c r="OTK66" s="122"/>
      <c r="OTL66" s="122"/>
      <c r="OTM66" s="122"/>
      <c r="OTN66" s="122"/>
      <c r="OTO66" s="122"/>
      <c r="OTP66" s="122"/>
      <c r="OTQ66" s="122"/>
      <c r="OTR66" s="122"/>
      <c r="OTS66" s="122"/>
      <c r="OTT66" s="122"/>
      <c r="OTU66" s="122"/>
      <c r="OTV66" s="122"/>
      <c r="OTW66" s="122"/>
      <c r="OTX66" s="122"/>
      <c r="OTY66" s="122"/>
      <c r="OTZ66" s="122"/>
      <c r="OUA66" s="122"/>
      <c r="OUB66" s="122"/>
      <c r="OUC66" s="122"/>
      <c r="OUD66" s="122"/>
      <c r="OUE66" s="122"/>
      <c r="OUF66" s="122"/>
      <c r="OUG66" s="122"/>
      <c r="OUH66" s="122"/>
      <c r="OUI66" s="122"/>
      <c r="OUJ66" s="122"/>
      <c r="OUK66" s="122"/>
      <c r="OUL66" s="122"/>
      <c r="OUM66" s="122"/>
      <c r="OUN66" s="122"/>
      <c r="OUO66" s="122"/>
      <c r="OUP66" s="122"/>
      <c r="OUQ66" s="122"/>
      <c r="OUR66" s="122"/>
      <c r="OUS66" s="122"/>
      <c r="OUT66" s="122"/>
      <c r="OUU66" s="122"/>
      <c r="OUV66" s="122"/>
      <c r="OUW66" s="122"/>
      <c r="OUX66" s="122"/>
      <c r="OUY66" s="122"/>
      <c r="OUZ66" s="122"/>
      <c r="OVA66" s="122"/>
      <c r="OVB66" s="122"/>
      <c r="OVC66" s="122"/>
      <c r="OVD66" s="122"/>
      <c r="OVE66" s="122"/>
      <c r="OVF66" s="122"/>
      <c r="OVG66" s="122"/>
      <c r="OVH66" s="122"/>
      <c r="OVI66" s="122"/>
      <c r="OVJ66" s="122"/>
      <c r="OVK66" s="122"/>
      <c r="OVL66" s="122"/>
      <c r="OVM66" s="122"/>
      <c r="OVN66" s="122"/>
      <c r="OVO66" s="122"/>
      <c r="OVP66" s="122"/>
      <c r="OVQ66" s="122"/>
      <c r="OVR66" s="122"/>
      <c r="OVS66" s="122"/>
      <c r="OVT66" s="122"/>
      <c r="OVU66" s="122"/>
      <c r="OVV66" s="122"/>
      <c r="OVW66" s="122"/>
      <c r="OVX66" s="122"/>
      <c r="OVY66" s="122"/>
      <c r="OVZ66" s="122"/>
      <c r="OWA66" s="122"/>
      <c r="OWB66" s="122"/>
      <c r="OWC66" s="122"/>
      <c r="OWD66" s="122"/>
      <c r="OWE66" s="122"/>
      <c r="OWF66" s="122"/>
      <c r="OWG66" s="122"/>
      <c r="OWH66" s="122"/>
      <c r="OWI66" s="122"/>
      <c r="OWJ66" s="122"/>
      <c r="OWK66" s="122"/>
      <c r="OWL66" s="122"/>
      <c r="OWM66" s="122"/>
      <c r="OWN66" s="122"/>
      <c r="OWO66" s="122"/>
      <c r="OWP66" s="122"/>
      <c r="OWQ66" s="122"/>
      <c r="OWR66" s="122"/>
      <c r="OWS66" s="122"/>
      <c r="OWT66" s="122"/>
      <c r="OWU66" s="122"/>
      <c r="OWV66" s="122"/>
      <c r="OWW66" s="122"/>
      <c r="OWX66" s="122"/>
      <c r="OWY66" s="122"/>
      <c r="OWZ66" s="122"/>
      <c r="OXA66" s="122"/>
      <c r="OXB66" s="122"/>
      <c r="OXC66" s="122"/>
      <c r="OXD66" s="122"/>
      <c r="OXE66" s="122"/>
      <c r="OXF66" s="122"/>
      <c r="OXG66" s="122"/>
      <c r="OXH66" s="122"/>
      <c r="OXI66" s="122"/>
      <c r="OXJ66" s="122"/>
      <c r="OXK66" s="122"/>
      <c r="OXL66" s="122"/>
      <c r="OXM66" s="122"/>
      <c r="OXN66" s="122"/>
      <c r="OXO66" s="122"/>
      <c r="OXP66" s="122"/>
      <c r="OXQ66" s="122"/>
      <c r="OXR66" s="122"/>
      <c r="OXS66" s="122"/>
      <c r="OXT66" s="122"/>
      <c r="OXU66" s="122"/>
      <c r="OXV66" s="122"/>
      <c r="OXW66" s="122"/>
      <c r="OXX66" s="122"/>
      <c r="OXY66" s="122"/>
      <c r="OXZ66" s="122"/>
      <c r="OYA66" s="122"/>
      <c r="OYB66" s="122"/>
      <c r="OYC66" s="122"/>
      <c r="OYD66" s="122"/>
      <c r="OYE66" s="122"/>
      <c r="OYF66" s="122"/>
      <c r="OYG66" s="122"/>
      <c r="OYH66" s="122"/>
      <c r="OYI66" s="122"/>
      <c r="OYJ66" s="122"/>
      <c r="OYK66" s="122"/>
      <c r="OYL66" s="122"/>
      <c r="OYM66" s="122"/>
      <c r="OYN66" s="122"/>
      <c r="OYO66" s="122"/>
      <c r="OYP66" s="122"/>
      <c r="OYQ66" s="122"/>
      <c r="OYR66" s="122"/>
      <c r="OYS66" s="122"/>
      <c r="OYT66" s="122"/>
      <c r="OYU66" s="122"/>
      <c r="OYV66" s="122"/>
      <c r="OYW66" s="122"/>
      <c r="OYX66" s="122"/>
      <c r="OYY66" s="122"/>
      <c r="OYZ66" s="122"/>
      <c r="OZA66" s="122"/>
      <c r="OZB66" s="122"/>
      <c r="OZC66" s="122"/>
      <c r="OZD66" s="122"/>
      <c r="OZE66" s="122"/>
      <c r="OZF66" s="122"/>
      <c r="OZG66" s="122"/>
      <c r="OZH66" s="122"/>
      <c r="OZI66" s="122"/>
      <c r="OZJ66" s="122"/>
      <c r="OZK66" s="122"/>
      <c r="OZL66" s="122"/>
      <c r="OZM66" s="122"/>
      <c r="OZN66" s="122"/>
      <c r="OZO66" s="122"/>
      <c r="OZP66" s="122"/>
      <c r="OZQ66" s="122"/>
      <c r="OZR66" s="122"/>
      <c r="OZS66" s="122"/>
      <c r="OZT66" s="122"/>
      <c r="OZU66" s="122"/>
      <c r="OZV66" s="122"/>
      <c r="OZW66" s="122"/>
      <c r="OZX66" s="122"/>
      <c r="OZY66" s="122"/>
      <c r="OZZ66" s="122"/>
      <c r="PAA66" s="122"/>
      <c r="PAB66" s="122"/>
      <c r="PAC66" s="122"/>
      <c r="PAD66" s="122"/>
      <c r="PAE66" s="122"/>
      <c r="PAF66" s="122"/>
      <c r="PAG66" s="122"/>
      <c r="PAH66" s="122"/>
      <c r="PAI66" s="122"/>
      <c r="PAJ66" s="122"/>
      <c r="PAK66" s="122"/>
      <c r="PAL66" s="122"/>
      <c r="PAM66" s="122"/>
      <c r="PAN66" s="122"/>
      <c r="PAO66" s="122"/>
      <c r="PAP66" s="122"/>
      <c r="PAQ66" s="122"/>
      <c r="PAR66" s="122"/>
      <c r="PAS66" s="122"/>
      <c r="PAT66" s="122"/>
      <c r="PAU66" s="122"/>
      <c r="PAV66" s="122"/>
      <c r="PAW66" s="122"/>
      <c r="PAX66" s="122"/>
      <c r="PAY66" s="122"/>
      <c r="PAZ66" s="122"/>
      <c r="PBA66" s="122"/>
      <c r="PBB66" s="122"/>
      <c r="PBC66" s="122"/>
      <c r="PBD66" s="122"/>
      <c r="PBE66" s="122"/>
      <c r="PBF66" s="122"/>
      <c r="PBG66" s="122"/>
      <c r="PBH66" s="122"/>
      <c r="PBI66" s="122"/>
      <c r="PBJ66" s="122"/>
      <c r="PBK66" s="122"/>
      <c r="PBL66" s="122"/>
      <c r="PBM66" s="122"/>
      <c r="PBN66" s="122"/>
      <c r="PBO66" s="122"/>
      <c r="PBP66" s="122"/>
      <c r="PBQ66" s="122"/>
      <c r="PBR66" s="122"/>
      <c r="PBS66" s="122"/>
      <c r="PBT66" s="122"/>
      <c r="PBU66" s="122"/>
      <c r="PBV66" s="122"/>
      <c r="PBW66" s="122"/>
      <c r="PBX66" s="122"/>
      <c r="PBY66" s="122"/>
      <c r="PBZ66" s="122"/>
      <c r="PCA66" s="122"/>
      <c r="PCB66" s="122"/>
      <c r="PCC66" s="122"/>
      <c r="PCD66" s="122"/>
      <c r="PCE66" s="122"/>
      <c r="PCF66" s="122"/>
      <c r="PCG66" s="122"/>
      <c r="PCH66" s="122"/>
      <c r="PCI66" s="122"/>
      <c r="PCJ66" s="122"/>
      <c r="PCK66" s="122"/>
      <c r="PCL66" s="122"/>
      <c r="PCM66" s="122"/>
      <c r="PCN66" s="122"/>
      <c r="PCO66" s="122"/>
      <c r="PCP66" s="122"/>
      <c r="PCQ66" s="122"/>
      <c r="PCR66" s="122"/>
      <c r="PCS66" s="122"/>
      <c r="PCT66" s="122"/>
      <c r="PCU66" s="122"/>
      <c r="PCV66" s="122"/>
      <c r="PCW66" s="122"/>
      <c r="PCX66" s="122"/>
      <c r="PCY66" s="122"/>
      <c r="PCZ66" s="122"/>
      <c r="PDA66" s="122"/>
      <c r="PDB66" s="122"/>
      <c r="PDC66" s="122"/>
      <c r="PDD66" s="122"/>
      <c r="PDE66" s="122"/>
      <c r="PDF66" s="122"/>
      <c r="PDG66" s="122"/>
      <c r="PDH66" s="122"/>
      <c r="PDI66" s="122"/>
      <c r="PDJ66" s="122"/>
      <c r="PDK66" s="122"/>
      <c r="PDL66" s="122"/>
      <c r="PDM66" s="122"/>
      <c r="PDN66" s="122"/>
      <c r="PDO66" s="122"/>
      <c r="PDP66" s="122"/>
      <c r="PDQ66" s="122"/>
      <c r="PDR66" s="122"/>
      <c r="PDS66" s="122"/>
      <c r="PDT66" s="122"/>
      <c r="PDU66" s="122"/>
      <c r="PDV66" s="122"/>
      <c r="PDW66" s="122"/>
      <c r="PDX66" s="122"/>
      <c r="PDY66" s="122"/>
      <c r="PDZ66" s="122"/>
      <c r="PEA66" s="122"/>
      <c r="PEB66" s="122"/>
      <c r="PEC66" s="122"/>
      <c r="PED66" s="122"/>
      <c r="PEE66" s="122"/>
      <c r="PEF66" s="122"/>
      <c r="PEG66" s="122"/>
      <c r="PEH66" s="122"/>
      <c r="PEI66" s="122"/>
      <c r="PEJ66" s="122"/>
      <c r="PEK66" s="122"/>
      <c r="PEL66" s="122"/>
      <c r="PEM66" s="122"/>
      <c r="PEN66" s="122"/>
      <c r="PEO66" s="122"/>
      <c r="PEP66" s="122"/>
      <c r="PEQ66" s="122"/>
      <c r="PER66" s="122"/>
      <c r="PES66" s="122"/>
      <c r="PET66" s="122"/>
      <c r="PEU66" s="122"/>
      <c r="PEV66" s="122"/>
      <c r="PEW66" s="122"/>
      <c r="PEX66" s="122"/>
      <c r="PEY66" s="122"/>
      <c r="PEZ66" s="122"/>
      <c r="PFA66" s="122"/>
      <c r="PFB66" s="122"/>
      <c r="PFC66" s="122"/>
      <c r="PFD66" s="122"/>
      <c r="PFE66" s="122"/>
      <c r="PFF66" s="122"/>
      <c r="PFG66" s="122"/>
      <c r="PFH66" s="122"/>
      <c r="PFI66" s="122"/>
      <c r="PFJ66" s="122"/>
      <c r="PFK66" s="122"/>
      <c r="PFL66" s="122"/>
      <c r="PFM66" s="122"/>
      <c r="PFN66" s="122"/>
      <c r="PFO66" s="122"/>
      <c r="PFP66" s="122"/>
      <c r="PFQ66" s="122"/>
      <c r="PFR66" s="122"/>
      <c r="PFS66" s="122"/>
      <c r="PFT66" s="122"/>
      <c r="PFU66" s="122"/>
      <c r="PFV66" s="122"/>
      <c r="PFW66" s="122"/>
      <c r="PFX66" s="122"/>
      <c r="PFY66" s="122"/>
      <c r="PFZ66" s="122"/>
      <c r="PGA66" s="122"/>
      <c r="PGB66" s="122"/>
      <c r="PGC66" s="122"/>
      <c r="PGD66" s="122"/>
      <c r="PGE66" s="122"/>
      <c r="PGF66" s="122"/>
      <c r="PGG66" s="122"/>
      <c r="PGH66" s="122"/>
      <c r="PGI66" s="122"/>
      <c r="PGJ66" s="122"/>
      <c r="PGK66" s="122"/>
      <c r="PGL66" s="122"/>
      <c r="PGM66" s="122"/>
      <c r="PGN66" s="122"/>
      <c r="PGO66" s="122"/>
      <c r="PGP66" s="122"/>
      <c r="PGQ66" s="122"/>
      <c r="PGR66" s="122"/>
      <c r="PGS66" s="122"/>
      <c r="PGT66" s="122"/>
      <c r="PGU66" s="122"/>
      <c r="PGV66" s="122"/>
      <c r="PGW66" s="122"/>
      <c r="PGX66" s="122"/>
      <c r="PGY66" s="122"/>
      <c r="PGZ66" s="122"/>
      <c r="PHA66" s="122"/>
      <c r="PHB66" s="122"/>
      <c r="PHC66" s="122"/>
      <c r="PHD66" s="122"/>
      <c r="PHE66" s="122"/>
      <c r="PHF66" s="122"/>
      <c r="PHG66" s="122"/>
      <c r="PHH66" s="122"/>
      <c r="PHI66" s="122"/>
      <c r="PHJ66" s="122"/>
      <c r="PHK66" s="122"/>
      <c r="PHL66" s="122"/>
      <c r="PHM66" s="122"/>
      <c r="PHN66" s="122"/>
      <c r="PHO66" s="122"/>
      <c r="PHP66" s="122"/>
      <c r="PHQ66" s="122"/>
      <c r="PHR66" s="122"/>
      <c r="PHS66" s="122"/>
      <c r="PHT66" s="122"/>
      <c r="PHU66" s="122"/>
      <c r="PHV66" s="122"/>
      <c r="PHW66" s="122"/>
      <c r="PHX66" s="122"/>
      <c r="PHY66" s="122"/>
      <c r="PHZ66" s="122"/>
      <c r="PIA66" s="122"/>
      <c r="PIB66" s="122"/>
      <c r="PIC66" s="122"/>
      <c r="PID66" s="122"/>
      <c r="PIE66" s="122"/>
      <c r="PIF66" s="122"/>
      <c r="PIG66" s="122"/>
      <c r="PIH66" s="122"/>
      <c r="PII66" s="122"/>
      <c r="PIJ66" s="122"/>
      <c r="PIK66" s="122"/>
      <c r="PIL66" s="122"/>
      <c r="PIM66" s="122"/>
      <c r="PIN66" s="122"/>
      <c r="PIO66" s="122"/>
      <c r="PIP66" s="122"/>
      <c r="PIQ66" s="122"/>
      <c r="PIR66" s="122"/>
      <c r="PIS66" s="122"/>
      <c r="PIT66" s="122"/>
      <c r="PIU66" s="122"/>
      <c r="PIV66" s="122"/>
      <c r="PIW66" s="122"/>
      <c r="PIX66" s="122"/>
      <c r="PIY66" s="122"/>
      <c r="PIZ66" s="122"/>
      <c r="PJA66" s="122"/>
      <c r="PJB66" s="122"/>
      <c r="PJC66" s="122"/>
      <c r="PJD66" s="122"/>
      <c r="PJE66" s="122"/>
      <c r="PJF66" s="122"/>
      <c r="PJG66" s="122"/>
      <c r="PJH66" s="122"/>
      <c r="PJI66" s="122"/>
      <c r="PJJ66" s="122"/>
      <c r="PJK66" s="122"/>
      <c r="PJL66" s="122"/>
      <c r="PJM66" s="122"/>
      <c r="PJN66" s="122"/>
      <c r="PJO66" s="122"/>
      <c r="PJP66" s="122"/>
      <c r="PJQ66" s="122"/>
      <c r="PJR66" s="122"/>
      <c r="PJS66" s="122"/>
      <c r="PJT66" s="122"/>
      <c r="PJU66" s="122"/>
      <c r="PJV66" s="122"/>
      <c r="PJW66" s="122"/>
      <c r="PJX66" s="122"/>
      <c r="PJY66" s="122"/>
      <c r="PJZ66" s="122"/>
      <c r="PKA66" s="122"/>
      <c r="PKB66" s="122"/>
      <c r="PKC66" s="122"/>
      <c r="PKD66" s="122"/>
      <c r="PKE66" s="122"/>
      <c r="PKF66" s="122"/>
      <c r="PKG66" s="122"/>
      <c r="PKH66" s="122"/>
      <c r="PKI66" s="122"/>
      <c r="PKJ66" s="122"/>
      <c r="PKK66" s="122"/>
      <c r="PKL66" s="122"/>
      <c r="PKM66" s="122"/>
      <c r="PKN66" s="122"/>
      <c r="PKO66" s="122"/>
      <c r="PKP66" s="122"/>
      <c r="PKQ66" s="122"/>
      <c r="PKR66" s="122"/>
      <c r="PKS66" s="122"/>
      <c r="PKT66" s="122"/>
      <c r="PKU66" s="122"/>
      <c r="PKV66" s="122"/>
      <c r="PKW66" s="122"/>
      <c r="PKX66" s="122"/>
      <c r="PKY66" s="122"/>
      <c r="PKZ66" s="122"/>
      <c r="PLA66" s="122"/>
      <c r="PLB66" s="122"/>
      <c r="PLC66" s="122"/>
      <c r="PLD66" s="122"/>
      <c r="PLE66" s="122"/>
      <c r="PLF66" s="122"/>
      <c r="PLG66" s="122"/>
      <c r="PLH66" s="122"/>
      <c r="PLI66" s="122"/>
      <c r="PLJ66" s="122"/>
      <c r="PLK66" s="122"/>
      <c r="PLL66" s="122"/>
      <c r="PLM66" s="122"/>
      <c r="PLN66" s="122"/>
      <c r="PLO66" s="122"/>
      <c r="PLP66" s="122"/>
      <c r="PLQ66" s="122"/>
      <c r="PLR66" s="122"/>
      <c r="PLS66" s="122"/>
      <c r="PLT66" s="122"/>
      <c r="PLU66" s="122"/>
      <c r="PLV66" s="122"/>
      <c r="PLW66" s="122"/>
      <c r="PLX66" s="122"/>
      <c r="PLY66" s="122"/>
      <c r="PLZ66" s="122"/>
      <c r="PMA66" s="122"/>
      <c r="PMB66" s="122"/>
      <c r="PMC66" s="122"/>
      <c r="PMD66" s="122"/>
      <c r="PME66" s="122"/>
      <c r="PMF66" s="122"/>
      <c r="PMG66" s="122"/>
      <c r="PMH66" s="122"/>
      <c r="PMI66" s="122"/>
      <c r="PMJ66" s="122"/>
      <c r="PMK66" s="122"/>
      <c r="PML66" s="122"/>
      <c r="PMM66" s="122"/>
      <c r="PMN66" s="122"/>
      <c r="PMO66" s="122"/>
      <c r="PMP66" s="122"/>
      <c r="PMQ66" s="122"/>
      <c r="PMR66" s="122"/>
      <c r="PMS66" s="122"/>
      <c r="PMT66" s="122"/>
      <c r="PMU66" s="122"/>
      <c r="PMV66" s="122"/>
      <c r="PMW66" s="122"/>
      <c r="PMX66" s="122"/>
      <c r="PMY66" s="122"/>
      <c r="PMZ66" s="122"/>
      <c r="PNA66" s="122"/>
      <c r="PNB66" s="122"/>
      <c r="PNC66" s="122"/>
      <c r="PND66" s="122"/>
      <c r="PNE66" s="122"/>
      <c r="PNF66" s="122"/>
      <c r="PNG66" s="122"/>
      <c r="PNH66" s="122"/>
      <c r="PNI66" s="122"/>
      <c r="PNJ66" s="122"/>
      <c r="PNK66" s="122"/>
      <c r="PNL66" s="122"/>
      <c r="PNM66" s="122"/>
      <c r="PNN66" s="122"/>
      <c r="PNO66" s="122"/>
      <c r="PNP66" s="122"/>
      <c r="PNQ66" s="122"/>
      <c r="PNR66" s="122"/>
      <c r="PNS66" s="122"/>
      <c r="PNT66" s="122"/>
      <c r="PNU66" s="122"/>
      <c r="PNV66" s="122"/>
      <c r="PNW66" s="122"/>
      <c r="PNX66" s="122"/>
      <c r="PNY66" s="122"/>
      <c r="PNZ66" s="122"/>
      <c r="POA66" s="122"/>
      <c r="POB66" s="122"/>
      <c r="POC66" s="122"/>
      <c r="POD66" s="122"/>
      <c r="POE66" s="122"/>
      <c r="POF66" s="122"/>
      <c r="POG66" s="122"/>
      <c r="POH66" s="122"/>
      <c r="POI66" s="122"/>
      <c r="POJ66" s="122"/>
      <c r="POK66" s="122"/>
      <c r="POL66" s="122"/>
      <c r="POM66" s="122"/>
      <c r="PON66" s="122"/>
      <c r="POO66" s="122"/>
      <c r="POP66" s="122"/>
      <c r="POQ66" s="122"/>
      <c r="POR66" s="122"/>
      <c r="POS66" s="122"/>
      <c r="POT66" s="122"/>
      <c r="POU66" s="122"/>
      <c r="POV66" s="122"/>
      <c r="POW66" s="122"/>
      <c r="POX66" s="122"/>
      <c r="POY66" s="122"/>
      <c r="POZ66" s="122"/>
      <c r="PPA66" s="122"/>
      <c r="PPB66" s="122"/>
      <c r="PPC66" s="122"/>
      <c r="PPD66" s="122"/>
      <c r="PPE66" s="122"/>
      <c r="PPF66" s="122"/>
      <c r="PPG66" s="122"/>
      <c r="PPH66" s="122"/>
      <c r="PPI66" s="122"/>
      <c r="PPJ66" s="122"/>
      <c r="PPK66" s="122"/>
      <c r="PPL66" s="122"/>
      <c r="PPM66" s="122"/>
      <c r="PPN66" s="122"/>
      <c r="PPO66" s="122"/>
      <c r="PPP66" s="122"/>
      <c r="PPQ66" s="122"/>
      <c r="PPR66" s="122"/>
      <c r="PPS66" s="122"/>
      <c r="PPT66" s="122"/>
      <c r="PPU66" s="122"/>
      <c r="PPV66" s="122"/>
      <c r="PPW66" s="122"/>
      <c r="PPX66" s="122"/>
      <c r="PPY66" s="122"/>
      <c r="PPZ66" s="122"/>
      <c r="PQA66" s="122"/>
      <c r="PQB66" s="122"/>
      <c r="PQC66" s="122"/>
      <c r="PQD66" s="122"/>
      <c r="PQE66" s="122"/>
      <c r="PQF66" s="122"/>
      <c r="PQG66" s="122"/>
      <c r="PQH66" s="122"/>
      <c r="PQI66" s="122"/>
      <c r="PQJ66" s="122"/>
      <c r="PQK66" s="122"/>
      <c r="PQL66" s="122"/>
      <c r="PQM66" s="122"/>
      <c r="PQN66" s="122"/>
      <c r="PQO66" s="122"/>
      <c r="PQP66" s="122"/>
      <c r="PQQ66" s="122"/>
      <c r="PQR66" s="122"/>
      <c r="PQS66" s="122"/>
      <c r="PQT66" s="122"/>
      <c r="PQU66" s="122"/>
      <c r="PQV66" s="122"/>
      <c r="PQW66" s="122"/>
      <c r="PQX66" s="122"/>
      <c r="PQY66" s="122"/>
      <c r="PQZ66" s="122"/>
      <c r="PRA66" s="122"/>
      <c r="PRB66" s="122"/>
      <c r="PRC66" s="122"/>
      <c r="PRD66" s="122"/>
      <c r="PRE66" s="122"/>
      <c r="PRF66" s="122"/>
      <c r="PRG66" s="122"/>
      <c r="PRH66" s="122"/>
      <c r="PRI66" s="122"/>
      <c r="PRJ66" s="122"/>
      <c r="PRK66" s="122"/>
      <c r="PRL66" s="122"/>
      <c r="PRM66" s="122"/>
      <c r="PRN66" s="122"/>
      <c r="PRO66" s="122"/>
      <c r="PRP66" s="122"/>
      <c r="PRQ66" s="122"/>
      <c r="PRR66" s="122"/>
      <c r="PRS66" s="122"/>
      <c r="PRT66" s="122"/>
      <c r="PRU66" s="122"/>
      <c r="PRV66" s="122"/>
      <c r="PRW66" s="122"/>
      <c r="PRX66" s="122"/>
      <c r="PRY66" s="122"/>
      <c r="PRZ66" s="122"/>
      <c r="PSA66" s="122"/>
      <c r="PSB66" s="122"/>
      <c r="PSC66" s="122"/>
      <c r="PSD66" s="122"/>
      <c r="PSE66" s="122"/>
      <c r="PSF66" s="122"/>
      <c r="PSG66" s="122"/>
      <c r="PSH66" s="122"/>
      <c r="PSI66" s="122"/>
      <c r="PSJ66" s="122"/>
      <c r="PSK66" s="122"/>
      <c r="PSL66" s="122"/>
      <c r="PSM66" s="122"/>
      <c r="PSN66" s="122"/>
      <c r="PSO66" s="122"/>
      <c r="PSP66" s="122"/>
      <c r="PSQ66" s="122"/>
      <c r="PSR66" s="122"/>
      <c r="PSS66" s="122"/>
      <c r="PST66" s="122"/>
      <c r="PSU66" s="122"/>
      <c r="PSV66" s="122"/>
      <c r="PSW66" s="122"/>
      <c r="PSX66" s="122"/>
      <c r="PSY66" s="122"/>
      <c r="PSZ66" s="122"/>
      <c r="PTA66" s="122"/>
      <c r="PTB66" s="122"/>
      <c r="PTC66" s="122"/>
      <c r="PTD66" s="122"/>
      <c r="PTE66" s="122"/>
      <c r="PTF66" s="122"/>
      <c r="PTG66" s="122"/>
      <c r="PTH66" s="122"/>
      <c r="PTI66" s="122"/>
      <c r="PTJ66" s="122"/>
      <c r="PTK66" s="122"/>
      <c r="PTL66" s="122"/>
      <c r="PTM66" s="122"/>
      <c r="PTN66" s="122"/>
      <c r="PTO66" s="122"/>
      <c r="PTP66" s="122"/>
      <c r="PTQ66" s="122"/>
      <c r="PTR66" s="122"/>
      <c r="PTS66" s="122"/>
      <c r="PTT66" s="122"/>
      <c r="PTU66" s="122"/>
      <c r="PTV66" s="122"/>
      <c r="PTW66" s="122"/>
      <c r="PTX66" s="122"/>
      <c r="PTY66" s="122"/>
      <c r="PTZ66" s="122"/>
      <c r="PUA66" s="122"/>
      <c r="PUB66" s="122"/>
      <c r="PUC66" s="122"/>
      <c r="PUD66" s="122"/>
      <c r="PUE66" s="122"/>
      <c r="PUF66" s="122"/>
      <c r="PUG66" s="122"/>
      <c r="PUH66" s="122"/>
      <c r="PUI66" s="122"/>
      <c r="PUJ66" s="122"/>
      <c r="PUK66" s="122"/>
      <c r="PUL66" s="122"/>
      <c r="PUM66" s="122"/>
      <c r="PUN66" s="122"/>
      <c r="PUO66" s="122"/>
      <c r="PUP66" s="122"/>
      <c r="PUQ66" s="122"/>
      <c r="PUR66" s="122"/>
      <c r="PUS66" s="122"/>
      <c r="PUT66" s="122"/>
      <c r="PUU66" s="122"/>
      <c r="PUV66" s="122"/>
      <c r="PUW66" s="122"/>
      <c r="PUX66" s="122"/>
      <c r="PUY66" s="122"/>
      <c r="PUZ66" s="122"/>
      <c r="PVA66" s="122"/>
      <c r="PVB66" s="122"/>
      <c r="PVC66" s="122"/>
      <c r="PVD66" s="122"/>
      <c r="PVE66" s="122"/>
      <c r="PVF66" s="122"/>
      <c r="PVG66" s="122"/>
      <c r="PVH66" s="122"/>
      <c r="PVI66" s="122"/>
      <c r="PVJ66" s="122"/>
      <c r="PVK66" s="122"/>
      <c r="PVL66" s="122"/>
      <c r="PVM66" s="122"/>
      <c r="PVN66" s="122"/>
      <c r="PVO66" s="122"/>
      <c r="PVP66" s="122"/>
      <c r="PVQ66" s="122"/>
      <c r="PVR66" s="122"/>
      <c r="PVS66" s="122"/>
      <c r="PVT66" s="122"/>
      <c r="PVU66" s="122"/>
      <c r="PVV66" s="122"/>
      <c r="PVW66" s="122"/>
      <c r="PVX66" s="122"/>
      <c r="PVY66" s="122"/>
      <c r="PVZ66" s="122"/>
      <c r="PWA66" s="122"/>
      <c r="PWB66" s="122"/>
      <c r="PWC66" s="122"/>
      <c r="PWD66" s="122"/>
      <c r="PWE66" s="122"/>
      <c r="PWF66" s="122"/>
      <c r="PWG66" s="122"/>
      <c r="PWH66" s="122"/>
      <c r="PWI66" s="122"/>
      <c r="PWJ66" s="122"/>
      <c r="PWK66" s="122"/>
      <c r="PWL66" s="122"/>
      <c r="PWM66" s="122"/>
      <c r="PWN66" s="122"/>
      <c r="PWO66" s="122"/>
      <c r="PWP66" s="122"/>
      <c r="PWQ66" s="122"/>
      <c r="PWR66" s="122"/>
      <c r="PWS66" s="122"/>
      <c r="PWT66" s="122"/>
      <c r="PWU66" s="122"/>
      <c r="PWV66" s="122"/>
      <c r="PWW66" s="122"/>
      <c r="PWX66" s="122"/>
      <c r="PWY66" s="122"/>
      <c r="PWZ66" s="122"/>
      <c r="PXA66" s="122"/>
      <c r="PXB66" s="122"/>
      <c r="PXC66" s="122"/>
      <c r="PXD66" s="122"/>
      <c r="PXE66" s="122"/>
      <c r="PXF66" s="122"/>
      <c r="PXG66" s="122"/>
      <c r="PXH66" s="122"/>
      <c r="PXI66" s="122"/>
      <c r="PXJ66" s="122"/>
      <c r="PXK66" s="122"/>
      <c r="PXL66" s="122"/>
      <c r="PXM66" s="122"/>
      <c r="PXN66" s="122"/>
      <c r="PXO66" s="122"/>
      <c r="PXP66" s="122"/>
      <c r="PXQ66" s="122"/>
      <c r="PXR66" s="122"/>
      <c r="PXS66" s="122"/>
      <c r="PXT66" s="122"/>
      <c r="PXU66" s="122"/>
      <c r="PXV66" s="122"/>
      <c r="PXW66" s="122"/>
      <c r="PXX66" s="122"/>
      <c r="PXY66" s="122"/>
      <c r="PXZ66" s="122"/>
      <c r="PYA66" s="122"/>
      <c r="PYB66" s="122"/>
      <c r="PYC66" s="122"/>
      <c r="PYD66" s="122"/>
      <c r="PYE66" s="122"/>
      <c r="PYF66" s="122"/>
      <c r="PYG66" s="122"/>
      <c r="PYH66" s="122"/>
      <c r="PYI66" s="122"/>
      <c r="PYJ66" s="122"/>
      <c r="PYK66" s="122"/>
      <c r="PYL66" s="122"/>
      <c r="PYM66" s="122"/>
      <c r="PYN66" s="122"/>
      <c r="PYO66" s="122"/>
      <c r="PYP66" s="122"/>
      <c r="PYQ66" s="122"/>
      <c r="PYR66" s="122"/>
      <c r="PYS66" s="122"/>
      <c r="PYT66" s="122"/>
      <c r="PYU66" s="122"/>
      <c r="PYV66" s="122"/>
      <c r="PYW66" s="122"/>
      <c r="PYX66" s="122"/>
      <c r="PYY66" s="122"/>
      <c r="PYZ66" s="122"/>
      <c r="PZA66" s="122"/>
      <c r="PZB66" s="122"/>
      <c r="PZC66" s="122"/>
      <c r="PZD66" s="122"/>
      <c r="PZE66" s="122"/>
      <c r="PZF66" s="122"/>
      <c r="PZG66" s="122"/>
      <c r="PZH66" s="122"/>
      <c r="PZI66" s="122"/>
      <c r="PZJ66" s="122"/>
      <c r="PZK66" s="122"/>
      <c r="PZL66" s="122"/>
      <c r="PZM66" s="122"/>
      <c r="PZN66" s="122"/>
      <c r="PZO66" s="122"/>
      <c r="PZP66" s="122"/>
      <c r="PZQ66" s="122"/>
      <c r="PZR66" s="122"/>
      <c r="PZS66" s="122"/>
      <c r="PZT66" s="122"/>
      <c r="PZU66" s="122"/>
      <c r="PZV66" s="122"/>
      <c r="PZW66" s="122"/>
      <c r="PZX66" s="122"/>
      <c r="PZY66" s="122"/>
      <c r="PZZ66" s="122"/>
      <c r="QAA66" s="122"/>
      <c r="QAB66" s="122"/>
      <c r="QAC66" s="122"/>
      <c r="QAD66" s="122"/>
      <c r="QAE66" s="122"/>
      <c r="QAF66" s="122"/>
      <c r="QAG66" s="122"/>
      <c r="QAH66" s="122"/>
      <c r="QAI66" s="122"/>
      <c r="QAJ66" s="122"/>
      <c r="QAK66" s="122"/>
      <c r="QAL66" s="122"/>
      <c r="QAM66" s="122"/>
      <c r="QAN66" s="122"/>
      <c r="QAO66" s="122"/>
      <c r="QAP66" s="122"/>
      <c r="QAQ66" s="122"/>
      <c r="QAR66" s="122"/>
      <c r="QAS66" s="122"/>
      <c r="QAT66" s="122"/>
      <c r="QAU66" s="122"/>
      <c r="QAV66" s="122"/>
      <c r="QAW66" s="122"/>
      <c r="QAX66" s="122"/>
      <c r="QAY66" s="122"/>
      <c r="QAZ66" s="122"/>
      <c r="QBA66" s="122"/>
      <c r="QBB66" s="122"/>
      <c r="QBC66" s="122"/>
      <c r="QBD66" s="122"/>
      <c r="QBE66" s="122"/>
      <c r="QBF66" s="122"/>
      <c r="QBG66" s="122"/>
      <c r="QBH66" s="122"/>
      <c r="QBI66" s="122"/>
      <c r="QBJ66" s="122"/>
      <c r="QBK66" s="122"/>
      <c r="QBL66" s="122"/>
      <c r="QBM66" s="122"/>
      <c r="QBN66" s="122"/>
      <c r="QBO66" s="122"/>
      <c r="QBP66" s="122"/>
      <c r="QBQ66" s="122"/>
      <c r="QBR66" s="122"/>
      <c r="QBS66" s="122"/>
      <c r="QBT66" s="122"/>
      <c r="QBU66" s="122"/>
      <c r="QBV66" s="122"/>
      <c r="QBW66" s="122"/>
      <c r="QBX66" s="122"/>
      <c r="QBY66" s="122"/>
      <c r="QBZ66" s="122"/>
      <c r="QCA66" s="122"/>
      <c r="QCB66" s="122"/>
      <c r="QCC66" s="122"/>
      <c r="QCD66" s="122"/>
      <c r="QCE66" s="122"/>
      <c r="QCF66" s="122"/>
      <c r="QCG66" s="122"/>
      <c r="QCH66" s="122"/>
      <c r="QCI66" s="122"/>
      <c r="QCJ66" s="122"/>
      <c r="QCK66" s="122"/>
      <c r="QCL66" s="122"/>
      <c r="QCM66" s="122"/>
      <c r="QCN66" s="122"/>
      <c r="QCO66" s="122"/>
      <c r="QCP66" s="122"/>
      <c r="QCQ66" s="122"/>
      <c r="QCR66" s="122"/>
      <c r="QCS66" s="122"/>
      <c r="QCT66" s="122"/>
      <c r="QCU66" s="122"/>
      <c r="QCV66" s="122"/>
      <c r="QCW66" s="122"/>
      <c r="QCX66" s="122"/>
      <c r="QCY66" s="122"/>
      <c r="QCZ66" s="122"/>
      <c r="QDA66" s="122"/>
      <c r="QDB66" s="122"/>
      <c r="QDC66" s="122"/>
      <c r="QDD66" s="122"/>
      <c r="QDE66" s="122"/>
      <c r="QDF66" s="122"/>
      <c r="QDG66" s="122"/>
      <c r="QDH66" s="122"/>
      <c r="QDI66" s="122"/>
      <c r="QDJ66" s="122"/>
      <c r="QDK66" s="122"/>
      <c r="QDL66" s="122"/>
      <c r="QDM66" s="122"/>
      <c r="QDN66" s="122"/>
      <c r="QDO66" s="122"/>
      <c r="QDP66" s="122"/>
      <c r="QDQ66" s="122"/>
      <c r="QDR66" s="122"/>
      <c r="QDS66" s="122"/>
      <c r="QDT66" s="122"/>
      <c r="QDU66" s="122"/>
      <c r="QDV66" s="122"/>
      <c r="QDW66" s="122"/>
      <c r="QDX66" s="122"/>
      <c r="QDY66" s="122"/>
      <c r="QDZ66" s="122"/>
      <c r="QEA66" s="122"/>
      <c r="QEB66" s="122"/>
      <c r="QEC66" s="122"/>
      <c r="QED66" s="122"/>
      <c r="QEE66" s="122"/>
      <c r="QEF66" s="122"/>
      <c r="QEG66" s="122"/>
      <c r="QEH66" s="122"/>
      <c r="QEI66" s="122"/>
      <c r="QEJ66" s="122"/>
      <c r="QEK66" s="122"/>
      <c r="QEL66" s="122"/>
      <c r="QEM66" s="122"/>
      <c r="QEN66" s="122"/>
      <c r="QEO66" s="122"/>
      <c r="QEP66" s="122"/>
      <c r="QEQ66" s="122"/>
      <c r="QER66" s="122"/>
      <c r="QES66" s="122"/>
      <c r="QET66" s="122"/>
      <c r="QEU66" s="122"/>
      <c r="QEV66" s="122"/>
      <c r="QEW66" s="122"/>
      <c r="QEX66" s="122"/>
      <c r="QEY66" s="122"/>
      <c r="QEZ66" s="122"/>
      <c r="QFA66" s="122"/>
      <c r="QFB66" s="122"/>
      <c r="QFC66" s="122"/>
      <c r="QFD66" s="122"/>
      <c r="QFE66" s="122"/>
      <c r="QFF66" s="122"/>
      <c r="QFG66" s="122"/>
      <c r="QFH66" s="122"/>
      <c r="QFI66" s="122"/>
      <c r="QFJ66" s="122"/>
      <c r="QFK66" s="122"/>
      <c r="QFL66" s="122"/>
      <c r="QFM66" s="122"/>
      <c r="QFN66" s="122"/>
      <c r="QFO66" s="122"/>
      <c r="QFP66" s="122"/>
      <c r="QFQ66" s="122"/>
      <c r="QFR66" s="122"/>
      <c r="QFS66" s="122"/>
      <c r="QFT66" s="122"/>
      <c r="QFU66" s="122"/>
      <c r="QFV66" s="122"/>
      <c r="QFW66" s="122"/>
      <c r="QFX66" s="122"/>
      <c r="QFY66" s="122"/>
      <c r="QFZ66" s="122"/>
      <c r="QGA66" s="122"/>
      <c r="QGB66" s="122"/>
      <c r="QGC66" s="122"/>
      <c r="QGD66" s="122"/>
      <c r="QGE66" s="122"/>
      <c r="QGF66" s="122"/>
      <c r="QGG66" s="122"/>
      <c r="QGH66" s="122"/>
      <c r="QGI66" s="122"/>
      <c r="QGJ66" s="122"/>
      <c r="QGK66" s="122"/>
      <c r="QGL66" s="122"/>
      <c r="QGM66" s="122"/>
      <c r="QGN66" s="122"/>
      <c r="QGO66" s="122"/>
      <c r="QGP66" s="122"/>
      <c r="QGQ66" s="122"/>
      <c r="QGR66" s="122"/>
      <c r="QGS66" s="122"/>
      <c r="QGT66" s="122"/>
      <c r="QGU66" s="122"/>
      <c r="QGV66" s="122"/>
      <c r="QGW66" s="122"/>
      <c r="QGX66" s="122"/>
      <c r="QGY66" s="122"/>
      <c r="QGZ66" s="122"/>
      <c r="QHA66" s="122"/>
      <c r="QHB66" s="122"/>
      <c r="QHC66" s="122"/>
      <c r="QHD66" s="122"/>
      <c r="QHE66" s="122"/>
      <c r="QHF66" s="122"/>
      <c r="QHG66" s="122"/>
      <c r="QHH66" s="122"/>
      <c r="QHI66" s="122"/>
      <c r="QHJ66" s="122"/>
      <c r="QHK66" s="122"/>
      <c r="QHL66" s="122"/>
      <c r="QHM66" s="122"/>
      <c r="QHN66" s="122"/>
      <c r="QHO66" s="122"/>
      <c r="QHP66" s="122"/>
      <c r="QHQ66" s="122"/>
      <c r="QHR66" s="122"/>
      <c r="QHS66" s="122"/>
      <c r="QHT66" s="122"/>
      <c r="QHU66" s="122"/>
      <c r="QHV66" s="122"/>
      <c r="QHW66" s="122"/>
      <c r="QHX66" s="122"/>
      <c r="QHY66" s="122"/>
      <c r="QHZ66" s="122"/>
      <c r="QIA66" s="122"/>
      <c r="QIB66" s="122"/>
      <c r="QIC66" s="122"/>
      <c r="QID66" s="122"/>
      <c r="QIE66" s="122"/>
      <c r="QIF66" s="122"/>
      <c r="QIG66" s="122"/>
      <c r="QIH66" s="122"/>
      <c r="QII66" s="122"/>
      <c r="QIJ66" s="122"/>
      <c r="QIK66" s="122"/>
      <c r="QIL66" s="122"/>
      <c r="QIM66" s="122"/>
      <c r="QIN66" s="122"/>
      <c r="QIO66" s="122"/>
      <c r="QIP66" s="122"/>
      <c r="QIQ66" s="122"/>
      <c r="QIR66" s="122"/>
      <c r="QIS66" s="122"/>
      <c r="QIT66" s="122"/>
      <c r="QIU66" s="122"/>
      <c r="QIV66" s="122"/>
      <c r="QIW66" s="122"/>
      <c r="QIX66" s="122"/>
      <c r="QIY66" s="122"/>
      <c r="QIZ66" s="122"/>
      <c r="QJA66" s="122"/>
      <c r="QJB66" s="122"/>
      <c r="QJC66" s="122"/>
      <c r="QJD66" s="122"/>
      <c r="QJE66" s="122"/>
      <c r="QJF66" s="122"/>
      <c r="QJG66" s="122"/>
      <c r="QJH66" s="122"/>
      <c r="QJI66" s="122"/>
      <c r="QJJ66" s="122"/>
      <c r="QJK66" s="122"/>
      <c r="QJL66" s="122"/>
      <c r="QJM66" s="122"/>
      <c r="QJN66" s="122"/>
      <c r="QJO66" s="122"/>
      <c r="QJP66" s="122"/>
      <c r="QJQ66" s="122"/>
      <c r="QJR66" s="122"/>
      <c r="QJS66" s="122"/>
      <c r="QJT66" s="122"/>
      <c r="QJU66" s="122"/>
      <c r="QJV66" s="122"/>
      <c r="QJW66" s="122"/>
      <c r="QJX66" s="122"/>
      <c r="QJY66" s="122"/>
      <c r="QJZ66" s="122"/>
      <c r="QKA66" s="122"/>
      <c r="QKB66" s="122"/>
      <c r="QKC66" s="122"/>
      <c r="QKD66" s="122"/>
      <c r="QKE66" s="122"/>
      <c r="QKF66" s="122"/>
      <c r="QKG66" s="122"/>
      <c r="QKH66" s="122"/>
      <c r="QKI66" s="122"/>
      <c r="QKJ66" s="122"/>
      <c r="QKK66" s="122"/>
      <c r="QKL66" s="122"/>
      <c r="QKM66" s="122"/>
      <c r="QKN66" s="122"/>
      <c r="QKO66" s="122"/>
      <c r="QKP66" s="122"/>
      <c r="QKQ66" s="122"/>
      <c r="QKR66" s="122"/>
      <c r="QKS66" s="122"/>
      <c r="QKT66" s="122"/>
      <c r="QKU66" s="122"/>
      <c r="QKV66" s="122"/>
      <c r="QKW66" s="122"/>
      <c r="QKX66" s="122"/>
      <c r="QKY66" s="122"/>
      <c r="QKZ66" s="122"/>
      <c r="QLA66" s="122"/>
      <c r="QLB66" s="122"/>
      <c r="QLC66" s="122"/>
      <c r="QLD66" s="122"/>
      <c r="QLE66" s="122"/>
      <c r="QLF66" s="122"/>
      <c r="QLG66" s="122"/>
      <c r="QLH66" s="122"/>
      <c r="QLI66" s="122"/>
      <c r="QLJ66" s="122"/>
      <c r="QLK66" s="122"/>
      <c r="QLL66" s="122"/>
      <c r="QLM66" s="122"/>
      <c r="QLN66" s="122"/>
      <c r="QLO66" s="122"/>
      <c r="QLP66" s="122"/>
      <c r="QLQ66" s="122"/>
      <c r="QLR66" s="122"/>
      <c r="QLS66" s="122"/>
      <c r="QLT66" s="122"/>
      <c r="QLU66" s="122"/>
      <c r="QLV66" s="122"/>
      <c r="QLW66" s="122"/>
      <c r="QLX66" s="122"/>
      <c r="QLY66" s="122"/>
      <c r="QLZ66" s="122"/>
      <c r="QMA66" s="122"/>
      <c r="QMB66" s="122"/>
      <c r="QMC66" s="122"/>
      <c r="QMD66" s="122"/>
      <c r="QME66" s="122"/>
      <c r="QMF66" s="122"/>
      <c r="QMG66" s="122"/>
      <c r="QMH66" s="122"/>
      <c r="QMI66" s="122"/>
      <c r="QMJ66" s="122"/>
      <c r="QMK66" s="122"/>
      <c r="QML66" s="122"/>
      <c r="QMM66" s="122"/>
      <c r="QMN66" s="122"/>
      <c r="QMO66" s="122"/>
      <c r="QMP66" s="122"/>
      <c r="QMQ66" s="122"/>
      <c r="QMR66" s="122"/>
      <c r="QMS66" s="122"/>
      <c r="QMT66" s="122"/>
      <c r="QMU66" s="122"/>
      <c r="QMV66" s="122"/>
      <c r="QMW66" s="122"/>
      <c r="QMX66" s="122"/>
      <c r="QMY66" s="122"/>
      <c r="QMZ66" s="122"/>
      <c r="QNA66" s="122"/>
      <c r="QNB66" s="122"/>
      <c r="QNC66" s="122"/>
      <c r="QND66" s="122"/>
      <c r="QNE66" s="122"/>
      <c r="QNF66" s="122"/>
      <c r="QNG66" s="122"/>
      <c r="QNH66" s="122"/>
      <c r="QNI66" s="122"/>
      <c r="QNJ66" s="122"/>
      <c r="QNK66" s="122"/>
      <c r="QNL66" s="122"/>
      <c r="QNM66" s="122"/>
      <c r="QNN66" s="122"/>
      <c r="QNO66" s="122"/>
      <c r="QNP66" s="122"/>
      <c r="QNQ66" s="122"/>
      <c r="QNR66" s="122"/>
      <c r="QNS66" s="122"/>
      <c r="QNT66" s="122"/>
      <c r="QNU66" s="122"/>
      <c r="QNV66" s="122"/>
      <c r="QNW66" s="122"/>
      <c r="QNX66" s="122"/>
      <c r="QNY66" s="122"/>
      <c r="QNZ66" s="122"/>
      <c r="QOA66" s="122"/>
      <c r="QOB66" s="122"/>
      <c r="QOC66" s="122"/>
      <c r="QOD66" s="122"/>
      <c r="QOE66" s="122"/>
      <c r="QOF66" s="122"/>
      <c r="QOG66" s="122"/>
      <c r="QOH66" s="122"/>
      <c r="QOI66" s="122"/>
      <c r="QOJ66" s="122"/>
      <c r="QOK66" s="122"/>
      <c r="QOL66" s="122"/>
      <c r="QOM66" s="122"/>
      <c r="QON66" s="122"/>
      <c r="QOO66" s="122"/>
      <c r="QOP66" s="122"/>
      <c r="QOQ66" s="122"/>
      <c r="QOR66" s="122"/>
      <c r="QOS66" s="122"/>
      <c r="QOT66" s="122"/>
      <c r="QOU66" s="122"/>
      <c r="QOV66" s="122"/>
      <c r="QOW66" s="122"/>
      <c r="QOX66" s="122"/>
      <c r="QOY66" s="122"/>
      <c r="QOZ66" s="122"/>
      <c r="QPA66" s="122"/>
      <c r="QPB66" s="122"/>
      <c r="QPC66" s="122"/>
      <c r="QPD66" s="122"/>
      <c r="QPE66" s="122"/>
      <c r="QPF66" s="122"/>
      <c r="QPG66" s="122"/>
      <c r="QPH66" s="122"/>
      <c r="QPI66" s="122"/>
      <c r="QPJ66" s="122"/>
      <c r="QPK66" s="122"/>
      <c r="QPL66" s="122"/>
      <c r="QPM66" s="122"/>
      <c r="QPN66" s="122"/>
      <c r="QPO66" s="122"/>
      <c r="QPP66" s="122"/>
      <c r="QPQ66" s="122"/>
      <c r="QPR66" s="122"/>
      <c r="QPS66" s="122"/>
      <c r="QPT66" s="122"/>
      <c r="QPU66" s="122"/>
      <c r="QPV66" s="122"/>
      <c r="QPW66" s="122"/>
      <c r="QPX66" s="122"/>
      <c r="QPY66" s="122"/>
      <c r="QPZ66" s="122"/>
      <c r="QQA66" s="122"/>
      <c r="QQB66" s="122"/>
      <c r="QQC66" s="122"/>
      <c r="QQD66" s="122"/>
      <c r="QQE66" s="122"/>
      <c r="QQF66" s="122"/>
      <c r="QQG66" s="122"/>
      <c r="QQH66" s="122"/>
      <c r="QQI66" s="122"/>
      <c r="QQJ66" s="122"/>
      <c r="QQK66" s="122"/>
      <c r="QQL66" s="122"/>
      <c r="QQM66" s="122"/>
      <c r="QQN66" s="122"/>
      <c r="QQO66" s="122"/>
      <c r="QQP66" s="122"/>
      <c r="QQQ66" s="122"/>
      <c r="QQR66" s="122"/>
      <c r="QQS66" s="122"/>
      <c r="QQT66" s="122"/>
      <c r="QQU66" s="122"/>
      <c r="QQV66" s="122"/>
      <c r="QQW66" s="122"/>
      <c r="QQX66" s="122"/>
      <c r="QQY66" s="122"/>
      <c r="QQZ66" s="122"/>
      <c r="QRA66" s="122"/>
      <c r="QRB66" s="122"/>
      <c r="QRC66" s="122"/>
      <c r="QRD66" s="122"/>
      <c r="QRE66" s="122"/>
      <c r="QRF66" s="122"/>
      <c r="QRG66" s="122"/>
      <c r="QRH66" s="122"/>
      <c r="QRI66" s="122"/>
      <c r="QRJ66" s="122"/>
      <c r="QRK66" s="122"/>
      <c r="QRL66" s="122"/>
      <c r="QRM66" s="122"/>
      <c r="QRN66" s="122"/>
      <c r="QRO66" s="122"/>
      <c r="QRP66" s="122"/>
      <c r="QRQ66" s="122"/>
      <c r="QRR66" s="122"/>
      <c r="QRS66" s="122"/>
      <c r="QRT66" s="122"/>
      <c r="QRU66" s="122"/>
      <c r="QRV66" s="122"/>
      <c r="QRW66" s="122"/>
      <c r="QRX66" s="122"/>
      <c r="QRY66" s="122"/>
      <c r="QRZ66" s="122"/>
      <c r="QSA66" s="122"/>
      <c r="QSB66" s="122"/>
      <c r="QSC66" s="122"/>
      <c r="QSD66" s="122"/>
      <c r="QSE66" s="122"/>
      <c r="QSF66" s="122"/>
      <c r="QSG66" s="122"/>
      <c r="QSH66" s="122"/>
      <c r="QSI66" s="122"/>
      <c r="QSJ66" s="122"/>
      <c r="QSK66" s="122"/>
      <c r="QSL66" s="122"/>
      <c r="QSM66" s="122"/>
      <c r="QSN66" s="122"/>
      <c r="QSO66" s="122"/>
      <c r="QSP66" s="122"/>
      <c r="QSQ66" s="122"/>
      <c r="QSR66" s="122"/>
      <c r="QSS66" s="122"/>
      <c r="QST66" s="122"/>
      <c r="QSU66" s="122"/>
      <c r="QSV66" s="122"/>
      <c r="QSW66" s="122"/>
      <c r="QSX66" s="122"/>
      <c r="QSY66" s="122"/>
      <c r="QSZ66" s="122"/>
      <c r="QTA66" s="122"/>
      <c r="QTB66" s="122"/>
      <c r="QTC66" s="122"/>
      <c r="QTD66" s="122"/>
      <c r="QTE66" s="122"/>
      <c r="QTF66" s="122"/>
      <c r="QTG66" s="122"/>
      <c r="QTH66" s="122"/>
      <c r="QTI66" s="122"/>
      <c r="QTJ66" s="122"/>
      <c r="QTK66" s="122"/>
      <c r="QTL66" s="122"/>
      <c r="QTM66" s="122"/>
      <c r="QTN66" s="122"/>
      <c r="QTO66" s="122"/>
      <c r="QTP66" s="122"/>
      <c r="QTQ66" s="122"/>
      <c r="QTR66" s="122"/>
      <c r="QTS66" s="122"/>
      <c r="QTT66" s="122"/>
      <c r="QTU66" s="122"/>
      <c r="QTV66" s="122"/>
      <c r="QTW66" s="122"/>
      <c r="QTX66" s="122"/>
      <c r="QTY66" s="122"/>
      <c r="QTZ66" s="122"/>
      <c r="QUA66" s="122"/>
      <c r="QUB66" s="122"/>
      <c r="QUC66" s="122"/>
      <c r="QUD66" s="122"/>
      <c r="QUE66" s="122"/>
      <c r="QUF66" s="122"/>
      <c r="QUG66" s="122"/>
      <c r="QUH66" s="122"/>
      <c r="QUI66" s="122"/>
      <c r="QUJ66" s="122"/>
      <c r="QUK66" s="122"/>
      <c r="QUL66" s="122"/>
      <c r="QUM66" s="122"/>
      <c r="QUN66" s="122"/>
      <c r="QUO66" s="122"/>
      <c r="QUP66" s="122"/>
      <c r="QUQ66" s="122"/>
      <c r="QUR66" s="122"/>
      <c r="QUS66" s="122"/>
      <c r="QUT66" s="122"/>
      <c r="QUU66" s="122"/>
      <c r="QUV66" s="122"/>
      <c r="QUW66" s="122"/>
      <c r="QUX66" s="122"/>
      <c r="QUY66" s="122"/>
      <c r="QUZ66" s="122"/>
      <c r="QVA66" s="122"/>
      <c r="QVB66" s="122"/>
      <c r="QVC66" s="122"/>
      <c r="QVD66" s="122"/>
      <c r="QVE66" s="122"/>
      <c r="QVF66" s="122"/>
      <c r="QVG66" s="122"/>
      <c r="QVH66" s="122"/>
      <c r="QVI66" s="122"/>
      <c r="QVJ66" s="122"/>
      <c r="QVK66" s="122"/>
      <c r="QVL66" s="122"/>
      <c r="QVM66" s="122"/>
      <c r="QVN66" s="122"/>
      <c r="QVO66" s="122"/>
      <c r="QVP66" s="122"/>
      <c r="QVQ66" s="122"/>
      <c r="QVR66" s="122"/>
      <c r="QVS66" s="122"/>
      <c r="QVT66" s="122"/>
      <c r="QVU66" s="122"/>
      <c r="QVV66" s="122"/>
      <c r="QVW66" s="122"/>
      <c r="QVX66" s="122"/>
      <c r="QVY66" s="122"/>
      <c r="QVZ66" s="122"/>
      <c r="QWA66" s="122"/>
      <c r="QWB66" s="122"/>
      <c r="QWC66" s="122"/>
      <c r="QWD66" s="122"/>
      <c r="QWE66" s="122"/>
      <c r="QWF66" s="122"/>
      <c r="QWG66" s="122"/>
      <c r="QWH66" s="122"/>
      <c r="QWI66" s="122"/>
      <c r="QWJ66" s="122"/>
      <c r="QWK66" s="122"/>
      <c r="QWL66" s="122"/>
      <c r="QWM66" s="122"/>
      <c r="QWN66" s="122"/>
      <c r="QWO66" s="122"/>
      <c r="QWP66" s="122"/>
      <c r="QWQ66" s="122"/>
      <c r="QWR66" s="122"/>
      <c r="QWS66" s="122"/>
      <c r="QWT66" s="122"/>
      <c r="QWU66" s="122"/>
      <c r="QWV66" s="122"/>
      <c r="QWW66" s="122"/>
      <c r="QWX66" s="122"/>
      <c r="QWY66" s="122"/>
      <c r="QWZ66" s="122"/>
      <c r="QXA66" s="122"/>
      <c r="QXB66" s="122"/>
      <c r="QXC66" s="122"/>
      <c r="QXD66" s="122"/>
      <c r="QXE66" s="122"/>
      <c r="QXF66" s="122"/>
      <c r="QXG66" s="122"/>
      <c r="QXH66" s="122"/>
      <c r="QXI66" s="122"/>
      <c r="QXJ66" s="122"/>
      <c r="QXK66" s="122"/>
      <c r="QXL66" s="122"/>
      <c r="QXM66" s="122"/>
      <c r="QXN66" s="122"/>
      <c r="QXO66" s="122"/>
      <c r="QXP66" s="122"/>
      <c r="QXQ66" s="122"/>
      <c r="QXR66" s="122"/>
      <c r="QXS66" s="122"/>
      <c r="QXT66" s="122"/>
      <c r="QXU66" s="122"/>
      <c r="QXV66" s="122"/>
      <c r="QXW66" s="122"/>
      <c r="QXX66" s="122"/>
      <c r="QXY66" s="122"/>
      <c r="QXZ66" s="122"/>
      <c r="QYA66" s="122"/>
      <c r="QYB66" s="122"/>
      <c r="QYC66" s="122"/>
      <c r="QYD66" s="122"/>
      <c r="QYE66" s="122"/>
      <c r="QYF66" s="122"/>
      <c r="QYG66" s="122"/>
      <c r="QYH66" s="122"/>
      <c r="QYI66" s="122"/>
      <c r="QYJ66" s="122"/>
      <c r="QYK66" s="122"/>
      <c r="QYL66" s="122"/>
      <c r="QYM66" s="122"/>
      <c r="QYN66" s="122"/>
      <c r="QYO66" s="122"/>
      <c r="QYP66" s="122"/>
      <c r="QYQ66" s="122"/>
      <c r="QYR66" s="122"/>
      <c r="QYS66" s="122"/>
      <c r="QYT66" s="122"/>
      <c r="QYU66" s="122"/>
      <c r="QYV66" s="122"/>
      <c r="QYW66" s="122"/>
      <c r="QYX66" s="122"/>
      <c r="QYY66" s="122"/>
      <c r="QYZ66" s="122"/>
      <c r="QZA66" s="122"/>
      <c r="QZB66" s="122"/>
      <c r="QZC66" s="122"/>
      <c r="QZD66" s="122"/>
      <c r="QZE66" s="122"/>
      <c r="QZF66" s="122"/>
      <c r="QZG66" s="122"/>
      <c r="QZH66" s="122"/>
      <c r="QZI66" s="122"/>
      <c r="QZJ66" s="122"/>
      <c r="QZK66" s="122"/>
      <c r="QZL66" s="122"/>
      <c r="QZM66" s="122"/>
      <c r="QZN66" s="122"/>
      <c r="QZO66" s="122"/>
      <c r="QZP66" s="122"/>
      <c r="QZQ66" s="122"/>
      <c r="QZR66" s="122"/>
      <c r="QZS66" s="122"/>
      <c r="QZT66" s="122"/>
      <c r="QZU66" s="122"/>
      <c r="QZV66" s="122"/>
      <c r="QZW66" s="122"/>
      <c r="QZX66" s="122"/>
      <c r="QZY66" s="122"/>
      <c r="QZZ66" s="122"/>
      <c r="RAA66" s="122"/>
      <c r="RAB66" s="122"/>
      <c r="RAC66" s="122"/>
      <c r="RAD66" s="122"/>
      <c r="RAE66" s="122"/>
      <c r="RAF66" s="122"/>
      <c r="RAG66" s="122"/>
      <c r="RAH66" s="122"/>
      <c r="RAI66" s="122"/>
      <c r="RAJ66" s="122"/>
      <c r="RAK66" s="122"/>
      <c r="RAL66" s="122"/>
      <c r="RAM66" s="122"/>
      <c r="RAN66" s="122"/>
      <c r="RAO66" s="122"/>
      <c r="RAP66" s="122"/>
      <c r="RAQ66" s="122"/>
      <c r="RAR66" s="122"/>
      <c r="RAS66" s="122"/>
      <c r="RAT66" s="122"/>
      <c r="RAU66" s="122"/>
      <c r="RAV66" s="122"/>
      <c r="RAW66" s="122"/>
      <c r="RAX66" s="122"/>
      <c r="RAY66" s="122"/>
      <c r="RAZ66" s="122"/>
      <c r="RBA66" s="122"/>
      <c r="RBB66" s="122"/>
      <c r="RBC66" s="122"/>
      <c r="RBD66" s="122"/>
      <c r="RBE66" s="122"/>
      <c r="RBF66" s="122"/>
      <c r="RBG66" s="122"/>
      <c r="RBH66" s="122"/>
      <c r="RBI66" s="122"/>
      <c r="RBJ66" s="122"/>
      <c r="RBK66" s="122"/>
      <c r="RBL66" s="122"/>
      <c r="RBM66" s="122"/>
      <c r="RBN66" s="122"/>
      <c r="RBO66" s="122"/>
      <c r="RBP66" s="122"/>
      <c r="RBQ66" s="122"/>
      <c r="RBR66" s="122"/>
      <c r="RBS66" s="122"/>
      <c r="RBT66" s="122"/>
      <c r="RBU66" s="122"/>
      <c r="RBV66" s="122"/>
      <c r="RBW66" s="122"/>
      <c r="RBX66" s="122"/>
      <c r="RBY66" s="122"/>
      <c r="RBZ66" s="122"/>
      <c r="RCA66" s="122"/>
      <c r="RCB66" s="122"/>
      <c r="RCC66" s="122"/>
      <c r="RCD66" s="122"/>
      <c r="RCE66" s="122"/>
      <c r="RCF66" s="122"/>
      <c r="RCG66" s="122"/>
      <c r="RCH66" s="122"/>
      <c r="RCI66" s="122"/>
      <c r="RCJ66" s="122"/>
      <c r="RCK66" s="122"/>
      <c r="RCL66" s="122"/>
      <c r="RCM66" s="122"/>
      <c r="RCN66" s="122"/>
      <c r="RCO66" s="122"/>
      <c r="RCP66" s="122"/>
      <c r="RCQ66" s="122"/>
      <c r="RCR66" s="122"/>
      <c r="RCS66" s="122"/>
      <c r="RCT66" s="122"/>
      <c r="RCU66" s="122"/>
      <c r="RCV66" s="122"/>
      <c r="RCW66" s="122"/>
      <c r="RCX66" s="122"/>
      <c r="RCY66" s="122"/>
      <c r="RCZ66" s="122"/>
      <c r="RDA66" s="122"/>
      <c r="RDB66" s="122"/>
      <c r="RDC66" s="122"/>
      <c r="RDD66" s="122"/>
      <c r="RDE66" s="122"/>
      <c r="RDF66" s="122"/>
      <c r="RDG66" s="122"/>
      <c r="RDH66" s="122"/>
      <c r="RDI66" s="122"/>
      <c r="RDJ66" s="122"/>
      <c r="RDK66" s="122"/>
      <c r="RDL66" s="122"/>
      <c r="RDM66" s="122"/>
      <c r="RDN66" s="122"/>
      <c r="RDO66" s="122"/>
      <c r="RDP66" s="122"/>
      <c r="RDQ66" s="122"/>
      <c r="RDR66" s="122"/>
      <c r="RDS66" s="122"/>
      <c r="RDT66" s="122"/>
      <c r="RDU66" s="122"/>
      <c r="RDV66" s="122"/>
      <c r="RDW66" s="122"/>
      <c r="RDX66" s="122"/>
      <c r="RDY66" s="122"/>
      <c r="RDZ66" s="122"/>
      <c r="REA66" s="122"/>
      <c r="REB66" s="122"/>
      <c r="REC66" s="122"/>
      <c r="RED66" s="122"/>
      <c r="REE66" s="122"/>
      <c r="REF66" s="122"/>
      <c r="REG66" s="122"/>
      <c r="REH66" s="122"/>
      <c r="REI66" s="122"/>
      <c r="REJ66" s="122"/>
      <c r="REK66" s="122"/>
      <c r="REL66" s="122"/>
      <c r="REM66" s="122"/>
      <c r="REN66" s="122"/>
      <c r="REO66" s="122"/>
      <c r="REP66" s="122"/>
      <c r="REQ66" s="122"/>
      <c r="RER66" s="122"/>
      <c r="RES66" s="122"/>
      <c r="RET66" s="122"/>
      <c r="REU66" s="122"/>
      <c r="REV66" s="122"/>
      <c r="REW66" s="122"/>
      <c r="REX66" s="122"/>
      <c r="REY66" s="122"/>
      <c r="REZ66" s="122"/>
      <c r="RFA66" s="122"/>
      <c r="RFB66" s="122"/>
      <c r="RFC66" s="122"/>
      <c r="RFD66" s="122"/>
      <c r="RFE66" s="122"/>
      <c r="RFF66" s="122"/>
      <c r="RFG66" s="122"/>
      <c r="RFH66" s="122"/>
      <c r="RFI66" s="122"/>
      <c r="RFJ66" s="122"/>
      <c r="RFK66" s="122"/>
      <c r="RFL66" s="122"/>
      <c r="RFM66" s="122"/>
      <c r="RFN66" s="122"/>
      <c r="RFO66" s="122"/>
      <c r="RFP66" s="122"/>
      <c r="RFQ66" s="122"/>
      <c r="RFR66" s="122"/>
      <c r="RFS66" s="122"/>
      <c r="RFT66" s="122"/>
      <c r="RFU66" s="122"/>
      <c r="RFV66" s="122"/>
      <c r="RFW66" s="122"/>
      <c r="RFX66" s="122"/>
      <c r="RFY66" s="122"/>
      <c r="RFZ66" s="122"/>
      <c r="RGA66" s="122"/>
      <c r="RGB66" s="122"/>
      <c r="RGC66" s="122"/>
      <c r="RGD66" s="122"/>
      <c r="RGE66" s="122"/>
      <c r="RGF66" s="122"/>
      <c r="RGG66" s="122"/>
      <c r="RGH66" s="122"/>
      <c r="RGI66" s="122"/>
      <c r="RGJ66" s="122"/>
      <c r="RGK66" s="122"/>
      <c r="RGL66" s="122"/>
      <c r="RGM66" s="122"/>
      <c r="RGN66" s="122"/>
      <c r="RGO66" s="122"/>
      <c r="RGP66" s="122"/>
      <c r="RGQ66" s="122"/>
      <c r="RGR66" s="122"/>
      <c r="RGS66" s="122"/>
      <c r="RGT66" s="122"/>
      <c r="RGU66" s="122"/>
      <c r="RGV66" s="122"/>
      <c r="RGW66" s="122"/>
      <c r="RGX66" s="122"/>
      <c r="RGY66" s="122"/>
      <c r="RGZ66" s="122"/>
      <c r="RHA66" s="122"/>
      <c r="RHB66" s="122"/>
      <c r="RHC66" s="122"/>
      <c r="RHD66" s="122"/>
      <c r="RHE66" s="122"/>
      <c r="RHF66" s="122"/>
      <c r="RHG66" s="122"/>
      <c r="RHH66" s="122"/>
      <c r="RHI66" s="122"/>
      <c r="RHJ66" s="122"/>
      <c r="RHK66" s="122"/>
      <c r="RHL66" s="122"/>
      <c r="RHM66" s="122"/>
      <c r="RHN66" s="122"/>
      <c r="RHO66" s="122"/>
      <c r="RHP66" s="122"/>
      <c r="RHQ66" s="122"/>
      <c r="RHR66" s="122"/>
      <c r="RHS66" s="122"/>
      <c r="RHT66" s="122"/>
      <c r="RHU66" s="122"/>
      <c r="RHV66" s="122"/>
      <c r="RHW66" s="122"/>
      <c r="RHX66" s="122"/>
      <c r="RHY66" s="122"/>
      <c r="RHZ66" s="122"/>
      <c r="RIA66" s="122"/>
      <c r="RIB66" s="122"/>
      <c r="RIC66" s="122"/>
      <c r="RID66" s="122"/>
      <c r="RIE66" s="122"/>
      <c r="RIF66" s="122"/>
      <c r="RIG66" s="122"/>
      <c r="RIH66" s="122"/>
      <c r="RII66" s="122"/>
      <c r="RIJ66" s="122"/>
      <c r="RIK66" s="122"/>
      <c r="RIL66" s="122"/>
      <c r="RIM66" s="122"/>
      <c r="RIN66" s="122"/>
      <c r="RIO66" s="122"/>
      <c r="RIP66" s="122"/>
      <c r="RIQ66" s="122"/>
      <c r="RIR66" s="122"/>
      <c r="RIS66" s="122"/>
      <c r="RIT66" s="122"/>
      <c r="RIU66" s="122"/>
      <c r="RIV66" s="122"/>
      <c r="RIW66" s="122"/>
      <c r="RIX66" s="122"/>
      <c r="RIY66" s="122"/>
      <c r="RIZ66" s="122"/>
      <c r="RJA66" s="122"/>
      <c r="RJB66" s="122"/>
      <c r="RJC66" s="122"/>
      <c r="RJD66" s="122"/>
      <c r="RJE66" s="122"/>
      <c r="RJF66" s="122"/>
      <c r="RJG66" s="122"/>
      <c r="RJH66" s="122"/>
      <c r="RJI66" s="122"/>
      <c r="RJJ66" s="122"/>
      <c r="RJK66" s="122"/>
      <c r="RJL66" s="122"/>
      <c r="RJM66" s="122"/>
      <c r="RJN66" s="122"/>
      <c r="RJO66" s="122"/>
      <c r="RJP66" s="122"/>
      <c r="RJQ66" s="122"/>
      <c r="RJR66" s="122"/>
      <c r="RJS66" s="122"/>
      <c r="RJT66" s="122"/>
      <c r="RJU66" s="122"/>
      <c r="RJV66" s="122"/>
      <c r="RJW66" s="122"/>
      <c r="RJX66" s="122"/>
      <c r="RJY66" s="122"/>
      <c r="RJZ66" s="122"/>
      <c r="RKA66" s="122"/>
      <c r="RKB66" s="122"/>
      <c r="RKC66" s="122"/>
      <c r="RKD66" s="122"/>
      <c r="RKE66" s="122"/>
      <c r="RKF66" s="122"/>
      <c r="RKG66" s="122"/>
      <c r="RKH66" s="122"/>
      <c r="RKI66" s="122"/>
      <c r="RKJ66" s="122"/>
      <c r="RKK66" s="122"/>
      <c r="RKL66" s="122"/>
      <c r="RKM66" s="122"/>
      <c r="RKN66" s="122"/>
      <c r="RKO66" s="122"/>
      <c r="RKP66" s="122"/>
      <c r="RKQ66" s="122"/>
      <c r="RKR66" s="122"/>
      <c r="RKS66" s="122"/>
      <c r="RKT66" s="122"/>
      <c r="RKU66" s="122"/>
      <c r="RKV66" s="122"/>
      <c r="RKW66" s="122"/>
      <c r="RKX66" s="122"/>
      <c r="RKY66" s="122"/>
      <c r="RKZ66" s="122"/>
      <c r="RLA66" s="122"/>
      <c r="RLB66" s="122"/>
      <c r="RLC66" s="122"/>
      <c r="RLD66" s="122"/>
      <c r="RLE66" s="122"/>
      <c r="RLF66" s="122"/>
      <c r="RLG66" s="122"/>
      <c r="RLH66" s="122"/>
      <c r="RLI66" s="122"/>
      <c r="RLJ66" s="122"/>
      <c r="RLK66" s="122"/>
      <c r="RLL66" s="122"/>
      <c r="RLM66" s="122"/>
      <c r="RLN66" s="122"/>
      <c r="RLO66" s="122"/>
      <c r="RLP66" s="122"/>
      <c r="RLQ66" s="122"/>
      <c r="RLR66" s="122"/>
      <c r="RLS66" s="122"/>
      <c r="RLT66" s="122"/>
      <c r="RLU66" s="122"/>
      <c r="RLV66" s="122"/>
      <c r="RLW66" s="122"/>
      <c r="RLX66" s="122"/>
      <c r="RLY66" s="122"/>
      <c r="RLZ66" s="122"/>
      <c r="RMA66" s="122"/>
      <c r="RMB66" s="122"/>
      <c r="RMC66" s="122"/>
      <c r="RMD66" s="122"/>
      <c r="RME66" s="122"/>
      <c r="RMF66" s="122"/>
      <c r="RMG66" s="122"/>
      <c r="RMH66" s="122"/>
      <c r="RMI66" s="122"/>
      <c r="RMJ66" s="122"/>
      <c r="RMK66" s="122"/>
      <c r="RML66" s="122"/>
      <c r="RMM66" s="122"/>
      <c r="RMN66" s="122"/>
      <c r="RMO66" s="122"/>
      <c r="RMP66" s="122"/>
      <c r="RMQ66" s="122"/>
      <c r="RMR66" s="122"/>
      <c r="RMS66" s="122"/>
      <c r="RMT66" s="122"/>
      <c r="RMU66" s="122"/>
      <c r="RMV66" s="122"/>
      <c r="RMW66" s="122"/>
      <c r="RMX66" s="122"/>
      <c r="RMY66" s="122"/>
      <c r="RMZ66" s="122"/>
      <c r="RNA66" s="122"/>
      <c r="RNB66" s="122"/>
      <c r="RNC66" s="122"/>
      <c r="RND66" s="122"/>
      <c r="RNE66" s="122"/>
      <c r="RNF66" s="122"/>
      <c r="RNG66" s="122"/>
      <c r="RNH66" s="122"/>
      <c r="RNI66" s="122"/>
      <c r="RNJ66" s="122"/>
      <c r="RNK66" s="122"/>
      <c r="RNL66" s="122"/>
      <c r="RNM66" s="122"/>
      <c r="RNN66" s="122"/>
      <c r="RNO66" s="122"/>
      <c r="RNP66" s="122"/>
      <c r="RNQ66" s="122"/>
      <c r="RNR66" s="122"/>
      <c r="RNS66" s="122"/>
      <c r="RNT66" s="122"/>
      <c r="RNU66" s="122"/>
      <c r="RNV66" s="122"/>
      <c r="RNW66" s="122"/>
      <c r="RNX66" s="122"/>
      <c r="RNY66" s="122"/>
      <c r="RNZ66" s="122"/>
      <c r="ROA66" s="122"/>
      <c r="ROB66" s="122"/>
      <c r="ROC66" s="122"/>
      <c r="ROD66" s="122"/>
      <c r="ROE66" s="122"/>
      <c r="ROF66" s="122"/>
      <c r="ROG66" s="122"/>
      <c r="ROH66" s="122"/>
      <c r="ROI66" s="122"/>
      <c r="ROJ66" s="122"/>
      <c r="ROK66" s="122"/>
      <c r="ROL66" s="122"/>
      <c r="ROM66" s="122"/>
      <c r="RON66" s="122"/>
      <c r="ROO66" s="122"/>
      <c r="ROP66" s="122"/>
      <c r="ROQ66" s="122"/>
      <c r="ROR66" s="122"/>
      <c r="ROS66" s="122"/>
      <c r="ROT66" s="122"/>
      <c r="ROU66" s="122"/>
      <c r="ROV66" s="122"/>
      <c r="ROW66" s="122"/>
      <c r="ROX66" s="122"/>
      <c r="ROY66" s="122"/>
      <c r="ROZ66" s="122"/>
      <c r="RPA66" s="122"/>
      <c r="RPB66" s="122"/>
      <c r="RPC66" s="122"/>
      <c r="RPD66" s="122"/>
      <c r="RPE66" s="122"/>
      <c r="RPF66" s="122"/>
      <c r="RPG66" s="122"/>
      <c r="RPH66" s="122"/>
      <c r="RPI66" s="122"/>
      <c r="RPJ66" s="122"/>
      <c r="RPK66" s="122"/>
      <c r="RPL66" s="122"/>
      <c r="RPM66" s="122"/>
      <c r="RPN66" s="122"/>
      <c r="RPO66" s="122"/>
      <c r="RPP66" s="122"/>
      <c r="RPQ66" s="122"/>
      <c r="RPR66" s="122"/>
      <c r="RPS66" s="122"/>
      <c r="RPT66" s="122"/>
      <c r="RPU66" s="122"/>
      <c r="RPV66" s="122"/>
      <c r="RPW66" s="122"/>
      <c r="RPX66" s="122"/>
      <c r="RPY66" s="122"/>
      <c r="RPZ66" s="122"/>
      <c r="RQA66" s="122"/>
      <c r="RQB66" s="122"/>
      <c r="RQC66" s="122"/>
      <c r="RQD66" s="122"/>
      <c r="RQE66" s="122"/>
      <c r="RQF66" s="122"/>
      <c r="RQG66" s="122"/>
      <c r="RQH66" s="122"/>
      <c r="RQI66" s="122"/>
      <c r="RQJ66" s="122"/>
      <c r="RQK66" s="122"/>
      <c r="RQL66" s="122"/>
      <c r="RQM66" s="122"/>
      <c r="RQN66" s="122"/>
      <c r="RQO66" s="122"/>
      <c r="RQP66" s="122"/>
      <c r="RQQ66" s="122"/>
      <c r="RQR66" s="122"/>
      <c r="RQS66" s="122"/>
      <c r="RQT66" s="122"/>
      <c r="RQU66" s="122"/>
      <c r="RQV66" s="122"/>
      <c r="RQW66" s="122"/>
      <c r="RQX66" s="122"/>
      <c r="RQY66" s="122"/>
      <c r="RQZ66" s="122"/>
      <c r="RRA66" s="122"/>
      <c r="RRB66" s="122"/>
      <c r="RRC66" s="122"/>
      <c r="RRD66" s="122"/>
      <c r="RRE66" s="122"/>
      <c r="RRF66" s="122"/>
      <c r="RRG66" s="122"/>
      <c r="RRH66" s="122"/>
      <c r="RRI66" s="122"/>
      <c r="RRJ66" s="122"/>
      <c r="RRK66" s="122"/>
      <c r="RRL66" s="122"/>
      <c r="RRM66" s="122"/>
      <c r="RRN66" s="122"/>
      <c r="RRO66" s="122"/>
      <c r="RRP66" s="122"/>
      <c r="RRQ66" s="122"/>
      <c r="RRR66" s="122"/>
      <c r="RRS66" s="122"/>
      <c r="RRT66" s="122"/>
      <c r="RRU66" s="122"/>
      <c r="RRV66" s="122"/>
      <c r="RRW66" s="122"/>
      <c r="RRX66" s="122"/>
      <c r="RRY66" s="122"/>
      <c r="RRZ66" s="122"/>
      <c r="RSA66" s="122"/>
      <c r="RSB66" s="122"/>
      <c r="RSC66" s="122"/>
      <c r="RSD66" s="122"/>
      <c r="RSE66" s="122"/>
      <c r="RSF66" s="122"/>
      <c r="RSG66" s="122"/>
      <c r="RSH66" s="122"/>
      <c r="RSI66" s="122"/>
      <c r="RSJ66" s="122"/>
      <c r="RSK66" s="122"/>
      <c r="RSL66" s="122"/>
      <c r="RSM66" s="122"/>
      <c r="RSN66" s="122"/>
      <c r="RSO66" s="122"/>
      <c r="RSP66" s="122"/>
      <c r="RSQ66" s="122"/>
      <c r="RSR66" s="122"/>
      <c r="RSS66" s="122"/>
      <c r="RST66" s="122"/>
      <c r="RSU66" s="122"/>
      <c r="RSV66" s="122"/>
      <c r="RSW66" s="122"/>
      <c r="RSX66" s="122"/>
      <c r="RSY66" s="122"/>
      <c r="RSZ66" s="122"/>
      <c r="RTA66" s="122"/>
      <c r="RTB66" s="122"/>
      <c r="RTC66" s="122"/>
      <c r="RTD66" s="122"/>
      <c r="RTE66" s="122"/>
      <c r="RTF66" s="122"/>
      <c r="RTG66" s="122"/>
      <c r="RTH66" s="122"/>
      <c r="RTI66" s="122"/>
      <c r="RTJ66" s="122"/>
      <c r="RTK66" s="122"/>
      <c r="RTL66" s="122"/>
      <c r="RTM66" s="122"/>
      <c r="RTN66" s="122"/>
      <c r="RTO66" s="122"/>
      <c r="RTP66" s="122"/>
      <c r="RTQ66" s="122"/>
      <c r="RTR66" s="122"/>
      <c r="RTS66" s="122"/>
      <c r="RTT66" s="122"/>
      <c r="RTU66" s="122"/>
      <c r="RTV66" s="122"/>
      <c r="RTW66" s="122"/>
      <c r="RTX66" s="122"/>
      <c r="RTY66" s="122"/>
      <c r="RTZ66" s="122"/>
      <c r="RUA66" s="122"/>
      <c r="RUB66" s="122"/>
      <c r="RUC66" s="122"/>
      <c r="RUD66" s="122"/>
      <c r="RUE66" s="122"/>
      <c r="RUF66" s="122"/>
      <c r="RUG66" s="122"/>
      <c r="RUH66" s="122"/>
      <c r="RUI66" s="122"/>
      <c r="RUJ66" s="122"/>
      <c r="RUK66" s="122"/>
      <c r="RUL66" s="122"/>
      <c r="RUM66" s="122"/>
      <c r="RUN66" s="122"/>
      <c r="RUO66" s="122"/>
      <c r="RUP66" s="122"/>
      <c r="RUQ66" s="122"/>
      <c r="RUR66" s="122"/>
      <c r="RUS66" s="122"/>
      <c r="RUT66" s="122"/>
      <c r="RUU66" s="122"/>
      <c r="RUV66" s="122"/>
      <c r="RUW66" s="122"/>
      <c r="RUX66" s="122"/>
      <c r="RUY66" s="122"/>
      <c r="RUZ66" s="122"/>
      <c r="RVA66" s="122"/>
      <c r="RVB66" s="122"/>
      <c r="RVC66" s="122"/>
      <c r="RVD66" s="122"/>
      <c r="RVE66" s="122"/>
      <c r="RVF66" s="122"/>
      <c r="RVG66" s="122"/>
      <c r="RVH66" s="122"/>
      <c r="RVI66" s="122"/>
      <c r="RVJ66" s="122"/>
      <c r="RVK66" s="122"/>
      <c r="RVL66" s="122"/>
      <c r="RVM66" s="122"/>
      <c r="RVN66" s="122"/>
      <c r="RVO66" s="122"/>
      <c r="RVP66" s="122"/>
      <c r="RVQ66" s="122"/>
      <c r="RVR66" s="122"/>
      <c r="RVS66" s="122"/>
      <c r="RVT66" s="122"/>
      <c r="RVU66" s="122"/>
      <c r="RVV66" s="122"/>
      <c r="RVW66" s="122"/>
      <c r="RVX66" s="122"/>
      <c r="RVY66" s="122"/>
      <c r="RVZ66" s="122"/>
      <c r="RWA66" s="122"/>
      <c r="RWB66" s="122"/>
      <c r="RWC66" s="122"/>
      <c r="RWD66" s="122"/>
      <c r="RWE66" s="122"/>
      <c r="RWF66" s="122"/>
      <c r="RWG66" s="122"/>
      <c r="RWH66" s="122"/>
      <c r="RWI66" s="122"/>
      <c r="RWJ66" s="122"/>
      <c r="RWK66" s="122"/>
      <c r="RWL66" s="122"/>
      <c r="RWM66" s="122"/>
      <c r="RWN66" s="122"/>
      <c r="RWO66" s="122"/>
      <c r="RWP66" s="122"/>
      <c r="RWQ66" s="122"/>
      <c r="RWR66" s="122"/>
      <c r="RWS66" s="122"/>
      <c r="RWT66" s="122"/>
      <c r="RWU66" s="122"/>
      <c r="RWV66" s="122"/>
      <c r="RWW66" s="122"/>
      <c r="RWX66" s="122"/>
      <c r="RWY66" s="122"/>
      <c r="RWZ66" s="122"/>
      <c r="RXA66" s="122"/>
      <c r="RXB66" s="122"/>
      <c r="RXC66" s="122"/>
      <c r="RXD66" s="122"/>
      <c r="RXE66" s="122"/>
      <c r="RXF66" s="122"/>
      <c r="RXG66" s="122"/>
      <c r="RXH66" s="122"/>
      <c r="RXI66" s="122"/>
      <c r="RXJ66" s="122"/>
      <c r="RXK66" s="122"/>
      <c r="RXL66" s="122"/>
      <c r="RXM66" s="122"/>
      <c r="RXN66" s="122"/>
      <c r="RXO66" s="122"/>
      <c r="RXP66" s="122"/>
      <c r="RXQ66" s="122"/>
      <c r="RXR66" s="122"/>
      <c r="RXS66" s="122"/>
      <c r="RXT66" s="122"/>
      <c r="RXU66" s="122"/>
      <c r="RXV66" s="122"/>
      <c r="RXW66" s="122"/>
      <c r="RXX66" s="122"/>
      <c r="RXY66" s="122"/>
      <c r="RXZ66" s="122"/>
      <c r="RYA66" s="122"/>
      <c r="RYB66" s="122"/>
      <c r="RYC66" s="122"/>
      <c r="RYD66" s="122"/>
      <c r="RYE66" s="122"/>
      <c r="RYF66" s="122"/>
      <c r="RYG66" s="122"/>
      <c r="RYH66" s="122"/>
      <c r="RYI66" s="122"/>
      <c r="RYJ66" s="122"/>
      <c r="RYK66" s="122"/>
      <c r="RYL66" s="122"/>
      <c r="RYM66" s="122"/>
      <c r="RYN66" s="122"/>
      <c r="RYO66" s="122"/>
      <c r="RYP66" s="122"/>
      <c r="RYQ66" s="122"/>
      <c r="RYR66" s="122"/>
      <c r="RYS66" s="122"/>
      <c r="RYT66" s="122"/>
      <c r="RYU66" s="122"/>
      <c r="RYV66" s="122"/>
      <c r="RYW66" s="122"/>
      <c r="RYX66" s="122"/>
      <c r="RYY66" s="122"/>
      <c r="RYZ66" s="122"/>
      <c r="RZA66" s="122"/>
      <c r="RZB66" s="122"/>
      <c r="RZC66" s="122"/>
      <c r="RZD66" s="122"/>
      <c r="RZE66" s="122"/>
      <c r="RZF66" s="122"/>
      <c r="RZG66" s="122"/>
      <c r="RZH66" s="122"/>
      <c r="RZI66" s="122"/>
      <c r="RZJ66" s="122"/>
      <c r="RZK66" s="122"/>
      <c r="RZL66" s="122"/>
      <c r="RZM66" s="122"/>
      <c r="RZN66" s="122"/>
      <c r="RZO66" s="122"/>
      <c r="RZP66" s="122"/>
      <c r="RZQ66" s="122"/>
      <c r="RZR66" s="122"/>
      <c r="RZS66" s="122"/>
      <c r="RZT66" s="122"/>
      <c r="RZU66" s="122"/>
      <c r="RZV66" s="122"/>
      <c r="RZW66" s="122"/>
      <c r="RZX66" s="122"/>
      <c r="RZY66" s="122"/>
      <c r="RZZ66" s="122"/>
      <c r="SAA66" s="122"/>
      <c r="SAB66" s="122"/>
      <c r="SAC66" s="122"/>
      <c r="SAD66" s="122"/>
      <c r="SAE66" s="122"/>
      <c r="SAF66" s="122"/>
      <c r="SAG66" s="122"/>
      <c r="SAH66" s="122"/>
      <c r="SAI66" s="122"/>
      <c r="SAJ66" s="122"/>
      <c r="SAK66" s="122"/>
      <c r="SAL66" s="122"/>
      <c r="SAM66" s="122"/>
      <c r="SAN66" s="122"/>
      <c r="SAO66" s="122"/>
      <c r="SAP66" s="122"/>
      <c r="SAQ66" s="122"/>
      <c r="SAR66" s="122"/>
      <c r="SAS66" s="122"/>
      <c r="SAT66" s="122"/>
      <c r="SAU66" s="122"/>
      <c r="SAV66" s="122"/>
      <c r="SAW66" s="122"/>
      <c r="SAX66" s="122"/>
      <c r="SAY66" s="122"/>
      <c r="SAZ66" s="122"/>
      <c r="SBA66" s="122"/>
      <c r="SBB66" s="122"/>
      <c r="SBC66" s="122"/>
      <c r="SBD66" s="122"/>
      <c r="SBE66" s="122"/>
      <c r="SBF66" s="122"/>
      <c r="SBG66" s="122"/>
      <c r="SBH66" s="122"/>
      <c r="SBI66" s="122"/>
      <c r="SBJ66" s="122"/>
      <c r="SBK66" s="122"/>
      <c r="SBL66" s="122"/>
      <c r="SBM66" s="122"/>
      <c r="SBN66" s="122"/>
      <c r="SBO66" s="122"/>
      <c r="SBP66" s="122"/>
      <c r="SBQ66" s="122"/>
      <c r="SBR66" s="122"/>
      <c r="SBS66" s="122"/>
      <c r="SBT66" s="122"/>
      <c r="SBU66" s="122"/>
      <c r="SBV66" s="122"/>
      <c r="SBW66" s="122"/>
      <c r="SBX66" s="122"/>
      <c r="SBY66" s="122"/>
      <c r="SBZ66" s="122"/>
      <c r="SCA66" s="122"/>
      <c r="SCB66" s="122"/>
      <c r="SCC66" s="122"/>
      <c r="SCD66" s="122"/>
      <c r="SCE66" s="122"/>
      <c r="SCF66" s="122"/>
      <c r="SCG66" s="122"/>
      <c r="SCH66" s="122"/>
      <c r="SCI66" s="122"/>
      <c r="SCJ66" s="122"/>
      <c r="SCK66" s="122"/>
      <c r="SCL66" s="122"/>
      <c r="SCM66" s="122"/>
      <c r="SCN66" s="122"/>
      <c r="SCO66" s="122"/>
      <c r="SCP66" s="122"/>
      <c r="SCQ66" s="122"/>
      <c r="SCR66" s="122"/>
      <c r="SCS66" s="122"/>
      <c r="SCT66" s="122"/>
      <c r="SCU66" s="122"/>
      <c r="SCV66" s="122"/>
      <c r="SCW66" s="122"/>
      <c r="SCX66" s="122"/>
      <c r="SCY66" s="122"/>
      <c r="SCZ66" s="122"/>
      <c r="SDA66" s="122"/>
      <c r="SDB66" s="122"/>
      <c r="SDC66" s="122"/>
      <c r="SDD66" s="122"/>
      <c r="SDE66" s="122"/>
      <c r="SDF66" s="122"/>
      <c r="SDG66" s="122"/>
      <c r="SDH66" s="122"/>
      <c r="SDI66" s="122"/>
      <c r="SDJ66" s="122"/>
      <c r="SDK66" s="122"/>
      <c r="SDL66" s="122"/>
      <c r="SDM66" s="122"/>
      <c r="SDN66" s="122"/>
      <c r="SDO66" s="122"/>
      <c r="SDP66" s="122"/>
      <c r="SDQ66" s="122"/>
      <c r="SDR66" s="122"/>
      <c r="SDS66" s="122"/>
      <c r="SDT66" s="122"/>
      <c r="SDU66" s="122"/>
      <c r="SDV66" s="122"/>
      <c r="SDW66" s="122"/>
      <c r="SDX66" s="122"/>
      <c r="SDY66" s="122"/>
      <c r="SDZ66" s="122"/>
      <c r="SEA66" s="122"/>
      <c r="SEB66" s="122"/>
      <c r="SEC66" s="122"/>
      <c r="SED66" s="122"/>
      <c r="SEE66" s="122"/>
      <c r="SEF66" s="122"/>
      <c r="SEG66" s="122"/>
      <c r="SEH66" s="122"/>
      <c r="SEI66" s="122"/>
      <c r="SEJ66" s="122"/>
      <c r="SEK66" s="122"/>
      <c r="SEL66" s="122"/>
      <c r="SEM66" s="122"/>
      <c r="SEN66" s="122"/>
      <c r="SEO66" s="122"/>
      <c r="SEP66" s="122"/>
      <c r="SEQ66" s="122"/>
      <c r="SER66" s="122"/>
      <c r="SES66" s="122"/>
      <c r="SET66" s="122"/>
      <c r="SEU66" s="122"/>
      <c r="SEV66" s="122"/>
      <c r="SEW66" s="122"/>
      <c r="SEX66" s="122"/>
      <c r="SEY66" s="122"/>
      <c r="SEZ66" s="122"/>
      <c r="SFA66" s="122"/>
      <c r="SFB66" s="122"/>
      <c r="SFC66" s="122"/>
      <c r="SFD66" s="122"/>
      <c r="SFE66" s="122"/>
      <c r="SFF66" s="122"/>
      <c r="SFG66" s="122"/>
      <c r="SFH66" s="122"/>
      <c r="SFI66" s="122"/>
      <c r="SFJ66" s="122"/>
      <c r="SFK66" s="122"/>
      <c r="SFL66" s="122"/>
      <c r="SFM66" s="122"/>
      <c r="SFN66" s="122"/>
      <c r="SFO66" s="122"/>
      <c r="SFP66" s="122"/>
      <c r="SFQ66" s="122"/>
      <c r="SFR66" s="122"/>
      <c r="SFS66" s="122"/>
      <c r="SFT66" s="122"/>
      <c r="SFU66" s="122"/>
      <c r="SFV66" s="122"/>
      <c r="SFW66" s="122"/>
      <c r="SFX66" s="122"/>
      <c r="SFY66" s="122"/>
      <c r="SFZ66" s="122"/>
      <c r="SGA66" s="122"/>
      <c r="SGB66" s="122"/>
      <c r="SGC66" s="122"/>
      <c r="SGD66" s="122"/>
      <c r="SGE66" s="122"/>
      <c r="SGF66" s="122"/>
      <c r="SGG66" s="122"/>
      <c r="SGH66" s="122"/>
      <c r="SGI66" s="122"/>
      <c r="SGJ66" s="122"/>
      <c r="SGK66" s="122"/>
      <c r="SGL66" s="122"/>
      <c r="SGM66" s="122"/>
      <c r="SGN66" s="122"/>
      <c r="SGO66" s="122"/>
      <c r="SGP66" s="122"/>
      <c r="SGQ66" s="122"/>
      <c r="SGR66" s="122"/>
      <c r="SGS66" s="122"/>
      <c r="SGT66" s="122"/>
      <c r="SGU66" s="122"/>
      <c r="SGV66" s="122"/>
      <c r="SGW66" s="122"/>
      <c r="SGX66" s="122"/>
      <c r="SGY66" s="122"/>
      <c r="SGZ66" s="122"/>
      <c r="SHA66" s="122"/>
      <c r="SHB66" s="122"/>
      <c r="SHC66" s="122"/>
      <c r="SHD66" s="122"/>
      <c r="SHE66" s="122"/>
      <c r="SHF66" s="122"/>
      <c r="SHG66" s="122"/>
      <c r="SHH66" s="122"/>
      <c r="SHI66" s="122"/>
      <c r="SHJ66" s="122"/>
      <c r="SHK66" s="122"/>
      <c r="SHL66" s="122"/>
      <c r="SHM66" s="122"/>
      <c r="SHN66" s="122"/>
      <c r="SHO66" s="122"/>
      <c r="SHP66" s="122"/>
      <c r="SHQ66" s="122"/>
      <c r="SHR66" s="122"/>
      <c r="SHS66" s="122"/>
      <c r="SHT66" s="122"/>
      <c r="SHU66" s="122"/>
      <c r="SHV66" s="122"/>
      <c r="SHW66" s="122"/>
      <c r="SHX66" s="122"/>
      <c r="SHY66" s="122"/>
      <c r="SHZ66" s="122"/>
      <c r="SIA66" s="122"/>
      <c r="SIB66" s="122"/>
      <c r="SIC66" s="122"/>
      <c r="SID66" s="122"/>
      <c r="SIE66" s="122"/>
      <c r="SIF66" s="122"/>
      <c r="SIG66" s="122"/>
      <c r="SIH66" s="122"/>
      <c r="SII66" s="122"/>
      <c r="SIJ66" s="122"/>
      <c r="SIK66" s="122"/>
      <c r="SIL66" s="122"/>
      <c r="SIM66" s="122"/>
      <c r="SIN66" s="122"/>
      <c r="SIO66" s="122"/>
      <c r="SIP66" s="122"/>
      <c r="SIQ66" s="122"/>
      <c r="SIR66" s="122"/>
      <c r="SIS66" s="122"/>
      <c r="SIT66" s="122"/>
      <c r="SIU66" s="122"/>
      <c r="SIV66" s="122"/>
      <c r="SIW66" s="122"/>
      <c r="SIX66" s="122"/>
      <c r="SIY66" s="122"/>
      <c r="SIZ66" s="122"/>
      <c r="SJA66" s="122"/>
      <c r="SJB66" s="122"/>
      <c r="SJC66" s="122"/>
      <c r="SJD66" s="122"/>
      <c r="SJE66" s="122"/>
      <c r="SJF66" s="122"/>
      <c r="SJG66" s="122"/>
      <c r="SJH66" s="122"/>
      <c r="SJI66" s="122"/>
      <c r="SJJ66" s="122"/>
      <c r="SJK66" s="122"/>
      <c r="SJL66" s="122"/>
      <c r="SJM66" s="122"/>
      <c r="SJN66" s="122"/>
      <c r="SJO66" s="122"/>
      <c r="SJP66" s="122"/>
      <c r="SJQ66" s="122"/>
      <c r="SJR66" s="122"/>
      <c r="SJS66" s="122"/>
      <c r="SJT66" s="122"/>
      <c r="SJU66" s="122"/>
      <c r="SJV66" s="122"/>
      <c r="SJW66" s="122"/>
      <c r="SJX66" s="122"/>
      <c r="SJY66" s="122"/>
      <c r="SJZ66" s="122"/>
      <c r="SKA66" s="122"/>
      <c r="SKB66" s="122"/>
      <c r="SKC66" s="122"/>
      <c r="SKD66" s="122"/>
      <c r="SKE66" s="122"/>
      <c r="SKF66" s="122"/>
      <c r="SKG66" s="122"/>
      <c r="SKH66" s="122"/>
      <c r="SKI66" s="122"/>
      <c r="SKJ66" s="122"/>
      <c r="SKK66" s="122"/>
      <c r="SKL66" s="122"/>
      <c r="SKM66" s="122"/>
      <c r="SKN66" s="122"/>
      <c r="SKO66" s="122"/>
      <c r="SKP66" s="122"/>
      <c r="SKQ66" s="122"/>
      <c r="SKR66" s="122"/>
      <c r="SKS66" s="122"/>
      <c r="SKT66" s="122"/>
      <c r="SKU66" s="122"/>
      <c r="SKV66" s="122"/>
      <c r="SKW66" s="122"/>
      <c r="SKX66" s="122"/>
      <c r="SKY66" s="122"/>
      <c r="SKZ66" s="122"/>
      <c r="SLA66" s="122"/>
      <c r="SLB66" s="122"/>
      <c r="SLC66" s="122"/>
      <c r="SLD66" s="122"/>
      <c r="SLE66" s="122"/>
      <c r="SLF66" s="122"/>
      <c r="SLG66" s="122"/>
      <c r="SLH66" s="122"/>
      <c r="SLI66" s="122"/>
      <c r="SLJ66" s="122"/>
      <c r="SLK66" s="122"/>
      <c r="SLL66" s="122"/>
      <c r="SLM66" s="122"/>
      <c r="SLN66" s="122"/>
      <c r="SLO66" s="122"/>
      <c r="SLP66" s="122"/>
      <c r="SLQ66" s="122"/>
      <c r="SLR66" s="122"/>
      <c r="SLS66" s="122"/>
      <c r="SLT66" s="122"/>
      <c r="SLU66" s="122"/>
      <c r="SLV66" s="122"/>
      <c r="SLW66" s="122"/>
      <c r="SLX66" s="122"/>
      <c r="SLY66" s="122"/>
      <c r="SLZ66" s="122"/>
      <c r="SMA66" s="122"/>
      <c r="SMB66" s="122"/>
      <c r="SMC66" s="122"/>
      <c r="SMD66" s="122"/>
      <c r="SME66" s="122"/>
      <c r="SMF66" s="122"/>
      <c r="SMG66" s="122"/>
      <c r="SMH66" s="122"/>
      <c r="SMI66" s="122"/>
      <c r="SMJ66" s="122"/>
      <c r="SMK66" s="122"/>
      <c r="SML66" s="122"/>
      <c r="SMM66" s="122"/>
      <c r="SMN66" s="122"/>
      <c r="SMO66" s="122"/>
      <c r="SMP66" s="122"/>
      <c r="SMQ66" s="122"/>
      <c r="SMR66" s="122"/>
      <c r="SMS66" s="122"/>
      <c r="SMT66" s="122"/>
      <c r="SMU66" s="122"/>
      <c r="SMV66" s="122"/>
      <c r="SMW66" s="122"/>
      <c r="SMX66" s="122"/>
      <c r="SMY66" s="122"/>
      <c r="SMZ66" s="122"/>
      <c r="SNA66" s="122"/>
      <c r="SNB66" s="122"/>
      <c r="SNC66" s="122"/>
      <c r="SND66" s="122"/>
      <c r="SNE66" s="122"/>
      <c r="SNF66" s="122"/>
      <c r="SNG66" s="122"/>
      <c r="SNH66" s="122"/>
      <c r="SNI66" s="122"/>
      <c r="SNJ66" s="122"/>
      <c r="SNK66" s="122"/>
      <c r="SNL66" s="122"/>
      <c r="SNM66" s="122"/>
      <c r="SNN66" s="122"/>
      <c r="SNO66" s="122"/>
      <c r="SNP66" s="122"/>
      <c r="SNQ66" s="122"/>
      <c r="SNR66" s="122"/>
      <c r="SNS66" s="122"/>
      <c r="SNT66" s="122"/>
      <c r="SNU66" s="122"/>
      <c r="SNV66" s="122"/>
      <c r="SNW66" s="122"/>
      <c r="SNX66" s="122"/>
      <c r="SNY66" s="122"/>
      <c r="SNZ66" s="122"/>
      <c r="SOA66" s="122"/>
      <c r="SOB66" s="122"/>
      <c r="SOC66" s="122"/>
      <c r="SOD66" s="122"/>
      <c r="SOE66" s="122"/>
      <c r="SOF66" s="122"/>
      <c r="SOG66" s="122"/>
      <c r="SOH66" s="122"/>
      <c r="SOI66" s="122"/>
      <c r="SOJ66" s="122"/>
      <c r="SOK66" s="122"/>
      <c r="SOL66" s="122"/>
      <c r="SOM66" s="122"/>
      <c r="SON66" s="122"/>
      <c r="SOO66" s="122"/>
      <c r="SOP66" s="122"/>
      <c r="SOQ66" s="122"/>
      <c r="SOR66" s="122"/>
      <c r="SOS66" s="122"/>
      <c r="SOT66" s="122"/>
      <c r="SOU66" s="122"/>
      <c r="SOV66" s="122"/>
      <c r="SOW66" s="122"/>
      <c r="SOX66" s="122"/>
      <c r="SOY66" s="122"/>
      <c r="SOZ66" s="122"/>
      <c r="SPA66" s="122"/>
      <c r="SPB66" s="122"/>
      <c r="SPC66" s="122"/>
      <c r="SPD66" s="122"/>
      <c r="SPE66" s="122"/>
      <c r="SPF66" s="122"/>
      <c r="SPG66" s="122"/>
      <c r="SPH66" s="122"/>
      <c r="SPI66" s="122"/>
      <c r="SPJ66" s="122"/>
      <c r="SPK66" s="122"/>
      <c r="SPL66" s="122"/>
      <c r="SPM66" s="122"/>
      <c r="SPN66" s="122"/>
      <c r="SPO66" s="122"/>
      <c r="SPP66" s="122"/>
      <c r="SPQ66" s="122"/>
      <c r="SPR66" s="122"/>
      <c r="SPS66" s="122"/>
      <c r="SPT66" s="122"/>
      <c r="SPU66" s="122"/>
      <c r="SPV66" s="122"/>
      <c r="SPW66" s="122"/>
      <c r="SPX66" s="122"/>
      <c r="SPY66" s="122"/>
      <c r="SPZ66" s="122"/>
      <c r="SQA66" s="122"/>
      <c r="SQB66" s="122"/>
      <c r="SQC66" s="122"/>
      <c r="SQD66" s="122"/>
      <c r="SQE66" s="122"/>
      <c r="SQF66" s="122"/>
      <c r="SQG66" s="122"/>
      <c r="SQH66" s="122"/>
      <c r="SQI66" s="122"/>
      <c r="SQJ66" s="122"/>
      <c r="SQK66" s="122"/>
      <c r="SQL66" s="122"/>
      <c r="SQM66" s="122"/>
      <c r="SQN66" s="122"/>
      <c r="SQO66" s="122"/>
      <c r="SQP66" s="122"/>
      <c r="SQQ66" s="122"/>
      <c r="SQR66" s="122"/>
      <c r="SQS66" s="122"/>
      <c r="SQT66" s="122"/>
      <c r="SQU66" s="122"/>
      <c r="SQV66" s="122"/>
      <c r="SQW66" s="122"/>
      <c r="SQX66" s="122"/>
      <c r="SQY66" s="122"/>
      <c r="SQZ66" s="122"/>
      <c r="SRA66" s="122"/>
      <c r="SRB66" s="122"/>
      <c r="SRC66" s="122"/>
      <c r="SRD66" s="122"/>
      <c r="SRE66" s="122"/>
      <c r="SRF66" s="122"/>
      <c r="SRG66" s="122"/>
      <c r="SRH66" s="122"/>
      <c r="SRI66" s="122"/>
      <c r="SRJ66" s="122"/>
      <c r="SRK66" s="122"/>
      <c r="SRL66" s="122"/>
      <c r="SRM66" s="122"/>
      <c r="SRN66" s="122"/>
      <c r="SRO66" s="122"/>
      <c r="SRP66" s="122"/>
      <c r="SRQ66" s="122"/>
      <c r="SRR66" s="122"/>
      <c r="SRS66" s="122"/>
      <c r="SRT66" s="122"/>
      <c r="SRU66" s="122"/>
      <c r="SRV66" s="122"/>
      <c r="SRW66" s="122"/>
      <c r="SRX66" s="122"/>
      <c r="SRY66" s="122"/>
      <c r="SRZ66" s="122"/>
      <c r="SSA66" s="122"/>
      <c r="SSB66" s="122"/>
      <c r="SSC66" s="122"/>
      <c r="SSD66" s="122"/>
      <c r="SSE66" s="122"/>
      <c r="SSF66" s="122"/>
      <c r="SSG66" s="122"/>
      <c r="SSH66" s="122"/>
      <c r="SSI66" s="122"/>
      <c r="SSJ66" s="122"/>
      <c r="SSK66" s="122"/>
      <c r="SSL66" s="122"/>
      <c r="SSM66" s="122"/>
      <c r="SSN66" s="122"/>
      <c r="SSO66" s="122"/>
      <c r="SSP66" s="122"/>
      <c r="SSQ66" s="122"/>
      <c r="SSR66" s="122"/>
      <c r="SSS66" s="122"/>
      <c r="SST66" s="122"/>
      <c r="SSU66" s="122"/>
      <c r="SSV66" s="122"/>
      <c r="SSW66" s="122"/>
      <c r="SSX66" s="122"/>
      <c r="SSY66" s="122"/>
      <c r="SSZ66" s="122"/>
      <c r="STA66" s="122"/>
      <c r="STB66" s="122"/>
      <c r="STC66" s="122"/>
      <c r="STD66" s="122"/>
      <c r="STE66" s="122"/>
      <c r="STF66" s="122"/>
      <c r="STG66" s="122"/>
      <c r="STH66" s="122"/>
      <c r="STI66" s="122"/>
      <c r="STJ66" s="122"/>
      <c r="STK66" s="122"/>
      <c r="STL66" s="122"/>
      <c r="STM66" s="122"/>
      <c r="STN66" s="122"/>
      <c r="STO66" s="122"/>
      <c r="STP66" s="122"/>
      <c r="STQ66" s="122"/>
      <c r="STR66" s="122"/>
      <c r="STS66" s="122"/>
      <c r="STT66" s="122"/>
      <c r="STU66" s="122"/>
      <c r="STV66" s="122"/>
      <c r="STW66" s="122"/>
      <c r="STX66" s="122"/>
      <c r="STY66" s="122"/>
      <c r="STZ66" s="122"/>
      <c r="SUA66" s="122"/>
      <c r="SUB66" s="122"/>
      <c r="SUC66" s="122"/>
      <c r="SUD66" s="122"/>
      <c r="SUE66" s="122"/>
      <c r="SUF66" s="122"/>
      <c r="SUG66" s="122"/>
      <c r="SUH66" s="122"/>
      <c r="SUI66" s="122"/>
      <c r="SUJ66" s="122"/>
      <c r="SUK66" s="122"/>
      <c r="SUL66" s="122"/>
      <c r="SUM66" s="122"/>
      <c r="SUN66" s="122"/>
      <c r="SUO66" s="122"/>
      <c r="SUP66" s="122"/>
      <c r="SUQ66" s="122"/>
      <c r="SUR66" s="122"/>
      <c r="SUS66" s="122"/>
      <c r="SUT66" s="122"/>
      <c r="SUU66" s="122"/>
      <c r="SUV66" s="122"/>
      <c r="SUW66" s="122"/>
      <c r="SUX66" s="122"/>
      <c r="SUY66" s="122"/>
      <c r="SUZ66" s="122"/>
      <c r="SVA66" s="122"/>
      <c r="SVB66" s="122"/>
      <c r="SVC66" s="122"/>
      <c r="SVD66" s="122"/>
      <c r="SVE66" s="122"/>
      <c r="SVF66" s="122"/>
      <c r="SVG66" s="122"/>
      <c r="SVH66" s="122"/>
      <c r="SVI66" s="122"/>
      <c r="SVJ66" s="122"/>
      <c r="SVK66" s="122"/>
      <c r="SVL66" s="122"/>
      <c r="SVM66" s="122"/>
      <c r="SVN66" s="122"/>
      <c r="SVO66" s="122"/>
      <c r="SVP66" s="122"/>
      <c r="SVQ66" s="122"/>
      <c r="SVR66" s="122"/>
      <c r="SVS66" s="122"/>
      <c r="SVT66" s="122"/>
      <c r="SVU66" s="122"/>
      <c r="SVV66" s="122"/>
      <c r="SVW66" s="122"/>
      <c r="SVX66" s="122"/>
      <c r="SVY66" s="122"/>
      <c r="SVZ66" s="122"/>
      <c r="SWA66" s="122"/>
      <c r="SWB66" s="122"/>
      <c r="SWC66" s="122"/>
      <c r="SWD66" s="122"/>
      <c r="SWE66" s="122"/>
      <c r="SWF66" s="122"/>
      <c r="SWG66" s="122"/>
      <c r="SWH66" s="122"/>
      <c r="SWI66" s="122"/>
      <c r="SWJ66" s="122"/>
      <c r="SWK66" s="122"/>
      <c r="SWL66" s="122"/>
      <c r="SWM66" s="122"/>
      <c r="SWN66" s="122"/>
      <c r="SWO66" s="122"/>
      <c r="SWP66" s="122"/>
      <c r="SWQ66" s="122"/>
      <c r="SWR66" s="122"/>
      <c r="SWS66" s="122"/>
      <c r="SWT66" s="122"/>
      <c r="SWU66" s="122"/>
      <c r="SWV66" s="122"/>
      <c r="SWW66" s="122"/>
      <c r="SWX66" s="122"/>
      <c r="SWY66" s="122"/>
      <c r="SWZ66" s="122"/>
      <c r="SXA66" s="122"/>
      <c r="SXB66" s="122"/>
      <c r="SXC66" s="122"/>
      <c r="SXD66" s="122"/>
      <c r="SXE66" s="122"/>
      <c r="SXF66" s="122"/>
      <c r="SXG66" s="122"/>
      <c r="SXH66" s="122"/>
      <c r="SXI66" s="122"/>
      <c r="SXJ66" s="122"/>
      <c r="SXK66" s="122"/>
      <c r="SXL66" s="122"/>
      <c r="SXM66" s="122"/>
      <c r="SXN66" s="122"/>
      <c r="SXO66" s="122"/>
      <c r="SXP66" s="122"/>
      <c r="SXQ66" s="122"/>
      <c r="SXR66" s="122"/>
      <c r="SXS66" s="122"/>
      <c r="SXT66" s="122"/>
      <c r="SXU66" s="122"/>
      <c r="SXV66" s="122"/>
      <c r="SXW66" s="122"/>
      <c r="SXX66" s="122"/>
      <c r="SXY66" s="122"/>
      <c r="SXZ66" s="122"/>
      <c r="SYA66" s="122"/>
      <c r="SYB66" s="122"/>
      <c r="SYC66" s="122"/>
      <c r="SYD66" s="122"/>
      <c r="SYE66" s="122"/>
      <c r="SYF66" s="122"/>
      <c r="SYG66" s="122"/>
      <c r="SYH66" s="122"/>
      <c r="SYI66" s="122"/>
      <c r="SYJ66" s="122"/>
      <c r="SYK66" s="122"/>
      <c r="SYL66" s="122"/>
      <c r="SYM66" s="122"/>
      <c r="SYN66" s="122"/>
      <c r="SYO66" s="122"/>
      <c r="SYP66" s="122"/>
      <c r="SYQ66" s="122"/>
      <c r="SYR66" s="122"/>
      <c r="SYS66" s="122"/>
      <c r="SYT66" s="122"/>
      <c r="SYU66" s="122"/>
      <c r="SYV66" s="122"/>
      <c r="SYW66" s="122"/>
      <c r="SYX66" s="122"/>
      <c r="SYY66" s="122"/>
      <c r="SYZ66" s="122"/>
      <c r="SZA66" s="122"/>
      <c r="SZB66" s="122"/>
      <c r="SZC66" s="122"/>
      <c r="SZD66" s="122"/>
      <c r="SZE66" s="122"/>
      <c r="SZF66" s="122"/>
      <c r="SZG66" s="122"/>
      <c r="SZH66" s="122"/>
      <c r="SZI66" s="122"/>
      <c r="SZJ66" s="122"/>
      <c r="SZK66" s="122"/>
      <c r="SZL66" s="122"/>
      <c r="SZM66" s="122"/>
      <c r="SZN66" s="122"/>
      <c r="SZO66" s="122"/>
      <c r="SZP66" s="122"/>
      <c r="SZQ66" s="122"/>
      <c r="SZR66" s="122"/>
      <c r="SZS66" s="122"/>
      <c r="SZT66" s="122"/>
      <c r="SZU66" s="122"/>
      <c r="SZV66" s="122"/>
      <c r="SZW66" s="122"/>
      <c r="SZX66" s="122"/>
      <c r="SZY66" s="122"/>
      <c r="SZZ66" s="122"/>
      <c r="TAA66" s="122"/>
      <c r="TAB66" s="122"/>
      <c r="TAC66" s="122"/>
      <c r="TAD66" s="122"/>
      <c r="TAE66" s="122"/>
      <c r="TAF66" s="122"/>
      <c r="TAG66" s="122"/>
      <c r="TAH66" s="122"/>
      <c r="TAI66" s="122"/>
      <c r="TAJ66" s="122"/>
      <c r="TAK66" s="122"/>
      <c r="TAL66" s="122"/>
      <c r="TAM66" s="122"/>
      <c r="TAN66" s="122"/>
      <c r="TAO66" s="122"/>
      <c r="TAP66" s="122"/>
      <c r="TAQ66" s="122"/>
      <c r="TAR66" s="122"/>
      <c r="TAS66" s="122"/>
      <c r="TAT66" s="122"/>
      <c r="TAU66" s="122"/>
      <c r="TAV66" s="122"/>
      <c r="TAW66" s="122"/>
      <c r="TAX66" s="122"/>
      <c r="TAY66" s="122"/>
      <c r="TAZ66" s="122"/>
      <c r="TBA66" s="122"/>
      <c r="TBB66" s="122"/>
      <c r="TBC66" s="122"/>
      <c r="TBD66" s="122"/>
      <c r="TBE66" s="122"/>
      <c r="TBF66" s="122"/>
      <c r="TBG66" s="122"/>
      <c r="TBH66" s="122"/>
      <c r="TBI66" s="122"/>
      <c r="TBJ66" s="122"/>
      <c r="TBK66" s="122"/>
      <c r="TBL66" s="122"/>
      <c r="TBM66" s="122"/>
      <c r="TBN66" s="122"/>
      <c r="TBO66" s="122"/>
      <c r="TBP66" s="122"/>
      <c r="TBQ66" s="122"/>
      <c r="TBR66" s="122"/>
      <c r="TBS66" s="122"/>
      <c r="TBT66" s="122"/>
      <c r="TBU66" s="122"/>
      <c r="TBV66" s="122"/>
      <c r="TBW66" s="122"/>
      <c r="TBX66" s="122"/>
      <c r="TBY66" s="122"/>
      <c r="TBZ66" s="122"/>
      <c r="TCA66" s="122"/>
      <c r="TCB66" s="122"/>
      <c r="TCC66" s="122"/>
      <c r="TCD66" s="122"/>
      <c r="TCE66" s="122"/>
      <c r="TCF66" s="122"/>
      <c r="TCG66" s="122"/>
      <c r="TCH66" s="122"/>
      <c r="TCI66" s="122"/>
      <c r="TCJ66" s="122"/>
      <c r="TCK66" s="122"/>
      <c r="TCL66" s="122"/>
      <c r="TCM66" s="122"/>
      <c r="TCN66" s="122"/>
      <c r="TCO66" s="122"/>
      <c r="TCP66" s="122"/>
      <c r="TCQ66" s="122"/>
      <c r="TCR66" s="122"/>
      <c r="TCS66" s="122"/>
      <c r="TCT66" s="122"/>
      <c r="TCU66" s="122"/>
      <c r="TCV66" s="122"/>
      <c r="TCW66" s="122"/>
      <c r="TCX66" s="122"/>
      <c r="TCY66" s="122"/>
      <c r="TCZ66" s="122"/>
      <c r="TDA66" s="122"/>
      <c r="TDB66" s="122"/>
      <c r="TDC66" s="122"/>
      <c r="TDD66" s="122"/>
      <c r="TDE66" s="122"/>
      <c r="TDF66" s="122"/>
      <c r="TDG66" s="122"/>
      <c r="TDH66" s="122"/>
      <c r="TDI66" s="122"/>
      <c r="TDJ66" s="122"/>
      <c r="TDK66" s="122"/>
      <c r="TDL66" s="122"/>
      <c r="TDM66" s="122"/>
      <c r="TDN66" s="122"/>
      <c r="TDO66" s="122"/>
      <c r="TDP66" s="122"/>
      <c r="TDQ66" s="122"/>
      <c r="TDR66" s="122"/>
      <c r="TDS66" s="122"/>
      <c r="TDT66" s="122"/>
      <c r="TDU66" s="122"/>
      <c r="TDV66" s="122"/>
      <c r="TDW66" s="122"/>
      <c r="TDX66" s="122"/>
      <c r="TDY66" s="122"/>
      <c r="TDZ66" s="122"/>
      <c r="TEA66" s="122"/>
      <c r="TEB66" s="122"/>
      <c r="TEC66" s="122"/>
      <c r="TED66" s="122"/>
      <c r="TEE66" s="122"/>
      <c r="TEF66" s="122"/>
      <c r="TEG66" s="122"/>
      <c r="TEH66" s="122"/>
      <c r="TEI66" s="122"/>
      <c r="TEJ66" s="122"/>
      <c r="TEK66" s="122"/>
      <c r="TEL66" s="122"/>
      <c r="TEM66" s="122"/>
      <c r="TEN66" s="122"/>
      <c r="TEO66" s="122"/>
      <c r="TEP66" s="122"/>
      <c r="TEQ66" s="122"/>
      <c r="TER66" s="122"/>
      <c r="TES66" s="122"/>
      <c r="TET66" s="122"/>
      <c r="TEU66" s="122"/>
      <c r="TEV66" s="122"/>
      <c r="TEW66" s="122"/>
      <c r="TEX66" s="122"/>
      <c r="TEY66" s="122"/>
      <c r="TEZ66" s="122"/>
      <c r="TFA66" s="122"/>
      <c r="TFB66" s="122"/>
      <c r="TFC66" s="122"/>
      <c r="TFD66" s="122"/>
      <c r="TFE66" s="122"/>
      <c r="TFF66" s="122"/>
      <c r="TFG66" s="122"/>
      <c r="TFH66" s="122"/>
      <c r="TFI66" s="122"/>
      <c r="TFJ66" s="122"/>
      <c r="TFK66" s="122"/>
      <c r="TFL66" s="122"/>
      <c r="TFM66" s="122"/>
      <c r="TFN66" s="122"/>
      <c r="TFO66" s="122"/>
      <c r="TFP66" s="122"/>
      <c r="TFQ66" s="122"/>
      <c r="TFR66" s="122"/>
      <c r="TFS66" s="122"/>
      <c r="TFT66" s="122"/>
      <c r="TFU66" s="122"/>
      <c r="TFV66" s="122"/>
      <c r="TFW66" s="122"/>
      <c r="TFX66" s="122"/>
      <c r="TFY66" s="122"/>
      <c r="TFZ66" s="122"/>
      <c r="TGA66" s="122"/>
      <c r="TGB66" s="122"/>
      <c r="TGC66" s="122"/>
      <c r="TGD66" s="122"/>
      <c r="TGE66" s="122"/>
      <c r="TGF66" s="122"/>
      <c r="TGG66" s="122"/>
      <c r="TGH66" s="122"/>
      <c r="TGI66" s="122"/>
      <c r="TGJ66" s="122"/>
      <c r="TGK66" s="122"/>
      <c r="TGL66" s="122"/>
      <c r="TGM66" s="122"/>
      <c r="TGN66" s="122"/>
      <c r="TGO66" s="122"/>
      <c r="TGP66" s="122"/>
      <c r="TGQ66" s="122"/>
      <c r="TGR66" s="122"/>
      <c r="TGS66" s="122"/>
      <c r="TGT66" s="122"/>
      <c r="TGU66" s="122"/>
      <c r="TGV66" s="122"/>
      <c r="TGW66" s="122"/>
      <c r="TGX66" s="122"/>
      <c r="TGY66" s="122"/>
      <c r="TGZ66" s="122"/>
      <c r="THA66" s="122"/>
      <c r="THB66" s="122"/>
      <c r="THC66" s="122"/>
      <c r="THD66" s="122"/>
      <c r="THE66" s="122"/>
      <c r="THF66" s="122"/>
      <c r="THG66" s="122"/>
      <c r="THH66" s="122"/>
      <c r="THI66" s="122"/>
      <c r="THJ66" s="122"/>
      <c r="THK66" s="122"/>
      <c r="THL66" s="122"/>
      <c r="THM66" s="122"/>
      <c r="THN66" s="122"/>
      <c r="THO66" s="122"/>
      <c r="THP66" s="122"/>
      <c r="THQ66" s="122"/>
      <c r="THR66" s="122"/>
      <c r="THS66" s="122"/>
      <c r="THT66" s="122"/>
      <c r="THU66" s="122"/>
      <c r="THV66" s="122"/>
      <c r="THW66" s="122"/>
      <c r="THX66" s="122"/>
      <c r="THY66" s="122"/>
      <c r="THZ66" s="122"/>
      <c r="TIA66" s="122"/>
      <c r="TIB66" s="122"/>
      <c r="TIC66" s="122"/>
      <c r="TID66" s="122"/>
      <c r="TIE66" s="122"/>
      <c r="TIF66" s="122"/>
      <c r="TIG66" s="122"/>
      <c r="TIH66" s="122"/>
      <c r="TII66" s="122"/>
      <c r="TIJ66" s="122"/>
      <c r="TIK66" s="122"/>
      <c r="TIL66" s="122"/>
      <c r="TIM66" s="122"/>
      <c r="TIN66" s="122"/>
      <c r="TIO66" s="122"/>
      <c r="TIP66" s="122"/>
      <c r="TIQ66" s="122"/>
      <c r="TIR66" s="122"/>
      <c r="TIS66" s="122"/>
      <c r="TIT66" s="122"/>
      <c r="TIU66" s="122"/>
      <c r="TIV66" s="122"/>
      <c r="TIW66" s="122"/>
      <c r="TIX66" s="122"/>
      <c r="TIY66" s="122"/>
      <c r="TIZ66" s="122"/>
      <c r="TJA66" s="122"/>
      <c r="TJB66" s="122"/>
      <c r="TJC66" s="122"/>
      <c r="TJD66" s="122"/>
      <c r="TJE66" s="122"/>
      <c r="TJF66" s="122"/>
      <c r="TJG66" s="122"/>
      <c r="TJH66" s="122"/>
      <c r="TJI66" s="122"/>
      <c r="TJJ66" s="122"/>
      <c r="TJK66" s="122"/>
      <c r="TJL66" s="122"/>
      <c r="TJM66" s="122"/>
      <c r="TJN66" s="122"/>
      <c r="TJO66" s="122"/>
      <c r="TJP66" s="122"/>
      <c r="TJQ66" s="122"/>
      <c r="TJR66" s="122"/>
      <c r="TJS66" s="122"/>
      <c r="TJT66" s="122"/>
      <c r="TJU66" s="122"/>
      <c r="TJV66" s="122"/>
      <c r="TJW66" s="122"/>
      <c r="TJX66" s="122"/>
      <c r="TJY66" s="122"/>
      <c r="TJZ66" s="122"/>
      <c r="TKA66" s="122"/>
      <c r="TKB66" s="122"/>
      <c r="TKC66" s="122"/>
      <c r="TKD66" s="122"/>
      <c r="TKE66" s="122"/>
      <c r="TKF66" s="122"/>
      <c r="TKG66" s="122"/>
      <c r="TKH66" s="122"/>
      <c r="TKI66" s="122"/>
      <c r="TKJ66" s="122"/>
      <c r="TKK66" s="122"/>
      <c r="TKL66" s="122"/>
      <c r="TKM66" s="122"/>
      <c r="TKN66" s="122"/>
      <c r="TKO66" s="122"/>
      <c r="TKP66" s="122"/>
      <c r="TKQ66" s="122"/>
      <c r="TKR66" s="122"/>
      <c r="TKS66" s="122"/>
      <c r="TKT66" s="122"/>
      <c r="TKU66" s="122"/>
      <c r="TKV66" s="122"/>
      <c r="TKW66" s="122"/>
      <c r="TKX66" s="122"/>
      <c r="TKY66" s="122"/>
      <c r="TKZ66" s="122"/>
      <c r="TLA66" s="122"/>
      <c r="TLB66" s="122"/>
      <c r="TLC66" s="122"/>
      <c r="TLD66" s="122"/>
      <c r="TLE66" s="122"/>
      <c r="TLF66" s="122"/>
      <c r="TLG66" s="122"/>
      <c r="TLH66" s="122"/>
      <c r="TLI66" s="122"/>
      <c r="TLJ66" s="122"/>
      <c r="TLK66" s="122"/>
      <c r="TLL66" s="122"/>
      <c r="TLM66" s="122"/>
      <c r="TLN66" s="122"/>
      <c r="TLO66" s="122"/>
      <c r="TLP66" s="122"/>
      <c r="TLQ66" s="122"/>
      <c r="TLR66" s="122"/>
      <c r="TLS66" s="122"/>
      <c r="TLT66" s="122"/>
      <c r="TLU66" s="122"/>
      <c r="TLV66" s="122"/>
      <c r="TLW66" s="122"/>
      <c r="TLX66" s="122"/>
      <c r="TLY66" s="122"/>
      <c r="TLZ66" s="122"/>
      <c r="TMA66" s="122"/>
      <c r="TMB66" s="122"/>
      <c r="TMC66" s="122"/>
      <c r="TMD66" s="122"/>
      <c r="TME66" s="122"/>
      <c r="TMF66" s="122"/>
      <c r="TMG66" s="122"/>
      <c r="TMH66" s="122"/>
      <c r="TMI66" s="122"/>
      <c r="TMJ66" s="122"/>
      <c r="TMK66" s="122"/>
      <c r="TML66" s="122"/>
      <c r="TMM66" s="122"/>
      <c r="TMN66" s="122"/>
      <c r="TMO66" s="122"/>
      <c r="TMP66" s="122"/>
      <c r="TMQ66" s="122"/>
      <c r="TMR66" s="122"/>
      <c r="TMS66" s="122"/>
      <c r="TMT66" s="122"/>
      <c r="TMU66" s="122"/>
      <c r="TMV66" s="122"/>
      <c r="TMW66" s="122"/>
      <c r="TMX66" s="122"/>
      <c r="TMY66" s="122"/>
      <c r="TMZ66" s="122"/>
      <c r="TNA66" s="122"/>
      <c r="TNB66" s="122"/>
      <c r="TNC66" s="122"/>
      <c r="TND66" s="122"/>
      <c r="TNE66" s="122"/>
      <c r="TNF66" s="122"/>
      <c r="TNG66" s="122"/>
      <c r="TNH66" s="122"/>
      <c r="TNI66" s="122"/>
      <c r="TNJ66" s="122"/>
      <c r="TNK66" s="122"/>
      <c r="TNL66" s="122"/>
      <c r="TNM66" s="122"/>
      <c r="TNN66" s="122"/>
      <c r="TNO66" s="122"/>
      <c r="TNP66" s="122"/>
      <c r="TNQ66" s="122"/>
      <c r="TNR66" s="122"/>
      <c r="TNS66" s="122"/>
      <c r="TNT66" s="122"/>
      <c r="TNU66" s="122"/>
      <c r="TNV66" s="122"/>
      <c r="TNW66" s="122"/>
      <c r="TNX66" s="122"/>
      <c r="TNY66" s="122"/>
      <c r="TNZ66" s="122"/>
      <c r="TOA66" s="122"/>
      <c r="TOB66" s="122"/>
      <c r="TOC66" s="122"/>
      <c r="TOD66" s="122"/>
      <c r="TOE66" s="122"/>
      <c r="TOF66" s="122"/>
      <c r="TOG66" s="122"/>
      <c r="TOH66" s="122"/>
      <c r="TOI66" s="122"/>
      <c r="TOJ66" s="122"/>
      <c r="TOK66" s="122"/>
      <c r="TOL66" s="122"/>
      <c r="TOM66" s="122"/>
      <c r="TON66" s="122"/>
      <c r="TOO66" s="122"/>
      <c r="TOP66" s="122"/>
      <c r="TOQ66" s="122"/>
      <c r="TOR66" s="122"/>
      <c r="TOS66" s="122"/>
      <c r="TOT66" s="122"/>
      <c r="TOU66" s="122"/>
      <c r="TOV66" s="122"/>
      <c r="TOW66" s="122"/>
      <c r="TOX66" s="122"/>
      <c r="TOY66" s="122"/>
      <c r="TOZ66" s="122"/>
      <c r="TPA66" s="122"/>
      <c r="TPB66" s="122"/>
      <c r="TPC66" s="122"/>
      <c r="TPD66" s="122"/>
      <c r="TPE66" s="122"/>
      <c r="TPF66" s="122"/>
      <c r="TPG66" s="122"/>
      <c r="TPH66" s="122"/>
      <c r="TPI66" s="122"/>
      <c r="TPJ66" s="122"/>
      <c r="TPK66" s="122"/>
      <c r="TPL66" s="122"/>
      <c r="TPM66" s="122"/>
      <c r="TPN66" s="122"/>
      <c r="TPO66" s="122"/>
      <c r="TPP66" s="122"/>
      <c r="TPQ66" s="122"/>
      <c r="TPR66" s="122"/>
      <c r="TPS66" s="122"/>
      <c r="TPT66" s="122"/>
      <c r="TPU66" s="122"/>
      <c r="TPV66" s="122"/>
      <c r="TPW66" s="122"/>
      <c r="TPX66" s="122"/>
      <c r="TPY66" s="122"/>
      <c r="TPZ66" s="122"/>
      <c r="TQA66" s="122"/>
      <c r="TQB66" s="122"/>
      <c r="TQC66" s="122"/>
      <c r="TQD66" s="122"/>
      <c r="TQE66" s="122"/>
      <c r="TQF66" s="122"/>
      <c r="TQG66" s="122"/>
      <c r="TQH66" s="122"/>
      <c r="TQI66" s="122"/>
      <c r="TQJ66" s="122"/>
      <c r="TQK66" s="122"/>
      <c r="TQL66" s="122"/>
      <c r="TQM66" s="122"/>
      <c r="TQN66" s="122"/>
      <c r="TQO66" s="122"/>
      <c r="TQP66" s="122"/>
      <c r="TQQ66" s="122"/>
      <c r="TQR66" s="122"/>
      <c r="TQS66" s="122"/>
      <c r="TQT66" s="122"/>
      <c r="TQU66" s="122"/>
      <c r="TQV66" s="122"/>
      <c r="TQW66" s="122"/>
      <c r="TQX66" s="122"/>
      <c r="TQY66" s="122"/>
      <c r="TQZ66" s="122"/>
      <c r="TRA66" s="122"/>
      <c r="TRB66" s="122"/>
      <c r="TRC66" s="122"/>
      <c r="TRD66" s="122"/>
      <c r="TRE66" s="122"/>
      <c r="TRF66" s="122"/>
      <c r="TRG66" s="122"/>
      <c r="TRH66" s="122"/>
      <c r="TRI66" s="122"/>
      <c r="TRJ66" s="122"/>
      <c r="TRK66" s="122"/>
      <c r="TRL66" s="122"/>
      <c r="TRM66" s="122"/>
      <c r="TRN66" s="122"/>
      <c r="TRO66" s="122"/>
      <c r="TRP66" s="122"/>
      <c r="TRQ66" s="122"/>
      <c r="TRR66" s="122"/>
      <c r="TRS66" s="122"/>
      <c r="TRT66" s="122"/>
      <c r="TRU66" s="122"/>
      <c r="TRV66" s="122"/>
      <c r="TRW66" s="122"/>
      <c r="TRX66" s="122"/>
      <c r="TRY66" s="122"/>
      <c r="TRZ66" s="122"/>
      <c r="TSA66" s="122"/>
      <c r="TSB66" s="122"/>
      <c r="TSC66" s="122"/>
      <c r="TSD66" s="122"/>
      <c r="TSE66" s="122"/>
      <c r="TSF66" s="122"/>
      <c r="TSG66" s="122"/>
      <c r="TSH66" s="122"/>
      <c r="TSI66" s="122"/>
      <c r="TSJ66" s="122"/>
      <c r="TSK66" s="122"/>
      <c r="TSL66" s="122"/>
      <c r="TSM66" s="122"/>
      <c r="TSN66" s="122"/>
      <c r="TSO66" s="122"/>
      <c r="TSP66" s="122"/>
      <c r="TSQ66" s="122"/>
      <c r="TSR66" s="122"/>
      <c r="TSS66" s="122"/>
      <c r="TST66" s="122"/>
      <c r="TSU66" s="122"/>
      <c r="TSV66" s="122"/>
      <c r="TSW66" s="122"/>
      <c r="TSX66" s="122"/>
      <c r="TSY66" s="122"/>
      <c r="TSZ66" s="122"/>
      <c r="TTA66" s="122"/>
      <c r="TTB66" s="122"/>
      <c r="TTC66" s="122"/>
      <c r="TTD66" s="122"/>
      <c r="TTE66" s="122"/>
      <c r="TTF66" s="122"/>
      <c r="TTG66" s="122"/>
      <c r="TTH66" s="122"/>
      <c r="TTI66" s="122"/>
      <c r="TTJ66" s="122"/>
      <c r="TTK66" s="122"/>
      <c r="TTL66" s="122"/>
      <c r="TTM66" s="122"/>
      <c r="TTN66" s="122"/>
      <c r="TTO66" s="122"/>
      <c r="TTP66" s="122"/>
      <c r="TTQ66" s="122"/>
      <c r="TTR66" s="122"/>
      <c r="TTS66" s="122"/>
      <c r="TTT66" s="122"/>
      <c r="TTU66" s="122"/>
      <c r="TTV66" s="122"/>
      <c r="TTW66" s="122"/>
      <c r="TTX66" s="122"/>
      <c r="TTY66" s="122"/>
      <c r="TTZ66" s="122"/>
      <c r="TUA66" s="122"/>
      <c r="TUB66" s="122"/>
      <c r="TUC66" s="122"/>
      <c r="TUD66" s="122"/>
      <c r="TUE66" s="122"/>
      <c r="TUF66" s="122"/>
      <c r="TUG66" s="122"/>
      <c r="TUH66" s="122"/>
      <c r="TUI66" s="122"/>
      <c r="TUJ66" s="122"/>
      <c r="TUK66" s="122"/>
      <c r="TUL66" s="122"/>
      <c r="TUM66" s="122"/>
      <c r="TUN66" s="122"/>
      <c r="TUO66" s="122"/>
      <c r="TUP66" s="122"/>
      <c r="TUQ66" s="122"/>
      <c r="TUR66" s="122"/>
      <c r="TUS66" s="122"/>
      <c r="TUT66" s="122"/>
      <c r="TUU66" s="122"/>
      <c r="TUV66" s="122"/>
      <c r="TUW66" s="122"/>
      <c r="TUX66" s="122"/>
      <c r="TUY66" s="122"/>
      <c r="TUZ66" s="122"/>
      <c r="TVA66" s="122"/>
      <c r="TVB66" s="122"/>
      <c r="TVC66" s="122"/>
      <c r="TVD66" s="122"/>
      <c r="TVE66" s="122"/>
      <c r="TVF66" s="122"/>
      <c r="TVG66" s="122"/>
      <c r="TVH66" s="122"/>
      <c r="TVI66" s="122"/>
      <c r="TVJ66" s="122"/>
      <c r="TVK66" s="122"/>
      <c r="TVL66" s="122"/>
      <c r="TVM66" s="122"/>
      <c r="TVN66" s="122"/>
      <c r="TVO66" s="122"/>
      <c r="TVP66" s="122"/>
      <c r="TVQ66" s="122"/>
      <c r="TVR66" s="122"/>
      <c r="TVS66" s="122"/>
      <c r="TVT66" s="122"/>
      <c r="TVU66" s="122"/>
      <c r="TVV66" s="122"/>
      <c r="TVW66" s="122"/>
      <c r="TVX66" s="122"/>
      <c r="TVY66" s="122"/>
      <c r="TVZ66" s="122"/>
      <c r="TWA66" s="122"/>
      <c r="TWB66" s="122"/>
      <c r="TWC66" s="122"/>
      <c r="TWD66" s="122"/>
      <c r="TWE66" s="122"/>
      <c r="TWF66" s="122"/>
      <c r="TWG66" s="122"/>
      <c r="TWH66" s="122"/>
      <c r="TWI66" s="122"/>
      <c r="TWJ66" s="122"/>
      <c r="TWK66" s="122"/>
      <c r="TWL66" s="122"/>
      <c r="TWM66" s="122"/>
      <c r="TWN66" s="122"/>
      <c r="TWO66" s="122"/>
      <c r="TWP66" s="122"/>
      <c r="TWQ66" s="122"/>
      <c r="TWR66" s="122"/>
      <c r="TWS66" s="122"/>
      <c r="TWT66" s="122"/>
      <c r="TWU66" s="122"/>
      <c r="TWV66" s="122"/>
      <c r="TWW66" s="122"/>
      <c r="TWX66" s="122"/>
      <c r="TWY66" s="122"/>
      <c r="TWZ66" s="122"/>
      <c r="TXA66" s="122"/>
      <c r="TXB66" s="122"/>
      <c r="TXC66" s="122"/>
      <c r="TXD66" s="122"/>
      <c r="TXE66" s="122"/>
      <c r="TXF66" s="122"/>
      <c r="TXG66" s="122"/>
      <c r="TXH66" s="122"/>
      <c r="TXI66" s="122"/>
      <c r="TXJ66" s="122"/>
      <c r="TXK66" s="122"/>
      <c r="TXL66" s="122"/>
      <c r="TXM66" s="122"/>
      <c r="TXN66" s="122"/>
      <c r="TXO66" s="122"/>
      <c r="TXP66" s="122"/>
      <c r="TXQ66" s="122"/>
      <c r="TXR66" s="122"/>
      <c r="TXS66" s="122"/>
      <c r="TXT66" s="122"/>
      <c r="TXU66" s="122"/>
      <c r="TXV66" s="122"/>
      <c r="TXW66" s="122"/>
      <c r="TXX66" s="122"/>
      <c r="TXY66" s="122"/>
      <c r="TXZ66" s="122"/>
      <c r="TYA66" s="122"/>
      <c r="TYB66" s="122"/>
      <c r="TYC66" s="122"/>
      <c r="TYD66" s="122"/>
      <c r="TYE66" s="122"/>
      <c r="TYF66" s="122"/>
      <c r="TYG66" s="122"/>
      <c r="TYH66" s="122"/>
      <c r="TYI66" s="122"/>
      <c r="TYJ66" s="122"/>
      <c r="TYK66" s="122"/>
      <c r="TYL66" s="122"/>
      <c r="TYM66" s="122"/>
      <c r="TYN66" s="122"/>
      <c r="TYO66" s="122"/>
      <c r="TYP66" s="122"/>
      <c r="TYQ66" s="122"/>
      <c r="TYR66" s="122"/>
      <c r="TYS66" s="122"/>
      <c r="TYT66" s="122"/>
      <c r="TYU66" s="122"/>
      <c r="TYV66" s="122"/>
      <c r="TYW66" s="122"/>
      <c r="TYX66" s="122"/>
      <c r="TYY66" s="122"/>
      <c r="TYZ66" s="122"/>
      <c r="TZA66" s="122"/>
      <c r="TZB66" s="122"/>
      <c r="TZC66" s="122"/>
      <c r="TZD66" s="122"/>
      <c r="TZE66" s="122"/>
      <c r="TZF66" s="122"/>
      <c r="TZG66" s="122"/>
      <c r="TZH66" s="122"/>
      <c r="TZI66" s="122"/>
      <c r="TZJ66" s="122"/>
      <c r="TZK66" s="122"/>
      <c r="TZL66" s="122"/>
      <c r="TZM66" s="122"/>
      <c r="TZN66" s="122"/>
      <c r="TZO66" s="122"/>
      <c r="TZP66" s="122"/>
      <c r="TZQ66" s="122"/>
      <c r="TZR66" s="122"/>
      <c r="TZS66" s="122"/>
      <c r="TZT66" s="122"/>
      <c r="TZU66" s="122"/>
      <c r="TZV66" s="122"/>
      <c r="TZW66" s="122"/>
      <c r="TZX66" s="122"/>
      <c r="TZY66" s="122"/>
      <c r="TZZ66" s="122"/>
      <c r="UAA66" s="122"/>
      <c r="UAB66" s="122"/>
      <c r="UAC66" s="122"/>
      <c r="UAD66" s="122"/>
      <c r="UAE66" s="122"/>
      <c r="UAF66" s="122"/>
      <c r="UAG66" s="122"/>
      <c r="UAH66" s="122"/>
      <c r="UAI66" s="122"/>
      <c r="UAJ66" s="122"/>
      <c r="UAK66" s="122"/>
      <c r="UAL66" s="122"/>
      <c r="UAM66" s="122"/>
      <c r="UAN66" s="122"/>
      <c r="UAO66" s="122"/>
      <c r="UAP66" s="122"/>
      <c r="UAQ66" s="122"/>
      <c r="UAR66" s="122"/>
      <c r="UAS66" s="122"/>
      <c r="UAT66" s="122"/>
      <c r="UAU66" s="122"/>
      <c r="UAV66" s="122"/>
      <c r="UAW66" s="122"/>
      <c r="UAX66" s="122"/>
      <c r="UAY66" s="122"/>
      <c r="UAZ66" s="122"/>
      <c r="UBA66" s="122"/>
      <c r="UBB66" s="122"/>
      <c r="UBC66" s="122"/>
      <c r="UBD66" s="122"/>
      <c r="UBE66" s="122"/>
      <c r="UBF66" s="122"/>
      <c r="UBG66" s="122"/>
      <c r="UBH66" s="122"/>
      <c r="UBI66" s="122"/>
      <c r="UBJ66" s="122"/>
      <c r="UBK66" s="122"/>
      <c r="UBL66" s="122"/>
      <c r="UBM66" s="122"/>
      <c r="UBN66" s="122"/>
      <c r="UBO66" s="122"/>
      <c r="UBP66" s="122"/>
      <c r="UBQ66" s="122"/>
      <c r="UBR66" s="122"/>
      <c r="UBS66" s="122"/>
      <c r="UBT66" s="122"/>
      <c r="UBU66" s="122"/>
      <c r="UBV66" s="122"/>
      <c r="UBW66" s="122"/>
      <c r="UBX66" s="122"/>
      <c r="UBY66" s="122"/>
      <c r="UBZ66" s="122"/>
      <c r="UCA66" s="122"/>
      <c r="UCB66" s="122"/>
      <c r="UCC66" s="122"/>
      <c r="UCD66" s="122"/>
      <c r="UCE66" s="122"/>
      <c r="UCF66" s="122"/>
      <c r="UCG66" s="122"/>
      <c r="UCH66" s="122"/>
      <c r="UCI66" s="122"/>
      <c r="UCJ66" s="122"/>
      <c r="UCK66" s="122"/>
      <c r="UCL66" s="122"/>
      <c r="UCM66" s="122"/>
      <c r="UCN66" s="122"/>
      <c r="UCO66" s="122"/>
      <c r="UCP66" s="122"/>
      <c r="UCQ66" s="122"/>
      <c r="UCR66" s="122"/>
      <c r="UCS66" s="122"/>
      <c r="UCT66" s="122"/>
      <c r="UCU66" s="122"/>
      <c r="UCV66" s="122"/>
      <c r="UCW66" s="122"/>
      <c r="UCX66" s="122"/>
      <c r="UCY66" s="122"/>
      <c r="UCZ66" s="122"/>
      <c r="UDA66" s="122"/>
      <c r="UDB66" s="122"/>
      <c r="UDC66" s="122"/>
      <c r="UDD66" s="122"/>
      <c r="UDE66" s="122"/>
      <c r="UDF66" s="122"/>
      <c r="UDG66" s="122"/>
      <c r="UDH66" s="122"/>
      <c r="UDI66" s="122"/>
      <c r="UDJ66" s="122"/>
      <c r="UDK66" s="122"/>
      <c r="UDL66" s="122"/>
      <c r="UDM66" s="122"/>
      <c r="UDN66" s="122"/>
      <c r="UDO66" s="122"/>
      <c r="UDP66" s="122"/>
      <c r="UDQ66" s="122"/>
      <c r="UDR66" s="122"/>
      <c r="UDS66" s="122"/>
      <c r="UDT66" s="122"/>
      <c r="UDU66" s="122"/>
      <c r="UDV66" s="122"/>
      <c r="UDW66" s="122"/>
      <c r="UDX66" s="122"/>
      <c r="UDY66" s="122"/>
      <c r="UDZ66" s="122"/>
      <c r="UEA66" s="122"/>
      <c r="UEB66" s="122"/>
      <c r="UEC66" s="122"/>
      <c r="UED66" s="122"/>
      <c r="UEE66" s="122"/>
      <c r="UEF66" s="122"/>
      <c r="UEG66" s="122"/>
      <c r="UEH66" s="122"/>
      <c r="UEI66" s="122"/>
      <c r="UEJ66" s="122"/>
      <c r="UEK66" s="122"/>
      <c r="UEL66" s="122"/>
      <c r="UEM66" s="122"/>
      <c r="UEN66" s="122"/>
      <c r="UEO66" s="122"/>
      <c r="UEP66" s="122"/>
      <c r="UEQ66" s="122"/>
      <c r="UER66" s="122"/>
      <c r="UES66" s="122"/>
      <c r="UET66" s="122"/>
      <c r="UEU66" s="122"/>
      <c r="UEV66" s="122"/>
      <c r="UEW66" s="122"/>
      <c r="UEX66" s="122"/>
      <c r="UEY66" s="122"/>
      <c r="UEZ66" s="122"/>
      <c r="UFA66" s="122"/>
      <c r="UFB66" s="122"/>
      <c r="UFC66" s="122"/>
      <c r="UFD66" s="122"/>
      <c r="UFE66" s="122"/>
      <c r="UFF66" s="122"/>
      <c r="UFG66" s="122"/>
      <c r="UFH66" s="122"/>
      <c r="UFI66" s="122"/>
      <c r="UFJ66" s="122"/>
      <c r="UFK66" s="122"/>
      <c r="UFL66" s="122"/>
      <c r="UFM66" s="122"/>
      <c r="UFN66" s="122"/>
      <c r="UFO66" s="122"/>
      <c r="UFP66" s="122"/>
      <c r="UFQ66" s="122"/>
      <c r="UFR66" s="122"/>
      <c r="UFS66" s="122"/>
      <c r="UFT66" s="122"/>
      <c r="UFU66" s="122"/>
      <c r="UFV66" s="122"/>
      <c r="UFW66" s="122"/>
      <c r="UFX66" s="122"/>
      <c r="UFY66" s="122"/>
      <c r="UFZ66" s="122"/>
      <c r="UGA66" s="122"/>
      <c r="UGB66" s="122"/>
      <c r="UGC66" s="122"/>
      <c r="UGD66" s="122"/>
      <c r="UGE66" s="122"/>
      <c r="UGF66" s="122"/>
      <c r="UGG66" s="122"/>
      <c r="UGH66" s="122"/>
      <c r="UGI66" s="122"/>
      <c r="UGJ66" s="122"/>
      <c r="UGK66" s="122"/>
      <c r="UGL66" s="122"/>
      <c r="UGM66" s="122"/>
      <c r="UGN66" s="122"/>
      <c r="UGO66" s="122"/>
      <c r="UGP66" s="122"/>
      <c r="UGQ66" s="122"/>
      <c r="UGR66" s="122"/>
      <c r="UGS66" s="122"/>
      <c r="UGT66" s="122"/>
      <c r="UGU66" s="122"/>
      <c r="UGV66" s="122"/>
      <c r="UGW66" s="122"/>
      <c r="UGX66" s="122"/>
      <c r="UGY66" s="122"/>
      <c r="UGZ66" s="122"/>
      <c r="UHA66" s="122"/>
      <c r="UHB66" s="122"/>
      <c r="UHC66" s="122"/>
      <c r="UHD66" s="122"/>
      <c r="UHE66" s="122"/>
      <c r="UHF66" s="122"/>
      <c r="UHG66" s="122"/>
      <c r="UHH66" s="122"/>
      <c r="UHI66" s="122"/>
      <c r="UHJ66" s="122"/>
      <c r="UHK66" s="122"/>
      <c r="UHL66" s="122"/>
      <c r="UHM66" s="122"/>
      <c r="UHN66" s="122"/>
      <c r="UHO66" s="122"/>
      <c r="UHP66" s="122"/>
      <c r="UHQ66" s="122"/>
      <c r="UHR66" s="122"/>
      <c r="UHS66" s="122"/>
      <c r="UHT66" s="122"/>
      <c r="UHU66" s="122"/>
      <c r="UHV66" s="122"/>
      <c r="UHW66" s="122"/>
      <c r="UHX66" s="122"/>
      <c r="UHY66" s="122"/>
      <c r="UHZ66" s="122"/>
      <c r="UIA66" s="122"/>
      <c r="UIB66" s="122"/>
      <c r="UIC66" s="122"/>
      <c r="UID66" s="122"/>
      <c r="UIE66" s="122"/>
      <c r="UIF66" s="122"/>
      <c r="UIG66" s="122"/>
      <c r="UIH66" s="122"/>
      <c r="UII66" s="122"/>
      <c r="UIJ66" s="122"/>
      <c r="UIK66" s="122"/>
      <c r="UIL66" s="122"/>
      <c r="UIM66" s="122"/>
      <c r="UIN66" s="122"/>
      <c r="UIO66" s="122"/>
      <c r="UIP66" s="122"/>
      <c r="UIQ66" s="122"/>
      <c r="UIR66" s="122"/>
      <c r="UIS66" s="122"/>
      <c r="UIT66" s="122"/>
      <c r="UIU66" s="122"/>
      <c r="UIV66" s="122"/>
      <c r="UIW66" s="122"/>
      <c r="UIX66" s="122"/>
      <c r="UIY66" s="122"/>
      <c r="UIZ66" s="122"/>
      <c r="UJA66" s="122"/>
      <c r="UJB66" s="122"/>
      <c r="UJC66" s="122"/>
      <c r="UJD66" s="122"/>
      <c r="UJE66" s="122"/>
      <c r="UJF66" s="122"/>
      <c r="UJG66" s="122"/>
      <c r="UJH66" s="122"/>
      <c r="UJI66" s="122"/>
      <c r="UJJ66" s="122"/>
      <c r="UJK66" s="122"/>
      <c r="UJL66" s="122"/>
      <c r="UJM66" s="122"/>
      <c r="UJN66" s="122"/>
      <c r="UJO66" s="122"/>
      <c r="UJP66" s="122"/>
      <c r="UJQ66" s="122"/>
      <c r="UJR66" s="122"/>
      <c r="UJS66" s="122"/>
      <c r="UJT66" s="122"/>
      <c r="UJU66" s="122"/>
      <c r="UJV66" s="122"/>
      <c r="UJW66" s="122"/>
      <c r="UJX66" s="122"/>
      <c r="UJY66" s="122"/>
      <c r="UJZ66" s="122"/>
      <c r="UKA66" s="122"/>
      <c r="UKB66" s="122"/>
      <c r="UKC66" s="122"/>
      <c r="UKD66" s="122"/>
      <c r="UKE66" s="122"/>
      <c r="UKF66" s="122"/>
      <c r="UKG66" s="122"/>
      <c r="UKH66" s="122"/>
      <c r="UKI66" s="122"/>
      <c r="UKJ66" s="122"/>
      <c r="UKK66" s="122"/>
      <c r="UKL66" s="122"/>
      <c r="UKM66" s="122"/>
      <c r="UKN66" s="122"/>
      <c r="UKO66" s="122"/>
      <c r="UKP66" s="122"/>
      <c r="UKQ66" s="122"/>
      <c r="UKR66" s="122"/>
      <c r="UKS66" s="122"/>
      <c r="UKT66" s="122"/>
      <c r="UKU66" s="122"/>
      <c r="UKV66" s="122"/>
      <c r="UKW66" s="122"/>
      <c r="UKX66" s="122"/>
      <c r="UKY66" s="122"/>
      <c r="UKZ66" s="122"/>
      <c r="ULA66" s="122"/>
      <c r="ULB66" s="122"/>
      <c r="ULC66" s="122"/>
      <c r="ULD66" s="122"/>
      <c r="ULE66" s="122"/>
      <c r="ULF66" s="122"/>
      <c r="ULG66" s="122"/>
      <c r="ULH66" s="122"/>
      <c r="ULI66" s="122"/>
      <c r="ULJ66" s="122"/>
      <c r="ULK66" s="122"/>
      <c r="ULL66" s="122"/>
      <c r="ULM66" s="122"/>
      <c r="ULN66" s="122"/>
      <c r="ULO66" s="122"/>
      <c r="ULP66" s="122"/>
      <c r="ULQ66" s="122"/>
      <c r="ULR66" s="122"/>
      <c r="ULS66" s="122"/>
      <c r="ULT66" s="122"/>
      <c r="ULU66" s="122"/>
      <c r="ULV66" s="122"/>
      <c r="ULW66" s="122"/>
      <c r="ULX66" s="122"/>
      <c r="ULY66" s="122"/>
      <c r="ULZ66" s="122"/>
      <c r="UMA66" s="122"/>
      <c r="UMB66" s="122"/>
      <c r="UMC66" s="122"/>
      <c r="UMD66" s="122"/>
      <c r="UME66" s="122"/>
      <c r="UMF66" s="122"/>
      <c r="UMG66" s="122"/>
      <c r="UMH66" s="122"/>
      <c r="UMI66" s="122"/>
      <c r="UMJ66" s="122"/>
      <c r="UMK66" s="122"/>
      <c r="UML66" s="122"/>
      <c r="UMM66" s="122"/>
      <c r="UMN66" s="122"/>
      <c r="UMO66" s="122"/>
      <c r="UMP66" s="122"/>
      <c r="UMQ66" s="122"/>
      <c r="UMR66" s="122"/>
      <c r="UMS66" s="122"/>
      <c r="UMT66" s="122"/>
      <c r="UMU66" s="122"/>
      <c r="UMV66" s="122"/>
      <c r="UMW66" s="122"/>
      <c r="UMX66" s="122"/>
      <c r="UMY66" s="122"/>
      <c r="UMZ66" s="122"/>
      <c r="UNA66" s="122"/>
      <c r="UNB66" s="122"/>
      <c r="UNC66" s="122"/>
      <c r="UND66" s="122"/>
      <c r="UNE66" s="122"/>
      <c r="UNF66" s="122"/>
      <c r="UNG66" s="122"/>
      <c r="UNH66" s="122"/>
      <c r="UNI66" s="122"/>
      <c r="UNJ66" s="122"/>
      <c r="UNK66" s="122"/>
      <c r="UNL66" s="122"/>
      <c r="UNM66" s="122"/>
      <c r="UNN66" s="122"/>
      <c r="UNO66" s="122"/>
      <c r="UNP66" s="122"/>
      <c r="UNQ66" s="122"/>
      <c r="UNR66" s="122"/>
      <c r="UNS66" s="122"/>
      <c r="UNT66" s="122"/>
      <c r="UNU66" s="122"/>
      <c r="UNV66" s="122"/>
      <c r="UNW66" s="122"/>
      <c r="UNX66" s="122"/>
      <c r="UNY66" s="122"/>
      <c r="UNZ66" s="122"/>
      <c r="UOA66" s="122"/>
      <c r="UOB66" s="122"/>
      <c r="UOC66" s="122"/>
      <c r="UOD66" s="122"/>
      <c r="UOE66" s="122"/>
      <c r="UOF66" s="122"/>
      <c r="UOG66" s="122"/>
      <c r="UOH66" s="122"/>
      <c r="UOI66" s="122"/>
      <c r="UOJ66" s="122"/>
      <c r="UOK66" s="122"/>
      <c r="UOL66" s="122"/>
      <c r="UOM66" s="122"/>
      <c r="UON66" s="122"/>
      <c r="UOO66" s="122"/>
      <c r="UOP66" s="122"/>
      <c r="UOQ66" s="122"/>
      <c r="UOR66" s="122"/>
      <c r="UOS66" s="122"/>
      <c r="UOT66" s="122"/>
      <c r="UOU66" s="122"/>
      <c r="UOV66" s="122"/>
      <c r="UOW66" s="122"/>
      <c r="UOX66" s="122"/>
      <c r="UOY66" s="122"/>
      <c r="UOZ66" s="122"/>
      <c r="UPA66" s="122"/>
      <c r="UPB66" s="122"/>
      <c r="UPC66" s="122"/>
      <c r="UPD66" s="122"/>
      <c r="UPE66" s="122"/>
      <c r="UPF66" s="122"/>
      <c r="UPG66" s="122"/>
      <c r="UPH66" s="122"/>
      <c r="UPI66" s="122"/>
      <c r="UPJ66" s="122"/>
      <c r="UPK66" s="122"/>
      <c r="UPL66" s="122"/>
      <c r="UPM66" s="122"/>
      <c r="UPN66" s="122"/>
      <c r="UPO66" s="122"/>
      <c r="UPP66" s="122"/>
      <c r="UPQ66" s="122"/>
      <c r="UPR66" s="122"/>
      <c r="UPS66" s="122"/>
      <c r="UPT66" s="122"/>
      <c r="UPU66" s="122"/>
      <c r="UPV66" s="122"/>
      <c r="UPW66" s="122"/>
      <c r="UPX66" s="122"/>
      <c r="UPY66" s="122"/>
      <c r="UPZ66" s="122"/>
      <c r="UQA66" s="122"/>
      <c r="UQB66" s="122"/>
      <c r="UQC66" s="122"/>
      <c r="UQD66" s="122"/>
      <c r="UQE66" s="122"/>
      <c r="UQF66" s="122"/>
      <c r="UQG66" s="122"/>
      <c r="UQH66" s="122"/>
      <c r="UQI66" s="122"/>
      <c r="UQJ66" s="122"/>
      <c r="UQK66" s="122"/>
      <c r="UQL66" s="122"/>
      <c r="UQM66" s="122"/>
      <c r="UQN66" s="122"/>
      <c r="UQO66" s="122"/>
      <c r="UQP66" s="122"/>
      <c r="UQQ66" s="122"/>
      <c r="UQR66" s="122"/>
      <c r="UQS66" s="122"/>
      <c r="UQT66" s="122"/>
      <c r="UQU66" s="122"/>
      <c r="UQV66" s="122"/>
      <c r="UQW66" s="122"/>
      <c r="UQX66" s="122"/>
      <c r="UQY66" s="122"/>
      <c r="UQZ66" s="122"/>
      <c r="URA66" s="122"/>
      <c r="URB66" s="122"/>
      <c r="URC66" s="122"/>
      <c r="URD66" s="122"/>
      <c r="URE66" s="122"/>
      <c r="URF66" s="122"/>
      <c r="URG66" s="122"/>
      <c r="URH66" s="122"/>
      <c r="URI66" s="122"/>
      <c r="URJ66" s="122"/>
      <c r="URK66" s="122"/>
      <c r="URL66" s="122"/>
      <c r="URM66" s="122"/>
      <c r="URN66" s="122"/>
      <c r="URO66" s="122"/>
      <c r="URP66" s="122"/>
      <c r="URQ66" s="122"/>
      <c r="URR66" s="122"/>
      <c r="URS66" s="122"/>
      <c r="URT66" s="122"/>
      <c r="URU66" s="122"/>
      <c r="URV66" s="122"/>
      <c r="URW66" s="122"/>
      <c r="URX66" s="122"/>
      <c r="URY66" s="122"/>
      <c r="URZ66" s="122"/>
      <c r="USA66" s="122"/>
      <c r="USB66" s="122"/>
      <c r="USC66" s="122"/>
      <c r="USD66" s="122"/>
      <c r="USE66" s="122"/>
      <c r="USF66" s="122"/>
      <c r="USG66" s="122"/>
      <c r="USH66" s="122"/>
      <c r="USI66" s="122"/>
      <c r="USJ66" s="122"/>
      <c r="USK66" s="122"/>
      <c r="USL66" s="122"/>
      <c r="USM66" s="122"/>
      <c r="USN66" s="122"/>
      <c r="USO66" s="122"/>
      <c r="USP66" s="122"/>
      <c r="USQ66" s="122"/>
      <c r="USR66" s="122"/>
      <c r="USS66" s="122"/>
      <c r="UST66" s="122"/>
      <c r="USU66" s="122"/>
      <c r="USV66" s="122"/>
      <c r="USW66" s="122"/>
      <c r="USX66" s="122"/>
      <c r="USY66" s="122"/>
      <c r="USZ66" s="122"/>
      <c r="UTA66" s="122"/>
      <c r="UTB66" s="122"/>
      <c r="UTC66" s="122"/>
      <c r="UTD66" s="122"/>
      <c r="UTE66" s="122"/>
      <c r="UTF66" s="122"/>
      <c r="UTG66" s="122"/>
      <c r="UTH66" s="122"/>
      <c r="UTI66" s="122"/>
      <c r="UTJ66" s="122"/>
      <c r="UTK66" s="122"/>
      <c r="UTL66" s="122"/>
      <c r="UTM66" s="122"/>
      <c r="UTN66" s="122"/>
      <c r="UTO66" s="122"/>
      <c r="UTP66" s="122"/>
      <c r="UTQ66" s="122"/>
      <c r="UTR66" s="122"/>
      <c r="UTS66" s="122"/>
      <c r="UTT66" s="122"/>
      <c r="UTU66" s="122"/>
      <c r="UTV66" s="122"/>
      <c r="UTW66" s="122"/>
      <c r="UTX66" s="122"/>
      <c r="UTY66" s="122"/>
      <c r="UTZ66" s="122"/>
      <c r="UUA66" s="122"/>
      <c r="UUB66" s="122"/>
      <c r="UUC66" s="122"/>
      <c r="UUD66" s="122"/>
      <c r="UUE66" s="122"/>
      <c r="UUF66" s="122"/>
      <c r="UUG66" s="122"/>
      <c r="UUH66" s="122"/>
      <c r="UUI66" s="122"/>
      <c r="UUJ66" s="122"/>
      <c r="UUK66" s="122"/>
      <c r="UUL66" s="122"/>
      <c r="UUM66" s="122"/>
      <c r="UUN66" s="122"/>
      <c r="UUO66" s="122"/>
      <c r="UUP66" s="122"/>
      <c r="UUQ66" s="122"/>
      <c r="UUR66" s="122"/>
      <c r="UUS66" s="122"/>
      <c r="UUT66" s="122"/>
      <c r="UUU66" s="122"/>
      <c r="UUV66" s="122"/>
      <c r="UUW66" s="122"/>
      <c r="UUX66" s="122"/>
      <c r="UUY66" s="122"/>
      <c r="UUZ66" s="122"/>
      <c r="UVA66" s="122"/>
      <c r="UVB66" s="122"/>
      <c r="UVC66" s="122"/>
      <c r="UVD66" s="122"/>
      <c r="UVE66" s="122"/>
      <c r="UVF66" s="122"/>
      <c r="UVG66" s="122"/>
      <c r="UVH66" s="122"/>
      <c r="UVI66" s="122"/>
      <c r="UVJ66" s="122"/>
      <c r="UVK66" s="122"/>
      <c r="UVL66" s="122"/>
      <c r="UVM66" s="122"/>
      <c r="UVN66" s="122"/>
      <c r="UVO66" s="122"/>
      <c r="UVP66" s="122"/>
      <c r="UVQ66" s="122"/>
      <c r="UVR66" s="122"/>
      <c r="UVS66" s="122"/>
      <c r="UVT66" s="122"/>
      <c r="UVU66" s="122"/>
      <c r="UVV66" s="122"/>
      <c r="UVW66" s="122"/>
      <c r="UVX66" s="122"/>
      <c r="UVY66" s="122"/>
      <c r="UVZ66" s="122"/>
      <c r="UWA66" s="122"/>
      <c r="UWB66" s="122"/>
      <c r="UWC66" s="122"/>
      <c r="UWD66" s="122"/>
      <c r="UWE66" s="122"/>
      <c r="UWF66" s="122"/>
      <c r="UWG66" s="122"/>
      <c r="UWH66" s="122"/>
      <c r="UWI66" s="122"/>
      <c r="UWJ66" s="122"/>
      <c r="UWK66" s="122"/>
      <c r="UWL66" s="122"/>
      <c r="UWM66" s="122"/>
      <c r="UWN66" s="122"/>
      <c r="UWO66" s="122"/>
      <c r="UWP66" s="122"/>
      <c r="UWQ66" s="122"/>
      <c r="UWR66" s="122"/>
      <c r="UWS66" s="122"/>
      <c r="UWT66" s="122"/>
      <c r="UWU66" s="122"/>
      <c r="UWV66" s="122"/>
      <c r="UWW66" s="122"/>
      <c r="UWX66" s="122"/>
      <c r="UWY66" s="122"/>
      <c r="UWZ66" s="122"/>
      <c r="UXA66" s="122"/>
      <c r="UXB66" s="122"/>
      <c r="UXC66" s="122"/>
      <c r="UXD66" s="122"/>
      <c r="UXE66" s="122"/>
      <c r="UXF66" s="122"/>
      <c r="UXG66" s="122"/>
      <c r="UXH66" s="122"/>
      <c r="UXI66" s="122"/>
      <c r="UXJ66" s="122"/>
      <c r="UXK66" s="122"/>
      <c r="UXL66" s="122"/>
      <c r="UXM66" s="122"/>
      <c r="UXN66" s="122"/>
      <c r="UXO66" s="122"/>
      <c r="UXP66" s="122"/>
      <c r="UXQ66" s="122"/>
      <c r="UXR66" s="122"/>
      <c r="UXS66" s="122"/>
      <c r="UXT66" s="122"/>
      <c r="UXU66" s="122"/>
      <c r="UXV66" s="122"/>
      <c r="UXW66" s="122"/>
      <c r="UXX66" s="122"/>
      <c r="UXY66" s="122"/>
      <c r="UXZ66" s="122"/>
      <c r="UYA66" s="122"/>
      <c r="UYB66" s="122"/>
      <c r="UYC66" s="122"/>
      <c r="UYD66" s="122"/>
      <c r="UYE66" s="122"/>
      <c r="UYF66" s="122"/>
      <c r="UYG66" s="122"/>
      <c r="UYH66" s="122"/>
      <c r="UYI66" s="122"/>
      <c r="UYJ66" s="122"/>
      <c r="UYK66" s="122"/>
      <c r="UYL66" s="122"/>
      <c r="UYM66" s="122"/>
      <c r="UYN66" s="122"/>
      <c r="UYO66" s="122"/>
      <c r="UYP66" s="122"/>
      <c r="UYQ66" s="122"/>
      <c r="UYR66" s="122"/>
      <c r="UYS66" s="122"/>
      <c r="UYT66" s="122"/>
      <c r="UYU66" s="122"/>
      <c r="UYV66" s="122"/>
      <c r="UYW66" s="122"/>
      <c r="UYX66" s="122"/>
      <c r="UYY66" s="122"/>
      <c r="UYZ66" s="122"/>
      <c r="UZA66" s="122"/>
      <c r="UZB66" s="122"/>
      <c r="UZC66" s="122"/>
      <c r="UZD66" s="122"/>
      <c r="UZE66" s="122"/>
      <c r="UZF66" s="122"/>
      <c r="UZG66" s="122"/>
      <c r="UZH66" s="122"/>
      <c r="UZI66" s="122"/>
      <c r="UZJ66" s="122"/>
      <c r="UZK66" s="122"/>
      <c r="UZL66" s="122"/>
      <c r="UZM66" s="122"/>
      <c r="UZN66" s="122"/>
      <c r="UZO66" s="122"/>
      <c r="UZP66" s="122"/>
      <c r="UZQ66" s="122"/>
      <c r="UZR66" s="122"/>
      <c r="UZS66" s="122"/>
      <c r="UZT66" s="122"/>
      <c r="UZU66" s="122"/>
      <c r="UZV66" s="122"/>
      <c r="UZW66" s="122"/>
      <c r="UZX66" s="122"/>
      <c r="UZY66" s="122"/>
      <c r="UZZ66" s="122"/>
      <c r="VAA66" s="122"/>
      <c r="VAB66" s="122"/>
      <c r="VAC66" s="122"/>
      <c r="VAD66" s="122"/>
      <c r="VAE66" s="122"/>
      <c r="VAF66" s="122"/>
      <c r="VAG66" s="122"/>
      <c r="VAH66" s="122"/>
      <c r="VAI66" s="122"/>
      <c r="VAJ66" s="122"/>
      <c r="VAK66" s="122"/>
      <c r="VAL66" s="122"/>
      <c r="VAM66" s="122"/>
      <c r="VAN66" s="122"/>
      <c r="VAO66" s="122"/>
      <c r="VAP66" s="122"/>
      <c r="VAQ66" s="122"/>
      <c r="VAR66" s="122"/>
      <c r="VAS66" s="122"/>
      <c r="VAT66" s="122"/>
      <c r="VAU66" s="122"/>
      <c r="VAV66" s="122"/>
      <c r="VAW66" s="122"/>
      <c r="VAX66" s="122"/>
      <c r="VAY66" s="122"/>
      <c r="VAZ66" s="122"/>
      <c r="VBA66" s="122"/>
      <c r="VBB66" s="122"/>
      <c r="VBC66" s="122"/>
      <c r="VBD66" s="122"/>
      <c r="VBE66" s="122"/>
      <c r="VBF66" s="122"/>
      <c r="VBG66" s="122"/>
      <c r="VBH66" s="122"/>
      <c r="VBI66" s="122"/>
      <c r="VBJ66" s="122"/>
      <c r="VBK66" s="122"/>
      <c r="VBL66" s="122"/>
      <c r="VBM66" s="122"/>
      <c r="VBN66" s="122"/>
      <c r="VBO66" s="122"/>
      <c r="VBP66" s="122"/>
      <c r="VBQ66" s="122"/>
      <c r="VBR66" s="122"/>
      <c r="VBS66" s="122"/>
      <c r="VBT66" s="122"/>
      <c r="VBU66" s="122"/>
      <c r="VBV66" s="122"/>
      <c r="VBW66" s="122"/>
      <c r="VBX66" s="122"/>
      <c r="VBY66" s="122"/>
      <c r="VBZ66" s="122"/>
      <c r="VCA66" s="122"/>
      <c r="VCB66" s="122"/>
      <c r="VCC66" s="122"/>
      <c r="VCD66" s="122"/>
      <c r="VCE66" s="122"/>
      <c r="VCF66" s="122"/>
      <c r="VCG66" s="122"/>
      <c r="VCH66" s="122"/>
      <c r="VCI66" s="122"/>
      <c r="VCJ66" s="122"/>
      <c r="VCK66" s="122"/>
      <c r="VCL66" s="122"/>
      <c r="VCM66" s="122"/>
      <c r="VCN66" s="122"/>
      <c r="VCO66" s="122"/>
      <c r="VCP66" s="122"/>
      <c r="VCQ66" s="122"/>
      <c r="VCR66" s="122"/>
      <c r="VCS66" s="122"/>
      <c r="VCT66" s="122"/>
      <c r="VCU66" s="122"/>
      <c r="VCV66" s="122"/>
      <c r="VCW66" s="122"/>
      <c r="VCX66" s="122"/>
      <c r="VCY66" s="122"/>
      <c r="VCZ66" s="122"/>
      <c r="VDA66" s="122"/>
      <c r="VDB66" s="122"/>
      <c r="VDC66" s="122"/>
      <c r="VDD66" s="122"/>
      <c r="VDE66" s="122"/>
      <c r="VDF66" s="122"/>
      <c r="VDG66" s="122"/>
      <c r="VDH66" s="122"/>
      <c r="VDI66" s="122"/>
      <c r="VDJ66" s="122"/>
      <c r="VDK66" s="122"/>
      <c r="VDL66" s="122"/>
      <c r="VDM66" s="122"/>
      <c r="VDN66" s="122"/>
      <c r="VDO66" s="122"/>
      <c r="VDP66" s="122"/>
      <c r="VDQ66" s="122"/>
      <c r="VDR66" s="122"/>
      <c r="VDS66" s="122"/>
      <c r="VDT66" s="122"/>
      <c r="VDU66" s="122"/>
      <c r="VDV66" s="122"/>
      <c r="VDW66" s="122"/>
      <c r="VDX66" s="122"/>
      <c r="VDY66" s="122"/>
      <c r="VDZ66" s="122"/>
      <c r="VEA66" s="122"/>
      <c r="VEB66" s="122"/>
      <c r="VEC66" s="122"/>
      <c r="VED66" s="122"/>
      <c r="VEE66" s="122"/>
      <c r="VEF66" s="122"/>
      <c r="VEG66" s="122"/>
      <c r="VEH66" s="122"/>
      <c r="VEI66" s="122"/>
      <c r="VEJ66" s="122"/>
      <c r="VEK66" s="122"/>
      <c r="VEL66" s="122"/>
      <c r="VEM66" s="122"/>
      <c r="VEN66" s="122"/>
      <c r="VEO66" s="122"/>
      <c r="VEP66" s="122"/>
      <c r="VEQ66" s="122"/>
      <c r="VER66" s="122"/>
      <c r="VES66" s="122"/>
      <c r="VET66" s="122"/>
      <c r="VEU66" s="122"/>
      <c r="VEV66" s="122"/>
      <c r="VEW66" s="122"/>
      <c r="VEX66" s="122"/>
      <c r="VEY66" s="122"/>
      <c r="VEZ66" s="122"/>
      <c r="VFA66" s="122"/>
      <c r="VFB66" s="122"/>
      <c r="VFC66" s="122"/>
      <c r="VFD66" s="122"/>
      <c r="VFE66" s="122"/>
      <c r="VFF66" s="122"/>
      <c r="VFG66" s="122"/>
      <c r="VFH66" s="122"/>
      <c r="VFI66" s="122"/>
      <c r="VFJ66" s="122"/>
      <c r="VFK66" s="122"/>
      <c r="VFL66" s="122"/>
      <c r="VFM66" s="122"/>
      <c r="VFN66" s="122"/>
      <c r="VFO66" s="122"/>
      <c r="VFP66" s="122"/>
      <c r="VFQ66" s="122"/>
      <c r="VFR66" s="122"/>
      <c r="VFS66" s="122"/>
      <c r="VFT66" s="122"/>
      <c r="VFU66" s="122"/>
      <c r="VFV66" s="122"/>
      <c r="VFW66" s="122"/>
      <c r="VFX66" s="122"/>
      <c r="VFY66" s="122"/>
      <c r="VFZ66" s="122"/>
      <c r="VGA66" s="122"/>
      <c r="VGB66" s="122"/>
      <c r="VGC66" s="122"/>
      <c r="VGD66" s="122"/>
      <c r="VGE66" s="122"/>
      <c r="VGF66" s="122"/>
      <c r="VGG66" s="122"/>
      <c r="VGH66" s="122"/>
      <c r="VGI66" s="122"/>
      <c r="VGJ66" s="122"/>
      <c r="VGK66" s="122"/>
      <c r="VGL66" s="122"/>
      <c r="VGM66" s="122"/>
      <c r="VGN66" s="122"/>
      <c r="VGO66" s="122"/>
      <c r="VGP66" s="122"/>
      <c r="VGQ66" s="122"/>
      <c r="VGR66" s="122"/>
      <c r="VGS66" s="122"/>
      <c r="VGT66" s="122"/>
      <c r="VGU66" s="122"/>
      <c r="VGV66" s="122"/>
      <c r="VGW66" s="122"/>
      <c r="VGX66" s="122"/>
      <c r="VGY66" s="122"/>
      <c r="VGZ66" s="122"/>
      <c r="VHA66" s="122"/>
      <c r="VHB66" s="122"/>
      <c r="VHC66" s="122"/>
      <c r="VHD66" s="122"/>
      <c r="VHE66" s="122"/>
      <c r="VHF66" s="122"/>
      <c r="VHG66" s="122"/>
      <c r="VHH66" s="122"/>
      <c r="VHI66" s="122"/>
      <c r="VHJ66" s="122"/>
      <c r="VHK66" s="122"/>
      <c r="VHL66" s="122"/>
      <c r="VHM66" s="122"/>
      <c r="VHN66" s="122"/>
      <c r="VHO66" s="122"/>
      <c r="VHP66" s="122"/>
      <c r="VHQ66" s="122"/>
      <c r="VHR66" s="122"/>
      <c r="VHS66" s="122"/>
      <c r="VHT66" s="122"/>
      <c r="VHU66" s="122"/>
      <c r="VHV66" s="122"/>
      <c r="VHW66" s="122"/>
      <c r="VHX66" s="122"/>
      <c r="VHY66" s="122"/>
      <c r="VHZ66" s="122"/>
      <c r="VIA66" s="122"/>
      <c r="VIB66" s="122"/>
      <c r="VIC66" s="122"/>
      <c r="VID66" s="122"/>
      <c r="VIE66" s="122"/>
      <c r="VIF66" s="122"/>
      <c r="VIG66" s="122"/>
      <c r="VIH66" s="122"/>
      <c r="VII66" s="122"/>
      <c r="VIJ66" s="122"/>
      <c r="VIK66" s="122"/>
      <c r="VIL66" s="122"/>
      <c r="VIM66" s="122"/>
      <c r="VIN66" s="122"/>
      <c r="VIO66" s="122"/>
      <c r="VIP66" s="122"/>
      <c r="VIQ66" s="122"/>
      <c r="VIR66" s="122"/>
      <c r="VIS66" s="122"/>
      <c r="VIT66" s="122"/>
      <c r="VIU66" s="122"/>
      <c r="VIV66" s="122"/>
      <c r="VIW66" s="122"/>
      <c r="VIX66" s="122"/>
      <c r="VIY66" s="122"/>
      <c r="VIZ66" s="122"/>
      <c r="VJA66" s="122"/>
      <c r="VJB66" s="122"/>
      <c r="VJC66" s="122"/>
      <c r="VJD66" s="122"/>
      <c r="VJE66" s="122"/>
      <c r="VJF66" s="122"/>
      <c r="VJG66" s="122"/>
      <c r="VJH66" s="122"/>
      <c r="VJI66" s="122"/>
      <c r="VJJ66" s="122"/>
      <c r="VJK66" s="122"/>
      <c r="VJL66" s="122"/>
      <c r="VJM66" s="122"/>
      <c r="VJN66" s="122"/>
      <c r="VJO66" s="122"/>
      <c r="VJP66" s="122"/>
      <c r="VJQ66" s="122"/>
      <c r="VJR66" s="122"/>
      <c r="VJS66" s="122"/>
      <c r="VJT66" s="122"/>
      <c r="VJU66" s="122"/>
      <c r="VJV66" s="122"/>
      <c r="VJW66" s="122"/>
      <c r="VJX66" s="122"/>
      <c r="VJY66" s="122"/>
      <c r="VJZ66" s="122"/>
      <c r="VKA66" s="122"/>
      <c r="VKB66" s="122"/>
      <c r="VKC66" s="122"/>
      <c r="VKD66" s="122"/>
      <c r="VKE66" s="122"/>
      <c r="VKF66" s="122"/>
      <c r="VKG66" s="122"/>
      <c r="VKH66" s="122"/>
      <c r="VKI66" s="122"/>
      <c r="VKJ66" s="122"/>
      <c r="VKK66" s="122"/>
      <c r="VKL66" s="122"/>
      <c r="VKM66" s="122"/>
      <c r="VKN66" s="122"/>
      <c r="VKO66" s="122"/>
      <c r="VKP66" s="122"/>
      <c r="VKQ66" s="122"/>
      <c r="VKR66" s="122"/>
      <c r="VKS66" s="122"/>
      <c r="VKT66" s="122"/>
      <c r="VKU66" s="122"/>
      <c r="VKV66" s="122"/>
      <c r="VKW66" s="122"/>
      <c r="VKX66" s="122"/>
      <c r="VKY66" s="122"/>
      <c r="VKZ66" s="122"/>
      <c r="VLA66" s="122"/>
      <c r="VLB66" s="122"/>
      <c r="VLC66" s="122"/>
      <c r="VLD66" s="122"/>
      <c r="VLE66" s="122"/>
      <c r="VLF66" s="122"/>
      <c r="VLG66" s="122"/>
      <c r="VLH66" s="122"/>
      <c r="VLI66" s="122"/>
      <c r="VLJ66" s="122"/>
      <c r="VLK66" s="122"/>
      <c r="VLL66" s="122"/>
      <c r="VLM66" s="122"/>
      <c r="VLN66" s="122"/>
      <c r="VLO66" s="122"/>
      <c r="VLP66" s="122"/>
      <c r="VLQ66" s="122"/>
      <c r="VLR66" s="122"/>
      <c r="VLS66" s="122"/>
      <c r="VLT66" s="122"/>
      <c r="VLU66" s="122"/>
      <c r="VLV66" s="122"/>
      <c r="VLW66" s="122"/>
      <c r="VLX66" s="122"/>
      <c r="VLY66" s="122"/>
      <c r="VLZ66" s="122"/>
      <c r="VMA66" s="122"/>
      <c r="VMB66" s="122"/>
      <c r="VMC66" s="122"/>
      <c r="VMD66" s="122"/>
      <c r="VME66" s="122"/>
      <c r="VMF66" s="122"/>
      <c r="VMG66" s="122"/>
      <c r="VMH66" s="122"/>
      <c r="VMI66" s="122"/>
      <c r="VMJ66" s="122"/>
      <c r="VMK66" s="122"/>
      <c r="VML66" s="122"/>
      <c r="VMM66" s="122"/>
      <c r="VMN66" s="122"/>
      <c r="VMO66" s="122"/>
      <c r="VMP66" s="122"/>
      <c r="VMQ66" s="122"/>
      <c r="VMR66" s="122"/>
      <c r="VMS66" s="122"/>
      <c r="VMT66" s="122"/>
      <c r="VMU66" s="122"/>
      <c r="VMV66" s="122"/>
      <c r="VMW66" s="122"/>
      <c r="VMX66" s="122"/>
      <c r="VMY66" s="122"/>
      <c r="VMZ66" s="122"/>
      <c r="VNA66" s="122"/>
      <c r="VNB66" s="122"/>
      <c r="VNC66" s="122"/>
      <c r="VND66" s="122"/>
      <c r="VNE66" s="122"/>
      <c r="VNF66" s="122"/>
      <c r="VNG66" s="122"/>
      <c r="VNH66" s="122"/>
      <c r="VNI66" s="122"/>
      <c r="VNJ66" s="122"/>
      <c r="VNK66" s="122"/>
      <c r="VNL66" s="122"/>
      <c r="VNM66" s="122"/>
      <c r="VNN66" s="122"/>
      <c r="VNO66" s="122"/>
      <c r="VNP66" s="122"/>
      <c r="VNQ66" s="122"/>
      <c r="VNR66" s="122"/>
      <c r="VNS66" s="122"/>
      <c r="VNT66" s="122"/>
      <c r="VNU66" s="122"/>
      <c r="VNV66" s="122"/>
      <c r="VNW66" s="122"/>
      <c r="VNX66" s="122"/>
      <c r="VNY66" s="122"/>
      <c r="VNZ66" s="122"/>
      <c r="VOA66" s="122"/>
      <c r="VOB66" s="122"/>
      <c r="VOC66" s="122"/>
      <c r="VOD66" s="122"/>
      <c r="VOE66" s="122"/>
      <c r="VOF66" s="122"/>
      <c r="VOG66" s="122"/>
      <c r="VOH66" s="122"/>
      <c r="VOI66" s="122"/>
      <c r="VOJ66" s="122"/>
      <c r="VOK66" s="122"/>
      <c r="VOL66" s="122"/>
      <c r="VOM66" s="122"/>
      <c r="VON66" s="122"/>
      <c r="VOO66" s="122"/>
      <c r="VOP66" s="122"/>
      <c r="VOQ66" s="122"/>
      <c r="VOR66" s="122"/>
      <c r="VOS66" s="122"/>
      <c r="VOT66" s="122"/>
      <c r="VOU66" s="122"/>
      <c r="VOV66" s="122"/>
      <c r="VOW66" s="122"/>
      <c r="VOX66" s="122"/>
      <c r="VOY66" s="122"/>
      <c r="VOZ66" s="122"/>
      <c r="VPA66" s="122"/>
      <c r="VPB66" s="122"/>
      <c r="VPC66" s="122"/>
      <c r="VPD66" s="122"/>
      <c r="VPE66" s="122"/>
      <c r="VPF66" s="122"/>
      <c r="VPG66" s="122"/>
      <c r="VPH66" s="122"/>
      <c r="VPI66" s="122"/>
      <c r="VPJ66" s="122"/>
      <c r="VPK66" s="122"/>
      <c r="VPL66" s="122"/>
      <c r="VPM66" s="122"/>
      <c r="VPN66" s="122"/>
      <c r="VPO66" s="122"/>
      <c r="VPP66" s="122"/>
      <c r="VPQ66" s="122"/>
      <c r="VPR66" s="122"/>
      <c r="VPS66" s="122"/>
      <c r="VPT66" s="122"/>
      <c r="VPU66" s="122"/>
      <c r="VPV66" s="122"/>
      <c r="VPW66" s="122"/>
      <c r="VPX66" s="122"/>
      <c r="VPY66" s="122"/>
      <c r="VPZ66" s="122"/>
      <c r="VQA66" s="122"/>
      <c r="VQB66" s="122"/>
      <c r="VQC66" s="122"/>
      <c r="VQD66" s="122"/>
      <c r="VQE66" s="122"/>
      <c r="VQF66" s="122"/>
      <c r="VQG66" s="122"/>
      <c r="VQH66" s="122"/>
      <c r="VQI66" s="122"/>
      <c r="VQJ66" s="122"/>
      <c r="VQK66" s="122"/>
      <c r="VQL66" s="122"/>
      <c r="VQM66" s="122"/>
      <c r="VQN66" s="122"/>
      <c r="VQO66" s="122"/>
      <c r="VQP66" s="122"/>
      <c r="VQQ66" s="122"/>
      <c r="VQR66" s="122"/>
      <c r="VQS66" s="122"/>
      <c r="VQT66" s="122"/>
      <c r="VQU66" s="122"/>
      <c r="VQV66" s="122"/>
      <c r="VQW66" s="122"/>
      <c r="VQX66" s="122"/>
      <c r="VQY66" s="122"/>
      <c r="VQZ66" s="122"/>
      <c r="VRA66" s="122"/>
      <c r="VRB66" s="122"/>
      <c r="VRC66" s="122"/>
      <c r="VRD66" s="122"/>
      <c r="VRE66" s="122"/>
      <c r="VRF66" s="122"/>
      <c r="VRG66" s="122"/>
      <c r="VRH66" s="122"/>
      <c r="VRI66" s="122"/>
      <c r="VRJ66" s="122"/>
      <c r="VRK66" s="122"/>
      <c r="VRL66" s="122"/>
      <c r="VRM66" s="122"/>
      <c r="VRN66" s="122"/>
      <c r="VRO66" s="122"/>
      <c r="VRP66" s="122"/>
      <c r="VRQ66" s="122"/>
      <c r="VRR66" s="122"/>
      <c r="VRS66" s="122"/>
      <c r="VRT66" s="122"/>
      <c r="VRU66" s="122"/>
      <c r="VRV66" s="122"/>
      <c r="VRW66" s="122"/>
      <c r="VRX66" s="122"/>
      <c r="VRY66" s="122"/>
      <c r="VRZ66" s="122"/>
      <c r="VSA66" s="122"/>
      <c r="VSB66" s="122"/>
      <c r="VSC66" s="122"/>
      <c r="VSD66" s="122"/>
      <c r="VSE66" s="122"/>
      <c r="VSF66" s="122"/>
      <c r="VSG66" s="122"/>
      <c r="VSH66" s="122"/>
      <c r="VSI66" s="122"/>
      <c r="VSJ66" s="122"/>
      <c r="VSK66" s="122"/>
      <c r="VSL66" s="122"/>
      <c r="VSM66" s="122"/>
      <c r="VSN66" s="122"/>
      <c r="VSO66" s="122"/>
      <c r="VSP66" s="122"/>
      <c r="VSQ66" s="122"/>
      <c r="VSR66" s="122"/>
      <c r="VSS66" s="122"/>
      <c r="VST66" s="122"/>
      <c r="VSU66" s="122"/>
      <c r="VSV66" s="122"/>
      <c r="VSW66" s="122"/>
      <c r="VSX66" s="122"/>
      <c r="VSY66" s="122"/>
      <c r="VSZ66" s="122"/>
      <c r="VTA66" s="122"/>
      <c r="VTB66" s="122"/>
      <c r="VTC66" s="122"/>
      <c r="VTD66" s="122"/>
      <c r="VTE66" s="122"/>
      <c r="VTF66" s="122"/>
      <c r="VTG66" s="122"/>
      <c r="VTH66" s="122"/>
      <c r="VTI66" s="122"/>
      <c r="VTJ66" s="122"/>
      <c r="VTK66" s="122"/>
      <c r="VTL66" s="122"/>
      <c r="VTM66" s="122"/>
      <c r="VTN66" s="122"/>
      <c r="VTO66" s="122"/>
      <c r="VTP66" s="122"/>
      <c r="VTQ66" s="122"/>
      <c r="VTR66" s="122"/>
      <c r="VTS66" s="122"/>
      <c r="VTT66" s="122"/>
      <c r="VTU66" s="122"/>
      <c r="VTV66" s="122"/>
      <c r="VTW66" s="122"/>
      <c r="VTX66" s="122"/>
      <c r="VTY66" s="122"/>
      <c r="VTZ66" s="122"/>
      <c r="VUA66" s="122"/>
      <c r="VUB66" s="122"/>
      <c r="VUC66" s="122"/>
      <c r="VUD66" s="122"/>
      <c r="VUE66" s="122"/>
      <c r="VUF66" s="122"/>
      <c r="VUG66" s="122"/>
      <c r="VUH66" s="122"/>
      <c r="VUI66" s="122"/>
      <c r="VUJ66" s="122"/>
      <c r="VUK66" s="122"/>
      <c r="VUL66" s="122"/>
      <c r="VUM66" s="122"/>
      <c r="VUN66" s="122"/>
      <c r="VUO66" s="122"/>
      <c r="VUP66" s="122"/>
      <c r="VUQ66" s="122"/>
      <c r="VUR66" s="122"/>
      <c r="VUS66" s="122"/>
      <c r="VUT66" s="122"/>
      <c r="VUU66" s="122"/>
      <c r="VUV66" s="122"/>
      <c r="VUW66" s="122"/>
      <c r="VUX66" s="122"/>
      <c r="VUY66" s="122"/>
      <c r="VUZ66" s="122"/>
      <c r="VVA66" s="122"/>
      <c r="VVB66" s="122"/>
      <c r="VVC66" s="122"/>
      <c r="VVD66" s="122"/>
      <c r="VVE66" s="122"/>
      <c r="VVF66" s="122"/>
      <c r="VVG66" s="122"/>
      <c r="VVH66" s="122"/>
      <c r="VVI66" s="122"/>
      <c r="VVJ66" s="122"/>
      <c r="VVK66" s="122"/>
      <c r="VVL66" s="122"/>
      <c r="VVM66" s="122"/>
      <c r="VVN66" s="122"/>
      <c r="VVO66" s="122"/>
      <c r="VVP66" s="122"/>
      <c r="VVQ66" s="122"/>
      <c r="VVR66" s="122"/>
      <c r="VVS66" s="122"/>
      <c r="VVT66" s="122"/>
      <c r="VVU66" s="122"/>
      <c r="VVV66" s="122"/>
      <c r="VVW66" s="122"/>
      <c r="VVX66" s="122"/>
      <c r="VVY66" s="122"/>
      <c r="VVZ66" s="122"/>
      <c r="VWA66" s="122"/>
      <c r="VWB66" s="122"/>
      <c r="VWC66" s="122"/>
      <c r="VWD66" s="122"/>
      <c r="VWE66" s="122"/>
      <c r="VWF66" s="122"/>
      <c r="VWG66" s="122"/>
      <c r="VWH66" s="122"/>
      <c r="VWI66" s="122"/>
      <c r="VWJ66" s="122"/>
      <c r="VWK66" s="122"/>
      <c r="VWL66" s="122"/>
      <c r="VWM66" s="122"/>
      <c r="VWN66" s="122"/>
      <c r="VWO66" s="122"/>
      <c r="VWP66" s="122"/>
      <c r="VWQ66" s="122"/>
      <c r="VWR66" s="122"/>
      <c r="VWS66" s="122"/>
      <c r="VWT66" s="122"/>
      <c r="VWU66" s="122"/>
      <c r="VWV66" s="122"/>
      <c r="VWW66" s="122"/>
      <c r="VWX66" s="122"/>
      <c r="VWY66" s="122"/>
      <c r="VWZ66" s="122"/>
      <c r="VXA66" s="122"/>
      <c r="VXB66" s="122"/>
      <c r="VXC66" s="122"/>
      <c r="VXD66" s="122"/>
      <c r="VXE66" s="122"/>
      <c r="VXF66" s="122"/>
      <c r="VXG66" s="122"/>
      <c r="VXH66" s="122"/>
      <c r="VXI66" s="122"/>
      <c r="VXJ66" s="122"/>
      <c r="VXK66" s="122"/>
      <c r="VXL66" s="122"/>
      <c r="VXM66" s="122"/>
      <c r="VXN66" s="122"/>
      <c r="VXO66" s="122"/>
      <c r="VXP66" s="122"/>
      <c r="VXQ66" s="122"/>
      <c r="VXR66" s="122"/>
      <c r="VXS66" s="122"/>
      <c r="VXT66" s="122"/>
      <c r="VXU66" s="122"/>
      <c r="VXV66" s="122"/>
      <c r="VXW66" s="122"/>
      <c r="VXX66" s="122"/>
      <c r="VXY66" s="122"/>
      <c r="VXZ66" s="122"/>
      <c r="VYA66" s="122"/>
      <c r="VYB66" s="122"/>
      <c r="VYC66" s="122"/>
      <c r="VYD66" s="122"/>
      <c r="VYE66" s="122"/>
      <c r="VYF66" s="122"/>
      <c r="VYG66" s="122"/>
      <c r="VYH66" s="122"/>
      <c r="VYI66" s="122"/>
      <c r="VYJ66" s="122"/>
      <c r="VYK66" s="122"/>
      <c r="VYL66" s="122"/>
      <c r="VYM66" s="122"/>
      <c r="VYN66" s="122"/>
      <c r="VYO66" s="122"/>
      <c r="VYP66" s="122"/>
      <c r="VYQ66" s="122"/>
      <c r="VYR66" s="122"/>
      <c r="VYS66" s="122"/>
      <c r="VYT66" s="122"/>
      <c r="VYU66" s="122"/>
      <c r="VYV66" s="122"/>
      <c r="VYW66" s="122"/>
      <c r="VYX66" s="122"/>
      <c r="VYY66" s="122"/>
      <c r="VYZ66" s="122"/>
      <c r="VZA66" s="122"/>
      <c r="VZB66" s="122"/>
      <c r="VZC66" s="122"/>
      <c r="VZD66" s="122"/>
      <c r="VZE66" s="122"/>
      <c r="VZF66" s="122"/>
      <c r="VZG66" s="122"/>
      <c r="VZH66" s="122"/>
      <c r="VZI66" s="122"/>
      <c r="VZJ66" s="122"/>
      <c r="VZK66" s="122"/>
      <c r="VZL66" s="122"/>
      <c r="VZM66" s="122"/>
      <c r="VZN66" s="122"/>
      <c r="VZO66" s="122"/>
      <c r="VZP66" s="122"/>
      <c r="VZQ66" s="122"/>
      <c r="VZR66" s="122"/>
      <c r="VZS66" s="122"/>
      <c r="VZT66" s="122"/>
      <c r="VZU66" s="122"/>
      <c r="VZV66" s="122"/>
      <c r="VZW66" s="122"/>
      <c r="VZX66" s="122"/>
      <c r="VZY66" s="122"/>
      <c r="VZZ66" s="122"/>
      <c r="WAA66" s="122"/>
      <c r="WAB66" s="122"/>
      <c r="WAC66" s="122"/>
      <c r="WAD66" s="122"/>
      <c r="WAE66" s="122"/>
      <c r="WAF66" s="122"/>
      <c r="WAG66" s="122"/>
      <c r="WAH66" s="122"/>
      <c r="WAI66" s="122"/>
      <c r="WAJ66" s="122"/>
      <c r="WAK66" s="122"/>
      <c r="WAL66" s="122"/>
      <c r="WAM66" s="122"/>
      <c r="WAN66" s="122"/>
      <c r="WAO66" s="122"/>
      <c r="WAP66" s="122"/>
      <c r="WAQ66" s="122"/>
      <c r="WAR66" s="122"/>
      <c r="WAS66" s="122"/>
      <c r="WAT66" s="122"/>
      <c r="WAU66" s="122"/>
      <c r="WAV66" s="122"/>
      <c r="WAW66" s="122"/>
      <c r="WAX66" s="122"/>
      <c r="WAY66" s="122"/>
      <c r="WAZ66" s="122"/>
      <c r="WBA66" s="122"/>
      <c r="WBB66" s="122"/>
      <c r="WBC66" s="122"/>
      <c r="WBD66" s="122"/>
      <c r="WBE66" s="122"/>
      <c r="WBF66" s="122"/>
      <c r="WBG66" s="122"/>
      <c r="WBH66" s="122"/>
      <c r="WBI66" s="122"/>
      <c r="WBJ66" s="122"/>
      <c r="WBK66" s="122"/>
      <c r="WBL66" s="122"/>
      <c r="WBM66" s="122"/>
      <c r="WBN66" s="122"/>
      <c r="WBO66" s="122"/>
      <c r="WBP66" s="122"/>
      <c r="WBQ66" s="122"/>
      <c r="WBR66" s="122"/>
      <c r="WBS66" s="122"/>
      <c r="WBT66" s="122"/>
      <c r="WBU66" s="122"/>
      <c r="WBV66" s="122"/>
      <c r="WBW66" s="122"/>
      <c r="WBX66" s="122"/>
      <c r="WBY66" s="122"/>
      <c r="WBZ66" s="122"/>
      <c r="WCA66" s="122"/>
      <c r="WCB66" s="122"/>
      <c r="WCC66" s="122"/>
      <c r="WCD66" s="122"/>
      <c r="WCE66" s="122"/>
      <c r="WCF66" s="122"/>
      <c r="WCG66" s="122"/>
      <c r="WCH66" s="122"/>
      <c r="WCI66" s="122"/>
      <c r="WCJ66" s="122"/>
      <c r="WCK66" s="122"/>
      <c r="WCL66" s="122"/>
      <c r="WCM66" s="122"/>
      <c r="WCN66" s="122"/>
      <c r="WCO66" s="122"/>
      <c r="WCP66" s="122"/>
      <c r="WCQ66" s="122"/>
      <c r="WCR66" s="122"/>
      <c r="WCS66" s="122"/>
      <c r="WCT66" s="122"/>
      <c r="WCU66" s="122"/>
      <c r="WCV66" s="122"/>
      <c r="WCW66" s="122"/>
      <c r="WCX66" s="122"/>
      <c r="WCY66" s="122"/>
      <c r="WCZ66" s="122"/>
      <c r="WDA66" s="122"/>
      <c r="WDB66" s="122"/>
      <c r="WDC66" s="122"/>
      <c r="WDD66" s="122"/>
      <c r="WDE66" s="122"/>
      <c r="WDF66" s="122"/>
      <c r="WDG66" s="122"/>
      <c r="WDH66" s="122"/>
      <c r="WDI66" s="122"/>
      <c r="WDJ66" s="122"/>
      <c r="WDK66" s="122"/>
      <c r="WDL66" s="122"/>
      <c r="WDM66" s="122"/>
      <c r="WDN66" s="122"/>
      <c r="WDO66" s="122"/>
      <c r="WDP66" s="122"/>
      <c r="WDQ66" s="122"/>
      <c r="WDR66" s="122"/>
      <c r="WDS66" s="122"/>
      <c r="WDT66" s="122"/>
      <c r="WDU66" s="122"/>
      <c r="WDV66" s="122"/>
      <c r="WDW66" s="122"/>
      <c r="WDX66" s="122"/>
      <c r="WDY66" s="122"/>
      <c r="WDZ66" s="122"/>
      <c r="WEA66" s="122"/>
      <c r="WEB66" s="122"/>
      <c r="WEC66" s="122"/>
      <c r="WED66" s="122"/>
      <c r="WEE66" s="122"/>
      <c r="WEF66" s="122"/>
      <c r="WEG66" s="122"/>
      <c r="WEH66" s="122"/>
      <c r="WEI66" s="122"/>
      <c r="WEJ66" s="122"/>
      <c r="WEK66" s="122"/>
      <c r="WEL66" s="122"/>
      <c r="WEM66" s="122"/>
      <c r="WEN66" s="122"/>
      <c r="WEO66" s="122"/>
      <c r="WEP66" s="122"/>
      <c r="WEQ66" s="122"/>
      <c r="WER66" s="122"/>
      <c r="WES66" s="122"/>
      <c r="WET66" s="122"/>
      <c r="WEU66" s="122"/>
      <c r="WEV66" s="122"/>
      <c r="WEW66" s="122"/>
      <c r="WEX66" s="122"/>
      <c r="WEY66" s="122"/>
      <c r="WEZ66" s="122"/>
      <c r="WFA66" s="122"/>
      <c r="WFB66" s="122"/>
      <c r="WFC66" s="122"/>
      <c r="WFD66" s="122"/>
      <c r="WFE66" s="122"/>
      <c r="WFF66" s="122"/>
      <c r="WFG66" s="122"/>
      <c r="WFH66" s="122"/>
      <c r="WFI66" s="122"/>
      <c r="WFJ66" s="122"/>
      <c r="WFK66" s="122"/>
      <c r="WFL66" s="122"/>
      <c r="WFM66" s="122"/>
      <c r="WFN66" s="122"/>
      <c r="WFO66" s="122"/>
      <c r="WFP66" s="122"/>
      <c r="WFQ66" s="122"/>
      <c r="WFR66" s="122"/>
      <c r="WFS66" s="122"/>
      <c r="WFT66" s="122"/>
      <c r="WFU66" s="122"/>
      <c r="WFV66" s="122"/>
      <c r="WFW66" s="122"/>
      <c r="WFX66" s="122"/>
      <c r="WFY66" s="122"/>
      <c r="WFZ66" s="122"/>
      <c r="WGA66" s="122"/>
      <c r="WGB66" s="122"/>
      <c r="WGC66" s="122"/>
      <c r="WGD66" s="122"/>
      <c r="WGE66" s="122"/>
      <c r="WGF66" s="122"/>
      <c r="WGG66" s="122"/>
      <c r="WGH66" s="122"/>
      <c r="WGI66" s="122"/>
      <c r="WGJ66" s="122"/>
      <c r="WGK66" s="122"/>
      <c r="WGL66" s="122"/>
      <c r="WGM66" s="122"/>
      <c r="WGN66" s="122"/>
      <c r="WGO66" s="122"/>
      <c r="WGP66" s="122"/>
      <c r="WGQ66" s="122"/>
      <c r="WGR66" s="122"/>
      <c r="WGS66" s="122"/>
      <c r="WGT66" s="122"/>
      <c r="WGU66" s="122"/>
      <c r="WGV66" s="122"/>
      <c r="WGW66" s="122"/>
      <c r="WGX66" s="122"/>
      <c r="WGY66" s="122"/>
      <c r="WGZ66" s="122"/>
      <c r="WHA66" s="122"/>
      <c r="WHB66" s="122"/>
      <c r="WHC66" s="122"/>
      <c r="WHD66" s="122"/>
      <c r="WHE66" s="122"/>
      <c r="WHF66" s="122"/>
      <c r="WHG66" s="122"/>
      <c r="WHH66" s="122"/>
      <c r="WHI66" s="122"/>
      <c r="WHJ66" s="122"/>
      <c r="WHK66" s="122"/>
      <c r="WHL66" s="122"/>
      <c r="WHM66" s="122"/>
      <c r="WHN66" s="122"/>
      <c r="WHO66" s="122"/>
      <c r="WHP66" s="122"/>
      <c r="WHQ66" s="122"/>
      <c r="WHR66" s="122"/>
      <c r="WHS66" s="122"/>
      <c r="WHT66" s="122"/>
      <c r="WHU66" s="122"/>
      <c r="WHV66" s="122"/>
      <c r="WHW66" s="122"/>
      <c r="WHX66" s="122"/>
      <c r="WHY66" s="122"/>
      <c r="WHZ66" s="122"/>
      <c r="WIA66" s="122"/>
      <c r="WIB66" s="122"/>
      <c r="WIC66" s="122"/>
      <c r="WID66" s="122"/>
      <c r="WIE66" s="122"/>
      <c r="WIF66" s="122"/>
      <c r="WIG66" s="122"/>
      <c r="WIH66" s="122"/>
      <c r="WII66" s="122"/>
      <c r="WIJ66" s="122"/>
      <c r="WIK66" s="122"/>
      <c r="WIL66" s="122"/>
      <c r="WIM66" s="122"/>
      <c r="WIN66" s="122"/>
      <c r="WIO66" s="122"/>
      <c r="WIP66" s="122"/>
      <c r="WIQ66" s="122"/>
      <c r="WIR66" s="122"/>
      <c r="WIS66" s="122"/>
      <c r="WIT66" s="122"/>
      <c r="WIU66" s="122"/>
      <c r="WIV66" s="122"/>
      <c r="WIW66" s="122"/>
      <c r="WIX66" s="122"/>
      <c r="WIY66" s="122"/>
      <c r="WIZ66" s="122"/>
      <c r="WJA66" s="122"/>
      <c r="WJB66" s="122"/>
      <c r="WJC66" s="122"/>
      <c r="WJD66" s="122"/>
      <c r="WJE66" s="122"/>
      <c r="WJF66" s="122"/>
      <c r="WJG66" s="122"/>
      <c r="WJH66" s="122"/>
      <c r="WJI66" s="122"/>
      <c r="WJJ66" s="122"/>
      <c r="WJK66" s="122"/>
      <c r="WJL66" s="122"/>
      <c r="WJM66" s="122"/>
      <c r="WJN66" s="122"/>
      <c r="WJO66" s="122"/>
      <c r="WJP66" s="122"/>
      <c r="WJQ66" s="122"/>
      <c r="WJR66" s="122"/>
      <c r="WJS66" s="122"/>
      <c r="WJT66" s="122"/>
      <c r="WJU66" s="122"/>
      <c r="WJV66" s="122"/>
      <c r="WJW66" s="122"/>
      <c r="WJX66" s="122"/>
      <c r="WJY66" s="122"/>
      <c r="WJZ66" s="122"/>
      <c r="WKA66" s="122"/>
      <c r="WKB66" s="122"/>
      <c r="WKC66" s="122"/>
      <c r="WKD66" s="122"/>
      <c r="WKE66" s="122"/>
      <c r="WKF66" s="122"/>
      <c r="WKG66" s="122"/>
      <c r="WKH66" s="122"/>
      <c r="WKI66" s="122"/>
      <c r="WKJ66" s="122"/>
      <c r="WKK66" s="122"/>
      <c r="WKL66" s="122"/>
      <c r="WKM66" s="122"/>
      <c r="WKN66" s="122"/>
      <c r="WKO66" s="122"/>
      <c r="WKP66" s="122"/>
      <c r="WKQ66" s="122"/>
      <c r="WKR66" s="122"/>
      <c r="WKS66" s="122"/>
      <c r="WKT66" s="122"/>
      <c r="WKU66" s="122"/>
      <c r="WKV66" s="122"/>
      <c r="WKW66" s="122"/>
      <c r="WKX66" s="122"/>
      <c r="WKY66" s="122"/>
      <c r="WKZ66" s="122"/>
      <c r="WLA66" s="122"/>
      <c r="WLB66" s="122"/>
      <c r="WLC66" s="122"/>
      <c r="WLD66" s="122"/>
      <c r="WLE66" s="122"/>
      <c r="WLF66" s="122"/>
      <c r="WLG66" s="122"/>
      <c r="WLH66" s="122"/>
      <c r="WLI66" s="122"/>
      <c r="WLJ66" s="122"/>
      <c r="WLK66" s="122"/>
      <c r="WLL66" s="122"/>
      <c r="WLM66" s="122"/>
      <c r="WLN66" s="122"/>
      <c r="WLO66" s="122"/>
      <c r="WLP66" s="122"/>
      <c r="WLQ66" s="122"/>
      <c r="WLR66" s="122"/>
      <c r="WLS66" s="122"/>
      <c r="WLT66" s="122"/>
      <c r="WLU66" s="122"/>
      <c r="WLV66" s="122"/>
      <c r="WLW66" s="122"/>
      <c r="WLX66" s="122"/>
      <c r="WLY66" s="122"/>
      <c r="WLZ66" s="122"/>
      <c r="WMA66" s="122"/>
      <c r="WMB66" s="122"/>
      <c r="WMC66" s="122"/>
      <c r="WMD66" s="122"/>
      <c r="WME66" s="122"/>
      <c r="WMF66" s="122"/>
      <c r="WMG66" s="122"/>
      <c r="WMH66" s="122"/>
      <c r="WMI66" s="122"/>
      <c r="WMJ66" s="122"/>
      <c r="WMK66" s="122"/>
      <c r="WML66" s="122"/>
      <c r="WMM66" s="122"/>
      <c r="WMN66" s="122"/>
      <c r="WMO66" s="122"/>
      <c r="WMP66" s="122"/>
      <c r="WMQ66" s="122"/>
      <c r="WMR66" s="122"/>
      <c r="WMS66" s="122"/>
      <c r="WMT66" s="122"/>
      <c r="WMU66" s="122"/>
      <c r="WMV66" s="122"/>
      <c r="WMW66" s="122"/>
      <c r="WMX66" s="122"/>
      <c r="WMY66" s="122"/>
      <c r="WMZ66" s="122"/>
      <c r="WNA66" s="122"/>
      <c r="WNB66" s="122"/>
      <c r="WNC66" s="122"/>
      <c r="WND66" s="122"/>
      <c r="WNE66" s="122"/>
      <c r="WNF66" s="122"/>
      <c r="WNG66" s="122"/>
      <c r="WNH66" s="122"/>
      <c r="WNI66" s="122"/>
      <c r="WNJ66" s="122"/>
      <c r="WNK66" s="122"/>
      <c r="WNL66" s="122"/>
      <c r="WNM66" s="122"/>
      <c r="WNN66" s="122"/>
      <c r="WNO66" s="122"/>
      <c r="WNP66" s="122"/>
      <c r="WNQ66" s="122"/>
      <c r="WNR66" s="122"/>
      <c r="WNS66" s="122"/>
      <c r="WNT66" s="122"/>
      <c r="WNU66" s="122"/>
      <c r="WNV66" s="122"/>
      <c r="WNW66" s="122"/>
      <c r="WNX66" s="122"/>
      <c r="WNY66" s="122"/>
      <c r="WNZ66" s="122"/>
      <c r="WOA66" s="122"/>
      <c r="WOB66" s="122"/>
      <c r="WOC66" s="122"/>
      <c r="WOD66" s="122"/>
      <c r="WOE66" s="122"/>
      <c r="WOF66" s="122"/>
      <c r="WOG66" s="122"/>
      <c r="WOH66" s="122"/>
      <c r="WOI66" s="122"/>
      <c r="WOJ66" s="122"/>
      <c r="WOK66" s="122"/>
      <c r="WOL66" s="122"/>
      <c r="WOM66" s="122"/>
      <c r="WON66" s="122"/>
      <c r="WOO66" s="122"/>
      <c r="WOP66" s="122"/>
      <c r="WOQ66" s="122"/>
      <c r="WOR66" s="122"/>
      <c r="WOS66" s="122"/>
      <c r="WOT66" s="122"/>
      <c r="WOU66" s="122"/>
      <c r="WOV66" s="122"/>
      <c r="WOW66" s="122"/>
      <c r="WOX66" s="122"/>
      <c r="WOY66" s="122"/>
      <c r="WOZ66" s="122"/>
      <c r="WPA66" s="122"/>
      <c r="WPB66" s="122"/>
      <c r="WPC66" s="122"/>
      <c r="WPD66" s="122"/>
      <c r="WPE66" s="122"/>
      <c r="WPF66" s="122"/>
      <c r="WPG66" s="122"/>
      <c r="WPH66" s="122"/>
      <c r="WPI66" s="122"/>
      <c r="WPJ66" s="122"/>
      <c r="WPK66" s="122"/>
      <c r="WPL66" s="122"/>
      <c r="WPM66" s="122"/>
      <c r="WPN66" s="122"/>
      <c r="WPO66" s="122"/>
      <c r="WPP66" s="122"/>
      <c r="WPQ66" s="122"/>
      <c r="WPR66" s="122"/>
      <c r="WPS66" s="122"/>
      <c r="WPT66" s="122"/>
      <c r="WPU66" s="122"/>
      <c r="WPV66" s="122"/>
      <c r="WPW66" s="122"/>
      <c r="WPX66" s="122"/>
      <c r="WPY66" s="122"/>
      <c r="WPZ66" s="122"/>
      <c r="WQA66" s="122"/>
      <c r="WQB66" s="122"/>
      <c r="WQC66" s="122"/>
      <c r="WQD66" s="122"/>
      <c r="WQE66" s="122"/>
      <c r="WQF66" s="122"/>
      <c r="WQG66" s="122"/>
      <c r="WQH66" s="122"/>
      <c r="WQI66" s="122"/>
      <c r="WQJ66" s="122"/>
      <c r="WQK66" s="122"/>
      <c r="WQL66" s="122"/>
      <c r="WQM66" s="122"/>
      <c r="WQN66" s="122"/>
      <c r="WQO66" s="122"/>
      <c r="WQP66" s="122"/>
      <c r="WQQ66" s="122"/>
      <c r="WQR66" s="122"/>
      <c r="WQS66" s="122"/>
      <c r="WQT66" s="122"/>
      <c r="WQU66" s="122"/>
      <c r="WQV66" s="122"/>
      <c r="WQW66" s="122"/>
      <c r="WQX66" s="122"/>
      <c r="WQY66" s="122"/>
      <c r="WQZ66" s="122"/>
      <c r="WRA66" s="122"/>
      <c r="WRB66" s="122"/>
      <c r="WRC66" s="122"/>
      <c r="WRD66" s="122"/>
      <c r="WRE66" s="122"/>
      <c r="WRF66" s="122"/>
      <c r="WRG66" s="122"/>
      <c r="WRH66" s="122"/>
      <c r="WRI66" s="122"/>
      <c r="WRJ66" s="122"/>
      <c r="WRK66" s="122"/>
      <c r="WRL66" s="122"/>
      <c r="WRM66" s="122"/>
      <c r="WRN66" s="122"/>
      <c r="WRO66" s="122"/>
      <c r="WRP66" s="122"/>
      <c r="WRQ66" s="122"/>
      <c r="WRR66" s="122"/>
      <c r="WRS66" s="122"/>
      <c r="WRT66" s="122"/>
      <c r="WRU66" s="122"/>
      <c r="WRV66" s="122"/>
      <c r="WRW66" s="122"/>
      <c r="WRX66" s="122"/>
      <c r="WRY66" s="122"/>
      <c r="WRZ66" s="122"/>
      <c r="WSA66" s="122"/>
      <c r="WSB66" s="122"/>
      <c r="WSC66" s="122"/>
      <c r="WSD66" s="122"/>
      <c r="WSE66" s="122"/>
      <c r="WSF66" s="122"/>
      <c r="WSG66" s="122"/>
      <c r="WSH66" s="122"/>
      <c r="WSI66" s="122"/>
      <c r="WSJ66" s="122"/>
      <c r="WSK66" s="122"/>
      <c r="WSL66" s="122"/>
      <c r="WSM66" s="122"/>
      <c r="WSN66" s="122"/>
      <c r="WSO66" s="122"/>
      <c r="WSP66" s="122"/>
      <c r="WSQ66" s="122"/>
      <c r="WSR66" s="122"/>
      <c r="WSS66" s="122"/>
      <c r="WST66" s="122"/>
      <c r="WSU66" s="122"/>
      <c r="WSV66" s="122"/>
      <c r="WSW66" s="122"/>
      <c r="WSX66" s="122"/>
      <c r="WSY66" s="122"/>
      <c r="WSZ66" s="122"/>
      <c r="WTA66" s="122"/>
      <c r="WTB66" s="122"/>
      <c r="WTC66" s="122"/>
      <c r="WTD66" s="122"/>
      <c r="WTE66" s="122"/>
      <c r="WTF66" s="122"/>
      <c r="WTG66" s="122"/>
      <c r="WTH66" s="122"/>
      <c r="WTI66" s="122"/>
      <c r="WTJ66" s="122"/>
      <c r="WTK66" s="122"/>
      <c r="WTL66" s="122"/>
      <c r="WTM66" s="122"/>
      <c r="WTN66" s="122"/>
      <c r="WTO66" s="122"/>
      <c r="WTP66" s="122"/>
      <c r="WTQ66" s="122"/>
      <c r="WTR66" s="122"/>
      <c r="WTS66" s="122"/>
      <c r="WTT66" s="122"/>
      <c r="WTU66" s="122"/>
      <c r="WTV66" s="122"/>
      <c r="WTW66" s="122"/>
      <c r="WTX66" s="122"/>
      <c r="WTY66" s="122"/>
      <c r="WTZ66" s="122"/>
      <c r="WUA66" s="122"/>
      <c r="WUB66" s="122"/>
      <c r="WUC66" s="122"/>
      <c r="WUD66" s="122"/>
      <c r="WUE66" s="122"/>
      <c r="WUF66" s="122"/>
      <c r="WUG66" s="122"/>
      <c r="WUH66" s="122"/>
      <c r="WUI66" s="122"/>
      <c r="WUJ66" s="122"/>
      <c r="WUK66" s="122"/>
      <c r="WUL66" s="122"/>
      <c r="WUM66" s="122"/>
      <c r="WUN66" s="122"/>
      <c r="WUO66" s="122"/>
      <c r="WUP66" s="122"/>
      <c r="WUQ66" s="122"/>
      <c r="WUR66" s="122"/>
      <c r="WUS66" s="122"/>
      <c r="WUT66" s="122"/>
      <c r="WUU66" s="122"/>
      <c r="WUV66" s="122"/>
      <c r="WUW66" s="122"/>
      <c r="WUX66" s="122"/>
      <c r="WUY66" s="122"/>
      <c r="WUZ66" s="122"/>
      <c r="WVA66" s="122"/>
      <c r="WVB66" s="122"/>
      <c r="WVC66" s="122"/>
      <c r="WVD66" s="122"/>
      <c r="WVE66" s="122"/>
      <c r="WVF66" s="122"/>
      <c r="WVG66" s="122"/>
      <c r="WVH66" s="122"/>
      <c r="WVI66" s="122"/>
      <c r="WVJ66" s="122"/>
      <c r="WVK66" s="122"/>
      <c r="WVL66" s="122"/>
      <c r="WVM66" s="122"/>
      <c r="WVN66" s="122"/>
      <c r="WVO66" s="122"/>
      <c r="WVP66" s="122"/>
      <c r="WVQ66" s="122"/>
      <c r="WVR66" s="122"/>
      <c r="WVS66" s="122"/>
      <c r="WVT66" s="122"/>
      <c r="WVU66" s="122"/>
      <c r="WVV66" s="122"/>
      <c r="WVW66" s="122"/>
      <c r="WVX66" s="122"/>
      <c r="WVY66" s="122"/>
      <c r="WVZ66" s="122"/>
      <c r="WWA66" s="122"/>
      <c r="WWB66" s="122"/>
      <c r="WWC66" s="122"/>
      <c r="WWD66" s="122"/>
      <c r="WWE66" s="122"/>
      <c r="WWF66" s="122"/>
      <c r="WWG66" s="122"/>
      <c r="WWH66" s="122"/>
      <c r="WWI66" s="122"/>
      <c r="WWJ66" s="122"/>
      <c r="WWK66" s="122"/>
      <c r="WWL66" s="122"/>
      <c r="WWM66" s="122"/>
      <c r="WWN66" s="122"/>
      <c r="WWO66" s="122"/>
      <c r="WWP66" s="122"/>
      <c r="WWQ66" s="122"/>
      <c r="WWR66" s="122"/>
      <c r="WWS66" s="122"/>
      <c r="WWT66" s="122"/>
      <c r="WWU66" s="122"/>
      <c r="WWV66" s="122"/>
      <c r="WWW66" s="122"/>
      <c r="WWX66" s="122"/>
      <c r="WWY66" s="122"/>
      <c r="WWZ66" s="122"/>
      <c r="WXA66" s="122"/>
      <c r="WXB66" s="122"/>
      <c r="WXC66" s="122"/>
      <c r="WXD66" s="122"/>
      <c r="WXE66" s="122"/>
      <c r="WXF66" s="122"/>
      <c r="WXG66" s="122"/>
      <c r="WXH66" s="122"/>
      <c r="WXI66" s="122"/>
      <c r="WXJ66" s="122"/>
      <c r="WXK66" s="122"/>
      <c r="WXL66" s="122"/>
      <c r="WXM66" s="122"/>
      <c r="WXN66" s="122"/>
      <c r="WXO66" s="122"/>
      <c r="WXP66" s="122"/>
      <c r="WXQ66" s="122"/>
      <c r="WXR66" s="122"/>
      <c r="WXS66" s="122"/>
      <c r="WXT66" s="122"/>
      <c r="WXU66" s="122"/>
      <c r="WXV66" s="122"/>
      <c r="WXW66" s="122"/>
      <c r="WXX66" s="122"/>
      <c r="WXY66" s="122"/>
      <c r="WXZ66" s="122"/>
      <c r="WYA66" s="122"/>
      <c r="WYB66" s="122"/>
      <c r="WYC66" s="122"/>
      <c r="WYD66" s="122"/>
      <c r="WYE66" s="122"/>
      <c r="WYF66" s="122"/>
      <c r="WYG66" s="122"/>
      <c r="WYH66" s="122"/>
      <c r="WYI66" s="122"/>
      <c r="WYJ66" s="122"/>
      <c r="WYK66" s="122"/>
      <c r="WYL66" s="122"/>
      <c r="WYM66" s="122"/>
      <c r="WYN66" s="122"/>
      <c r="WYO66" s="122"/>
      <c r="WYP66" s="122"/>
      <c r="WYQ66" s="122"/>
      <c r="WYR66" s="122"/>
      <c r="WYS66" s="122"/>
      <c r="WYT66" s="122"/>
      <c r="WYU66" s="122"/>
      <c r="WYV66" s="122"/>
      <c r="WYW66" s="122"/>
      <c r="WYX66" s="122"/>
      <c r="WYY66" s="122"/>
      <c r="WYZ66" s="122"/>
      <c r="WZA66" s="122"/>
      <c r="WZB66" s="122"/>
      <c r="WZC66" s="122"/>
      <c r="WZD66" s="122"/>
      <c r="WZE66" s="122"/>
      <c r="WZF66" s="122"/>
      <c r="WZG66" s="122"/>
      <c r="WZH66" s="122"/>
      <c r="WZI66" s="122"/>
      <c r="WZJ66" s="122"/>
      <c r="WZK66" s="122"/>
      <c r="WZL66" s="122"/>
      <c r="WZM66" s="122"/>
      <c r="WZN66" s="122"/>
      <c r="WZO66" s="122"/>
      <c r="WZP66" s="122"/>
      <c r="WZQ66" s="122"/>
      <c r="WZR66" s="122"/>
      <c r="WZS66" s="122"/>
      <c r="WZT66" s="122"/>
      <c r="WZU66" s="122"/>
      <c r="WZV66" s="122"/>
      <c r="WZW66" s="122"/>
      <c r="WZX66" s="122"/>
      <c r="WZY66" s="122"/>
      <c r="WZZ66" s="122"/>
      <c r="XAA66" s="122"/>
      <c r="XAB66" s="122"/>
      <c r="XAC66" s="122"/>
      <c r="XAD66" s="122"/>
      <c r="XAE66" s="122"/>
      <c r="XAF66" s="122"/>
      <c r="XAG66" s="122"/>
      <c r="XAH66" s="122"/>
      <c r="XAI66" s="122"/>
      <c r="XAJ66" s="122"/>
      <c r="XAK66" s="122"/>
      <c r="XAL66" s="122"/>
      <c r="XAM66" s="122"/>
      <c r="XAN66" s="122"/>
      <c r="XAO66" s="122"/>
      <c r="XAP66" s="122"/>
      <c r="XAQ66" s="122"/>
      <c r="XAR66" s="122"/>
      <c r="XAS66" s="122"/>
      <c r="XAT66" s="122"/>
      <c r="XAU66" s="122"/>
      <c r="XAV66" s="122"/>
      <c r="XAW66" s="122"/>
      <c r="XAX66" s="122"/>
      <c r="XAY66" s="122"/>
      <c r="XAZ66" s="122"/>
      <c r="XBA66" s="122"/>
      <c r="XBB66" s="122"/>
      <c r="XBC66" s="122"/>
      <c r="XBD66" s="122"/>
      <c r="XBE66" s="122"/>
      <c r="XBF66" s="122"/>
      <c r="XBG66" s="122"/>
      <c r="XBH66" s="122"/>
      <c r="XBI66" s="122"/>
      <c r="XBJ66" s="122"/>
      <c r="XBK66" s="122"/>
      <c r="XBL66" s="122"/>
      <c r="XBM66" s="122"/>
      <c r="XBN66" s="122"/>
      <c r="XBO66" s="122"/>
      <c r="XBP66" s="122"/>
      <c r="XBQ66" s="122"/>
      <c r="XBR66" s="122"/>
      <c r="XBS66" s="122"/>
      <c r="XBT66" s="122"/>
      <c r="XBU66" s="122"/>
      <c r="XBV66" s="122"/>
      <c r="XBW66" s="122"/>
      <c r="XBX66" s="122"/>
      <c r="XBY66" s="122"/>
      <c r="XBZ66" s="122"/>
      <c r="XCA66" s="122"/>
      <c r="XCB66" s="122"/>
      <c r="XCC66" s="122"/>
      <c r="XCD66" s="122"/>
      <c r="XCE66" s="122"/>
      <c r="XCF66" s="122"/>
      <c r="XCG66" s="122"/>
      <c r="XCH66" s="122"/>
      <c r="XCI66" s="122"/>
      <c r="XCJ66" s="122"/>
      <c r="XCK66" s="122"/>
      <c r="XCL66" s="122"/>
      <c r="XCM66" s="122"/>
      <c r="XCN66" s="122"/>
      <c r="XCO66" s="122"/>
      <c r="XCP66" s="122"/>
      <c r="XCQ66" s="122"/>
      <c r="XCR66" s="122"/>
      <c r="XCS66" s="122"/>
      <c r="XCT66" s="122"/>
      <c r="XCU66" s="122"/>
      <c r="XCV66" s="122"/>
      <c r="XCW66" s="122"/>
      <c r="XCX66" s="122"/>
      <c r="XCY66" s="122"/>
      <c r="XCZ66" s="122"/>
      <c r="XDA66" s="122"/>
      <c r="XDB66" s="122"/>
      <c r="XDC66" s="122"/>
      <c r="XDD66" s="122"/>
      <c r="XDE66" s="122"/>
      <c r="XDF66" s="122"/>
      <c r="XDG66" s="122"/>
      <c r="XDH66" s="122"/>
      <c r="XDI66" s="122"/>
      <c r="XDJ66" s="122"/>
      <c r="XDK66" s="122"/>
      <c r="XDL66" s="122"/>
      <c r="XDM66" s="122"/>
      <c r="XDN66" s="122"/>
      <c r="XDO66" s="122"/>
      <c r="XDP66" s="122"/>
      <c r="XDQ66" s="122"/>
      <c r="XDR66" s="122"/>
      <c r="XDS66" s="122"/>
      <c r="XDT66" s="122"/>
      <c r="XDU66" s="122"/>
      <c r="XDV66" s="122"/>
      <c r="XDW66" s="122"/>
      <c r="XDX66" s="122"/>
      <c r="XDY66" s="122"/>
      <c r="XDZ66" s="122"/>
      <c r="XEA66" s="122"/>
      <c r="XEB66" s="122"/>
      <c r="XEC66" s="122"/>
      <c r="XED66" s="122"/>
      <c r="XEE66" s="122"/>
      <c r="XEF66" s="122"/>
      <c r="XEG66" s="122"/>
      <c r="XEH66" s="122"/>
      <c r="XEI66" s="122"/>
      <c r="XEJ66" s="122"/>
      <c r="XEK66" s="122"/>
      <c r="XEL66" s="122"/>
      <c r="XEM66" s="122"/>
      <c r="XEN66" s="122"/>
      <c r="XEO66" s="122"/>
      <c r="XEP66" s="122"/>
      <c r="XEQ66" s="122"/>
      <c r="XER66" s="122"/>
      <c r="XES66" s="122"/>
      <c r="XET66" s="122"/>
      <c r="XEU66" s="122"/>
      <c r="XEV66" s="122"/>
      <c r="XEW66" s="122"/>
      <c r="XEX66" s="122"/>
      <c r="XEY66" s="122"/>
      <c r="XEZ66" s="122"/>
      <c r="XFA66" s="122"/>
      <c r="XFB66" s="122"/>
      <c r="XFC66" s="122"/>
      <c r="XFD66" s="122"/>
    </row>
    <row r="67" spans="2:16384" s="210" customFormat="1">
      <c r="B67" s="122"/>
      <c r="C67" s="122"/>
      <c r="D67" s="122"/>
      <c r="E67" s="122"/>
      <c r="F67" s="122"/>
      <c r="G67" s="122"/>
      <c r="H67" s="273"/>
      <c r="I67" s="273"/>
      <c r="J67" s="273"/>
      <c r="K67" s="273"/>
      <c r="L67" s="273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/>
      <c r="CZ67" s="122"/>
      <c r="DA67" s="122"/>
      <c r="DB67" s="122"/>
      <c r="DC67" s="122"/>
      <c r="DD67" s="122"/>
      <c r="DE67" s="122"/>
      <c r="DF67" s="122"/>
      <c r="DG67" s="122"/>
      <c r="DH67" s="122"/>
      <c r="DI67" s="122"/>
      <c r="DJ67" s="122"/>
      <c r="DK67" s="122"/>
      <c r="DL67" s="122"/>
      <c r="DM67" s="122"/>
      <c r="DN67" s="122"/>
      <c r="DO67" s="122"/>
      <c r="DP67" s="122"/>
      <c r="DQ67" s="122"/>
      <c r="DR67" s="122"/>
      <c r="DS67" s="122"/>
      <c r="DT67" s="122"/>
      <c r="DU67" s="122"/>
      <c r="DV67" s="122"/>
      <c r="DW67" s="122"/>
      <c r="DX67" s="122"/>
      <c r="DY67" s="122"/>
      <c r="DZ67" s="122"/>
      <c r="EA67" s="122"/>
      <c r="EB67" s="122"/>
      <c r="EC67" s="122"/>
      <c r="ED67" s="122"/>
      <c r="EE67" s="122"/>
      <c r="EF67" s="122"/>
      <c r="EG67" s="122"/>
      <c r="EH67" s="122"/>
      <c r="EI67" s="122"/>
      <c r="EJ67" s="122"/>
      <c r="EK67" s="122"/>
      <c r="EL67" s="122"/>
      <c r="EM67" s="122"/>
      <c r="EN67" s="122"/>
      <c r="EO67" s="122"/>
      <c r="EP67" s="122"/>
      <c r="EQ67" s="122"/>
      <c r="ER67" s="122"/>
      <c r="ES67" s="122"/>
      <c r="ET67" s="122"/>
      <c r="EU67" s="122"/>
      <c r="EV67" s="122"/>
      <c r="EW67" s="122"/>
      <c r="EX67" s="122"/>
      <c r="EY67" s="122"/>
      <c r="EZ67" s="122"/>
      <c r="FA67" s="122"/>
      <c r="FB67" s="122"/>
      <c r="FC67" s="122"/>
      <c r="FD67" s="122"/>
      <c r="FE67" s="122"/>
      <c r="FF67" s="122"/>
      <c r="FG67" s="122"/>
      <c r="FH67" s="122"/>
      <c r="FI67" s="122"/>
      <c r="FJ67" s="122"/>
      <c r="FK67" s="122"/>
      <c r="FL67" s="122"/>
      <c r="FM67" s="122"/>
      <c r="FN67" s="122"/>
      <c r="FO67" s="122"/>
      <c r="FP67" s="122"/>
      <c r="FQ67" s="122"/>
      <c r="FR67" s="122"/>
      <c r="FS67" s="122"/>
      <c r="FT67" s="122"/>
      <c r="FU67" s="122"/>
      <c r="FV67" s="122"/>
      <c r="FW67" s="122"/>
      <c r="FX67" s="122"/>
      <c r="FY67" s="122"/>
      <c r="FZ67" s="122"/>
      <c r="GA67" s="122"/>
      <c r="GB67" s="122"/>
      <c r="GC67" s="122"/>
      <c r="GD67" s="122"/>
      <c r="GE67" s="122"/>
      <c r="GF67" s="122"/>
      <c r="GG67" s="122"/>
      <c r="GH67" s="122"/>
      <c r="GI67" s="122"/>
      <c r="GJ67" s="122"/>
      <c r="GK67" s="122"/>
      <c r="GL67" s="122"/>
      <c r="GM67" s="122"/>
      <c r="GN67" s="122"/>
      <c r="GO67" s="122"/>
      <c r="GP67" s="122"/>
      <c r="GQ67" s="122"/>
      <c r="GR67" s="122"/>
      <c r="GS67" s="122"/>
      <c r="GT67" s="122"/>
      <c r="GU67" s="122"/>
      <c r="GV67" s="122"/>
      <c r="GW67" s="122"/>
      <c r="GX67" s="122"/>
      <c r="GY67" s="122"/>
      <c r="GZ67" s="122"/>
      <c r="HA67" s="122"/>
      <c r="HB67" s="122"/>
      <c r="HC67" s="122"/>
      <c r="HD67" s="122"/>
      <c r="HE67" s="122"/>
      <c r="HF67" s="122"/>
      <c r="HG67" s="122"/>
      <c r="HH67" s="122"/>
      <c r="HI67" s="122"/>
      <c r="HJ67" s="122"/>
      <c r="HK67" s="122"/>
      <c r="HL67" s="122"/>
      <c r="HM67" s="122"/>
      <c r="HN67" s="122"/>
      <c r="HO67" s="122"/>
      <c r="HP67" s="122"/>
      <c r="HQ67" s="122"/>
      <c r="HR67" s="122"/>
      <c r="HS67" s="122"/>
      <c r="HT67" s="122"/>
      <c r="HU67" s="122"/>
      <c r="HV67" s="122"/>
      <c r="HW67" s="122"/>
      <c r="HX67" s="122"/>
      <c r="HY67" s="122"/>
      <c r="HZ67" s="122"/>
      <c r="IA67" s="122"/>
      <c r="IB67" s="122"/>
      <c r="IC67" s="122"/>
      <c r="ID67" s="122"/>
      <c r="IE67" s="122"/>
      <c r="IF67" s="122"/>
      <c r="IG67" s="122"/>
      <c r="IH67" s="122"/>
      <c r="II67" s="122"/>
      <c r="IJ67" s="122"/>
      <c r="IK67" s="122"/>
      <c r="IL67" s="122"/>
      <c r="IM67" s="122"/>
      <c r="IN67" s="122"/>
      <c r="IO67" s="122"/>
      <c r="IP67" s="122"/>
      <c r="IQ67" s="122"/>
      <c r="IR67" s="122"/>
      <c r="IS67" s="122"/>
      <c r="IT67" s="122"/>
      <c r="IU67" s="122"/>
      <c r="IV67" s="122"/>
      <c r="IW67" s="122"/>
      <c r="IX67" s="122"/>
      <c r="IY67" s="122"/>
      <c r="IZ67" s="122"/>
      <c r="JA67" s="122"/>
      <c r="JB67" s="122"/>
      <c r="JC67" s="122"/>
      <c r="JD67" s="122"/>
      <c r="JE67" s="122"/>
      <c r="JF67" s="122"/>
      <c r="JG67" s="122"/>
      <c r="JH67" s="122"/>
      <c r="JI67" s="122"/>
      <c r="JJ67" s="122"/>
      <c r="JK67" s="122"/>
      <c r="JL67" s="122"/>
      <c r="JM67" s="122"/>
      <c r="JN67" s="122"/>
      <c r="JO67" s="122"/>
      <c r="JP67" s="122"/>
      <c r="JQ67" s="122"/>
      <c r="JR67" s="122"/>
      <c r="JS67" s="122"/>
      <c r="JT67" s="122"/>
      <c r="JU67" s="122"/>
      <c r="JV67" s="122"/>
      <c r="JW67" s="122"/>
      <c r="JX67" s="122"/>
      <c r="JY67" s="122"/>
      <c r="JZ67" s="122"/>
      <c r="KA67" s="122"/>
      <c r="KB67" s="122"/>
      <c r="KC67" s="122"/>
      <c r="KD67" s="122"/>
      <c r="KE67" s="122"/>
      <c r="KF67" s="122"/>
      <c r="KG67" s="122"/>
      <c r="KH67" s="122"/>
      <c r="KI67" s="122"/>
      <c r="KJ67" s="122"/>
      <c r="KK67" s="122"/>
      <c r="KL67" s="122"/>
      <c r="KM67" s="122"/>
      <c r="KN67" s="122"/>
      <c r="KO67" s="122"/>
      <c r="KP67" s="122"/>
      <c r="KQ67" s="122"/>
      <c r="KR67" s="122"/>
      <c r="KS67" s="122"/>
      <c r="KT67" s="122"/>
      <c r="KU67" s="122"/>
      <c r="KV67" s="122"/>
      <c r="KW67" s="122"/>
      <c r="KX67" s="122"/>
      <c r="KY67" s="122"/>
      <c r="KZ67" s="122"/>
      <c r="LA67" s="122"/>
      <c r="LB67" s="122"/>
      <c r="LC67" s="122"/>
      <c r="LD67" s="122"/>
      <c r="LE67" s="122"/>
      <c r="LF67" s="122"/>
      <c r="LG67" s="122"/>
      <c r="LH67" s="122"/>
      <c r="LI67" s="122"/>
      <c r="LJ67" s="122"/>
      <c r="LK67" s="122"/>
      <c r="LL67" s="122"/>
      <c r="LM67" s="122"/>
      <c r="LN67" s="122"/>
      <c r="LO67" s="122"/>
      <c r="LP67" s="122"/>
      <c r="LQ67" s="122"/>
      <c r="LR67" s="122"/>
      <c r="LS67" s="122"/>
      <c r="LT67" s="122"/>
      <c r="LU67" s="122"/>
      <c r="LV67" s="122"/>
      <c r="LW67" s="122"/>
      <c r="LX67" s="122"/>
      <c r="LY67" s="122"/>
      <c r="LZ67" s="122"/>
      <c r="MA67" s="122"/>
      <c r="MB67" s="122"/>
      <c r="MC67" s="122"/>
      <c r="MD67" s="122"/>
      <c r="ME67" s="122"/>
      <c r="MF67" s="122"/>
      <c r="MG67" s="122"/>
      <c r="MH67" s="122"/>
      <c r="MI67" s="122"/>
      <c r="MJ67" s="122"/>
      <c r="MK67" s="122"/>
      <c r="ML67" s="122"/>
      <c r="MM67" s="122"/>
      <c r="MN67" s="122"/>
      <c r="MO67" s="122"/>
      <c r="MP67" s="122"/>
      <c r="MQ67" s="122"/>
      <c r="MR67" s="122"/>
      <c r="MS67" s="122"/>
      <c r="MT67" s="122"/>
      <c r="MU67" s="122"/>
      <c r="MV67" s="122"/>
      <c r="MW67" s="122"/>
      <c r="MX67" s="122"/>
      <c r="MY67" s="122"/>
      <c r="MZ67" s="122"/>
      <c r="NA67" s="122"/>
      <c r="NB67" s="122"/>
      <c r="NC67" s="122"/>
      <c r="ND67" s="122"/>
      <c r="NE67" s="122"/>
      <c r="NF67" s="122"/>
      <c r="NG67" s="122"/>
      <c r="NH67" s="122"/>
      <c r="NI67" s="122"/>
      <c r="NJ67" s="122"/>
      <c r="NK67" s="122"/>
      <c r="NL67" s="122"/>
      <c r="NM67" s="122"/>
      <c r="NN67" s="122"/>
      <c r="NO67" s="122"/>
      <c r="NP67" s="122"/>
      <c r="NQ67" s="122"/>
      <c r="NR67" s="122"/>
      <c r="NS67" s="122"/>
      <c r="NT67" s="122"/>
      <c r="NU67" s="122"/>
      <c r="NV67" s="122"/>
      <c r="NW67" s="122"/>
      <c r="NX67" s="122"/>
      <c r="NY67" s="122"/>
      <c r="NZ67" s="122"/>
      <c r="OA67" s="122"/>
      <c r="OB67" s="122"/>
      <c r="OC67" s="122"/>
      <c r="OD67" s="122"/>
      <c r="OE67" s="122"/>
      <c r="OF67" s="122"/>
      <c r="OG67" s="122"/>
      <c r="OH67" s="122"/>
      <c r="OI67" s="122"/>
      <c r="OJ67" s="122"/>
      <c r="OK67" s="122"/>
      <c r="OL67" s="122"/>
      <c r="OM67" s="122"/>
      <c r="ON67" s="122"/>
      <c r="OO67" s="122"/>
      <c r="OP67" s="122"/>
      <c r="OQ67" s="122"/>
      <c r="OR67" s="122"/>
      <c r="OS67" s="122"/>
      <c r="OT67" s="122"/>
      <c r="OU67" s="122"/>
      <c r="OV67" s="122"/>
      <c r="OW67" s="122"/>
      <c r="OX67" s="122"/>
      <c r="OY67" s="122"/>
      <c r="OZ67" s="122"/>
      <c r="PA67" s="122"/>
      <c r="PB67" s="122"/>
      <c r="PC67" s="122"/>
      <c r="PD67" s="122"/>
      <c r="PE67" s="122"/>
      <c r="PF67" s="122"/>
      <c r="PG67" s="122"/>
      <c r="PH67" s="122"/>
      <c r="PI67" s="122"/>
      <c r="PJ67" s="122"/>
      <c r="PK67" s="122"/>
      <c r="PL67" s="122"/>
      <c r="PM67" s="122"/>
      <c r="PN67" s="122"/>
      <c r="PO67" s="122"/>
      <c r="PP67" s="122"/>
      <c r="PQ67" s="122"/>
      <c r="PR67" s="122"/>
      <c r="PS67" s="122"/>
      <c r="PT67" s="122"/>
      <c r="PU67" s="122"/>
      <c r="PV67" s="122"/>
      <c r="PW67" s="122"/>
      <c r="PX67" s="122"/>
      <c r="PY67" s="122"/>
      <c r="PZ67" s="122"/>
      <c r="QA67" s="122"/>
      <c r="QB67" s="122"/>
      <c r="QC67" s="122"/>
      <c r="QD67" s="122"/>
      <c r="QE67" s="122"/>
      <c r="QF67" s="122"/>
      <c r="QG67" s="122"/>
      <c r="QH67" s="122"/>
      <c r="QI67" s="122"/>
      <c r="QJ67" s="122"/>
      <c r="QK67" s="122"/>
      <c r="QL67" s="122"/>
      <c r="QM67" s="122"/>
      <c r="QN67" s="122"/>
      <c r="QO67" s="122"/>
      <c r="QP67" s="122"/>
      <c r="QQ67" s="122"/>
      <c r="QR67" s="122"/>
      <c r="QS67" s="122"/>
      <c r="QT67" s="122"/>
      <c r="QU67" s="122"/>
      <c r="QV67" s="122"/>
      <c r="QW67" s="122"/>
      <c r="QX67" s="122"/>
      <c r="QY67" s="122"/>
      <c r="QZ67" s="122"/>
      <c r="RA67" s="122"/>
      <c r="RB67" s="122"/>
      <c r="RC67" s="122"/>
      <c r="RD67" s="122"/>
      <c r="RE67" s="122"/>
      <c r="RF67" s="122"/>
      <c r="RG67" s="122"/>
      <c r="RH67" s="122"/>
      <c r="RI67" s="122"/>
      <c r="RJ67" s="122"/>
      <c r="RK67" s="122"/>
      <c r="RL67" s="122"/>
      <c r="RM67" s="122"/>
      <c r="RN67" s="122"/>
      <c r="RO67" s="122"/>
      <c r="RP67" s="122"/>
      <c r="RQ67" s="122"/>
      <c r="RR67" s="122"/>
      <c r="RS67" s="122"/>
      <c r="RT67" s="122"/>
      <c r="RU67" s="122"/>
      <c r="RV67" s="122"/>
      <c r="RW67" s="122"/>
      <c r="RX67" s="122"/>
      <c r="RY67" s="122"/>
      <c r="RZ67" s="122"/>
      <c r="SA67" s="122"/>
      <c r="SB67" s="122"/>
      <c r="SC67" s="122"/>
      <c r="SD67" s="122"/>
      <c r="SE67" s="122"/>
      <c r="SF67" s="122"/>
      <c r="SG67" s="122"/>
      <c r="SH67" s="122"/>
      <c r="SI67" s="122"/>
      <c r="SJ67" s="122"/>
      <c r="SK67" s="122"/>
      <c r="SL67" s="122"/>
      <c r="SM67" s="122"/>
      <c r="SN67" s="122"/>
      <c r="SO67" s="122"/>
      <c r="SP67" s="122"/>
      <c r="SQ67" s="122"/>
      <c r="SR67" s="122"/>
      <c r="SS67" s="122"/>
      <c r="ST67" s="122"/>
      <c r="SU67" s="122"/>
      <c r="SV67" s="122"/>
      <c r="SW67" s="122"/>
      <c r="SX67" s="122"/>
      <c r="SY67" s="122"/>
      <c r="SZ67" s="122"/>
      <c r="TA67" s="122"/>
      <c r="TB67" s="122"/>
      <c r="TC67" s="122"/>
      <c r="TD67" s="122"/>
      <c r="TE67" s="122"/>
      <c r="TF67" s="122"/>
      <c r="TG67" s="122"/>
      <c r="TH67" s="122"/>
      <c r="TI67" s="122"/>
      <c r="TJ67" s="122"/>
      <c r="TK67" s="122"/>
      <c r="TL67" s="122"/>
      <c r="TM67" s="122"/>
      <c r="TN67" s="122"/>
      <c r="TO67" s="122"/>
      <c r="TP67" s="122"/>
      <c r="TQ67" s="122"/>
      <c r="TR67" s="122"/>
      <c r="TS67" s="122"/>
      <c r="TT67" s="122"/>
      <c r="TU67" s="122"/>
      <c r="TV67" s="122"/>
      <c r="TW67" s="122"/>
      <c r="TX67" s="122"/>
      <c r="TY67" s="122"/>
      <c r="TZ67" s="122"/>
      <c r="UA67" s="122"/>
      <c r="UB67" s="122"/>
      <c r="UC67" s="122"/>
      <c r="UD67" s="122"/>
      <c r="UE67" s="122"/>
      <c r="UF67" s="122"/>
      <c r="UG67" s="122"/>
      <c r="UH67" s="122"/>
      <c r="UI67" s="122"/>
      <c r="UJ67" s="122"/>
      <c r="UK67" s="122"/>
      <c r="UL67" s="122"/>
      <c r="UM67" s="122"/>
      <c r="UN67" s="122"/>
      <c r="UO67" s="122"/>
      <c r="UP67" s="122"/>
      <c r="UQ67" s="122"/>
      <c r="UR67" s="122"/>
      <c r="US67" s="122"/>
      <c r="UT67" s="122"/>
      <c r="UU67" s="122"/>
      <c r="UV67" s="122"/>
      <c r="UW67" s="122"/>
      <c r="UX67" s="122"/>
      <c r="UY67" s="122"/>
      <c r="UZ67" s="122"/>
      <c r="VA67" s="122"/>
      <c r="VB67" s="122"/>
      <c r="VC67" s="122"/>
      <c r="VD67" s="122"/>
      <c r="VE67" s="122"/>
      <c r="VF67" s="122"/>
      <c r="VG67" s="122"/>
      <c r="VH67" s="122"/>
      <c r="VI67" s="122"/>
      <c r="VJ67" s="122"/>
      <c r="VK67" s="122"/>
      <c r="VL67" s="122"/>
      <c r="VM67" s="122"/>
      <c r="VN67" s="122"/>
      <c r="VO67" s="122"/>
      <c r="VP67" s="122"/>
      <c r="VQ67" s="122"/>
      <c r="VR67" s="122"/>
      <c r="VS67" s="122"/>
      <c r="VT67" s="122"/>
      <c r="VU67" s="122"/>
      <c r="VV67" s="122"/>
      <c r="VW67" s="122"/>
      <c r="VX67" s="122"/>
      <c r="VY67" s="122"/>
      <c r="VZ67" s="122"/>
      <c r="WA67" s="122"/>
      <c r="WB67" s="122"/>
      <c r="WC67" s="122"/>
      <c r="WD67" s="122"/>
      <c r="WE67" s="122"/>
      <c r="WF67" s="122"/>
      <c r="WG67" s="122"/>
      <c r="WH67" s="122"/>
      <c r="WI67" s="122"/>
      <c r="WJ67" s="122"/>
      <c r="WK67" s="122"/>
      <c r="WL67" s="122"/>
      <c r="WM67" s="122"/>
      <c r="WN67" s="122"/>
      <c r="WO67" s="122"/>
      <c r="WP67" s="122"/>
      <c r="WQ67" s="122"/>
      <c r="WR67" s="122"/>
      <c r="WS67" s="122"/>
      <c r="WT67" s="122"/>
      <c r="WU67" s="122"/>
      <c r="WV67" s="122"/>
      <c r="WW67" s="122"/>
      <c r="WX67" s="122"/>
      <c r="WY67" s="122"/>
      <c r="WZ67" s="122"/>
      <c r="XA67" s="122"/>
      <c r="XB67" s="122"/>
      <c r="XC67" s="122"/>
      <c r="XD67" s="122"/>
      <c r="XE67" s="122"/>
      <c r="XF67" s="122"/>
      <c r="XG67" s="122"/>
      <c r="XH67" s="122"/>
      <c r="XI67" s="122"/>
      <c r="XJ67" s="122"/>
      <c r="XK67" s="122"/>
      <c r="XL67" s="122"/>
      <c r="XM67" s="122"/>
      <c r="XN67" s="122"/>
      <c r="XO67" s="122"/>
      <c r="XP67" s="122"/>
      <c r="XQ67" s="122"/>
      <c r="XR67" s="122"/>
      <c r="XS67" s="122"/>
      <c r="XT67" s="122"/>
      <c r="XU67" s="122"/>
      <c r="XV67" s="122"/>
      <c r="XW67" s="122"/>
      <c r="XX67" s="122"/>
      <c r="XY67" s="122"/>
      <c r="XZ67" s="122"/>
      <c r="YA67" s="122"/>
      <c r="YB67" s="122"/>
      <c r="YC67" s="122"/>
      <c r="YD67" s="122"/>
      <c r="YE67" s="122"/>
      <c r="YF67" s="122"/>
      <c r="YG67" s="122"/>
      <c r="YH67" s="122"/>
      <c r="YI67" s="122"/>
      <c r="YJ67" s="122"/>
      <c r="YK67" s="122"/>
      <c r="YL67" s="122"/>
      <c r="YM67" s="122"/>
      <c r="YN67" s="122"/>
      <c r="YO67" s="122"/>
      <c r="YP67" s="122"/>
      <c r="YQ67" s="122"/>
      <c r="YR67" s="122"/>
      <c r="YS67" s="122"/>
      <c r="YT67" s="122"/>
      <c r="YU67" s="122"/>
      <c r="YV67" s="122"/>
      <c r="YW67" s="122"/>
      <c r="YX67" s="122"/>
      <c r="YY67" s="122"/>
      <c r="YZ67" s="122"/>
      <c r="ZA67" s="122"/>
      <c r="ZB67" s="122"/>
      <c r="ZC67" s="122"/>
      <c r="ZD67" s="122"/>
      <c r="ZE67" s="122"/>
      <c r="ZF67" s="122"/>
      <c r="ZG67" s="122"/>
      <c r="ZH67" s="122"/>
      <c r="ZI67" s="122"/>
      <c r="ZJ67" s="122"/>
      <c r="ZK67" s="122"/>
      <c r="ZL67" s="122"/>
      <c r="ZM67" s="122"/>
      <c r="ZN67" s="122"/>
      <c r="ZO67" s="122"/>
      <c r="ZP67" s="122"/>
      <c r="ZQ67" s="122"/>
      <c r="ZR67" s="122"/>
      <c r="ZS67" s="122"/>
      <c r="ZT67" s="122"/>
      <c r="ZU67" s="122"/>
      <c r="ZV67" s="122"/>
      <c r="ZW67" s="122"/>
      <c r="ZX67" s="122"/>
      <c r="ZY67" s="122"/>
      <c r="ZZ67" s="122"/>
      <c r="AAA67" s="122"/>
      <c r="AAB67" s="122"/>
      <c r="AAC67" s="122"/>
      <c r="AAD67" s="122"/>
      <c r="AAE67" s="122"/>
      <c r="AAF67" s="122"/>
      <c r="AAG67" s="122"/>
      <c r="AAH67" s="122"/>
      <c r="AAI67" s="122"/>
      <c r="AAJ67" s="122"/>
      <c r="AAK67" s="122"/>
      <c r="AAL67" s="122"/>
      <c r="AAM67" s="122"/>
      <c r="AAN67" s="122"/>
      <c r="AAO67" s="122"/>
      <c r="AAP67" s="122"/>
      <c r="AAQ67" s="122"/>
      <c r="AAR67" s="122"/>
      <c r="AAS67" s="122"/>
      <c r="AAT67" s="122"/>
      <c r="AAU67" s="122"/>
      <c r="AAV67" s="122"/>
      <c r="AAW67" s="122"/>
      <c r="AAX67" s="122"/>
      <c r="AAY67" s="122"/>
      <c r="AAZ67" s="122"/>
      <c r="ABA67" s="122"/>
      <c r="ABB67" s="122"/>
      <c r="ABC67" s="122"/>
      <c r="ABD67" s="122"/>
      <c r="ABE67" s="122"/>
      <c r="ABF67" s="122"/>
      <c r="ABG67" s="122"/>
      <c r="ABH67" s="122"/>
      <c r="ABI67" s="122"/>
      <c r="ABJ67" s="122"/>
      <c r="ABK67" s="122"/>
      <c r="ABL67" s="122"/>
      <c r="ABM67" s="122"/>
      <c r="ABN67" s="122"/>
      <c r="ABO67" s="122"/>
      <c r="ABP67" s="122"/>
      <c r="ABQ67" s="122"/>
      <c r="ABR67" s="122"/>
      <c r="ABS67" s="122"/>
      <c r="ABT67" s="122"/>
      <c r="ABU67" s="122"/>
      <c r="ABV67" s="122"/>
      <c r="ABW67" s="122"/>
      <c r="ABX67" s="122"/>
      <c r="ABY67" s="122"/>
      <c r="ABZ67" s="122"/>
      <c r="ACA67" s="122"/>
      <c r="ACB67" s="122"/>
      <c r="ACC67" s="122"/>
      <c r="ACD67" s="122"/>
      <c r="ACE67" s="122"/>
      <c r="ACF67" s="122"/>
      <c r="ACG67" s="122"/>
      <c r="ACH67" s="122"/>
      <c r="ACI67" s="122"/>
      <c r="ACJ67" s="122"/>
      <c r="ACK67" s="122"/>
      <c r="ACL67" s="122"/>
      <c r="ACM67" s="122"/>
      <c r="ACN67" s="122"/>
      <c r="ACO67" s="122"/>
      <c r="ACP67" s="122"/>
      <c r="ACQ67" s="122"/>
      <c r="ACR67" s="122"/>
      <c r="ACS67" s="122"/>
      <c r="ACT67" s="122"/>
      <c r="ACU67" s="122"/>
      <c r="ACV67" s="122"/>
      <c r="ACW67" s="122"/>
      <c r="ACX67" s="122"/>
      <c r="ACY67" s="122"/>
      <c r="ACZ67" s="122"/>
      <c r="ADA67" s="122"/>
      <c r="ADB67" s="122"/>
      <c r="ADC67" s="122"/>
      <c r="ADD67" s="122"/>
      <c r="ADE67" s="122"/>
      <c r="ADF67" s="122"/>
      <c r="ADG67" s="122"/>
      <c r="ADH67" s="122"/>
      <c r="ADI67" s="122"/>
      <c r="ADJ67" s="122"/>
      <c r="ADK67" s="122"/>
      <c r="ADL67" s="122"/>
      <c r="ADM67" s="122"/>
      <c r="ADN67" s="122"/>
      <c r="ADO67" s="122"/>
      <c r="ADP67" s="122"/>
      <c r="ADQ67" s="122"/>
      <c r="ADR67" s="122"/>
      <c r="ADS67" s="122"/>
      <c r="ADT67" s="122"/>
      <c r="ADU67" s="122"/>
      <c r="ADV67" s="122"/>
      <c r="ADW67" s="122"/>
      <c r="ADX67" s="122"/>
      <c r="ADY67" s="122"/>
      <c r="ADZ67" s="122"/>
      <c r="AEA67" s="122"/>
      <c r="AEB67" s="122"/>
      <c r="AEC67" s="122"/>
      <c r="AED67" s="122"/>
      <c r="AEE67" s="122"/>
      <c r="AEF67" s="122"/>
      <c r="AEG67" s="122"/>
      <c r="AEH67" s="122"/>
      <c r="AEI67" s="122"/>
      <c r="AEJ67" s="122"/>
      <c r="AEK67" s="122"/>
      <c r="AEL67" s="122"/>
      <c r="AEM67" s="122"/>
      <c r="AEN67" s="122"/>
      <c r="AEO67" s="122"/>
      <c r="AEP67" s="122"/>
      <c r="AEQ67" s="122"/>
      <c r="AER67" s="122"/>
      <c r="AES67" s="122"/>
      <c r="AET67" s="122"/>
      <c r="AEU67" s="122"/>
      <c r="AEV67" s="122"/>
      <c r="AEW67" s="122"/>
      <c r="AEX67" s="122"/>
      <c r="AEY67" s="122"/>
      <c r="AEZ67" s="122"/>
      <c r="AFA67" s="122"/>
      <c r="AFB67" s="122"/>
      <c r="AFC67" s="122"/>
      <c r="AFD67" s="122"/>
      <c r="AFE67" s="122"/>
      <c r="AFF67" s="122"/>
      <c r="AFG67" s="122"/>
      <c r="AFH67" s="122"/>
      <c r="AFI67" s="122"/>
      <c r="AFJ67" s="122"/>
      <c r="AFK67" s="122"/>
      <c r="AFL67" s="122"/>
      <c r="AFM67" s="122"/>
      <c r="AFN67" s="122"/>
      <c r="AFO67" s="122"/>
      <c r="AFP67" s="122"/>
      <c r="AFQ67" s="122"/>
      <c r="AFR67" s="122"/>
      <c r="AFS67" s="122"/>
      <c r="AFT67" s="122"/>
      <c r="AFU67" s="122"/>
      <c r="AFV67" s="122"/>
      <c r="AFW67" s="122"/>
      <c r="AFX67" s="122"/>
      <c r="AFY67" s="122"/>
      <c r="AFZ67" s="122"/>
      <c r="AGA67" s="122"/>
      <c r="AGB67" s="122"/>
      <c r="AGC67" s="122"/>
      <c r="AGD67" s="122"/>
      <c r="AGE67" s="122"/>
      <c r="AGF67" s="122"/>
      <c r="AGG67" s="122"/>
      <c r="AGH67" s="122"/>
      <c r="AGI67" s="122"/>
      <c r="AGJ67" s="122"/>
      <c r="AGK67" s="122"/>
      <c r="AGL67" s="122"/>
      <c r="AGM67" s="122"/>
      <c r="AGN67" s="122"/>
      <c r="AGO67" s="122"/>
      <c r="AGP67" s="122"/>
      <c r="AGQ67" s="122"/>
      <c r="AGR67" s="122"/>
      <c r="AGS67" s="122"/>
      <c r="AGT67" s="122"/>
      <c r="AGU67" s="122"/>
      <c r="AGV67" s="122"/>
      <c r="AGW67" s="122"/>
      <c r="AGX67" s="122"/>
      <c r="AGY67" s="122"/>
      <c r="AGZ67" s="122"/>
      <c r="AHA67" s="122"/>
      <c r="AHB67" s="122"/>
      <c r="AHC67" s="122"/>
      <c r="AHD67" s="122"/>
      <c r="AHE67" s="122"/>
      <c r="AHF67" s="122"/>
      <c r="AHG67" s="122"/>
      <c r="AHH67" s="122"/>
      <c r="AHI67" s="122"/>
      <c r="AHJ67" s="122"/>
      <c r="AHK67" s="122"/>
      <c r="AHL67" s="122"/>
      <c r="AHM67" s="122"/>
      <c r="AHN67" s="122"/>
      <c r="AHO67" s="122"/>
      <c r="AHP67" s="122"/>
      <c r="AHQ67" s="122"/>
      <c r="AHR67" s="122"/>
      <c r="AHS67" s="122"/>
      <c r="AHT67" s="122"/>
      <c r="AHU67" s="122"/>
      <c r="AHV67" s="122"/>
      <c r="AHW67" s="122"/>
      <c r="AHX67" s="122"/>
      <c r="AHY67" s="122"/>
      <c r="AHZ67" s="122"/>
      <c r="AIA67" s="122"/>
      <c r="AIB67" s="122"/>
      <c r="AIC67" s="122"/>
      <c r="AID67" s="122"/>
      <c r="AIE67" s="122"/>
      <c r="AIF67" s="122"/>
      <c r="AIG67" s="122"/>
      <c r="AIH67" s="122"/>
      <c r="AII67" s="122"/>
      <c r="AIJ67" s="122"/>
      <c r="AIK67" s="122"/>
      <c r="AIL67" s="122"/>
      <c r="AIM67" s="122"/>
      <c r="AIN67" s="122"/>
      <c r="AIO67" s="122"/>
      <c r="AIP67" s="122"/>
      <c r="AIQ67" s="122"/>
      <c r="AIR67" s="122"/>
      <c r="AIS67" s="122"/>
      <c r="AIT67" s="122"/>
      <c r="AIU67" s="122"/>
      <c r="AIV67" s="122"/>
      <c r="AIW67" s="122"/>
      <c r="AIX67" s="122"/>
      <c r="AIY67" s="122"/>
      <c r="AIZ67" s="122"/>
      <c r="AJA67" s="122"/>
      <c r="AJB67" s="122"/>
      <c r="AJC67" s="122"/>
      <c r="AJD67" s="122"/>
      <c r="AJE67" s="122"/>
      <c r="AJF67" s="122"/>
      <c r="AJG67" s="122"/>
      <c r="AJH67" s="122"/>
      <c r="AJI67" s="122"/>
      <c r="AJJ67" s="122"/>
      <c r="AJK67" s="122"/>
      <c r="AJL67" s="122"/>
      <c r="AJM67" s="122"/>
      <c r="AJN67" s="122"/>
      <c r="AJO67" s="122"/>
      <c r="AJP67" s="122"/>
      <c r="AJQ67" s="122"/>
      <c r="AJR67" s="122"/>
      <c r="AJS67" s="122"/>
      <c r="AJT67" s="122"/>
      <c r="AJU67" s="122"/>
      <c r="AJV67" s="122"/>
      <c r="AJW67" s="122"/>
      <c r="AJX67" s="122"/>
      <c r="AJY67" s="122"/>
      <c r="AJZ67" s="122"/>
      <c r="AKA67" s="122"/>
      <c r="AKB67" s="122"/>
      <c r="AKC67" s="122"/>
      <c r="AKD67" s="122"/>
      <c r="AKE67" s="122"/>
      <c r="AKF67" s="122"/>
      <c r="AKG67" s="122"/>
      <c r="AKH67" s="122"/>
      <c r="AKI67" s="122"/>
      <c r="AKJ67" s="122"/>
      <c r="AKK67" s="122"/>
      <c r="AKL67" s="122"/>
      <c r="AKM67" s="122"/>
      <c r="AKN67" s="122"/>
      <c r="AKO67" s="122"/>
      <c r="AKP67" s="122"/>
      <c r="AKQ67" s="122"/>
      <c r="AKR67" s="122"/>
      <c r="AKS67" s="122"/>
      <c r="AKT67" s="122"/>
      <c r="AKU67" s="122"/>
      <c r="AKV67" s="122"/>
      <c r="AKW67" s="122"/>
      <c r="AKX67" s="122"/>
      <c r="AKY67" s="122"/>
      <c r="AKZ67" s="122"/>
      <c r="ALA67" s="122"/>
      <c r="ALB67" s="122"/>
      <c r="ALC67" s="122"/>
      <c r="ALD67" s="122"/>
      <c r="ALE67" s="122"/>
      <c r="ALF67" s="122"/>
      <c r="ALG67" s="122"/>
      <c r="ALH67" s="122"/>
      <c r="ALI67" s="122"/>
      <c r="ALJ67" s="122"/>
      <c r="ALK67" s="122"/>
      <c r="ALL67" s="122"/>
      <c r="ALM67" s="122"/>
      <c r="ALN67" s="122"/>
      <c r="ALO67" s="122"/>
      <c r="ALP67" s="122"/>
      <c r="ALQ67" s="122"/>
      <c r="ALR67" s="122"/>
      <c r="ALS67" s="122"/>
      <c r="ALT67" s="122"/>
      <c r="ALU67" s="122"/>
      <c r="ALV67" s="122"/>
      <c r="ALW67" s="122"/>
      <c r="ALX67" s="122"/>
      <c r="ALY67" s="122"/>
      <c r="ALZ67" s="122"/>
      <c r="AMA67" s="122"/>
      <c r="AMB67" s="122"/>
      <c r="AMC67" s="122"/>
      <c r="AMD67" s="122"/>
      <c r="AME67" s="122"/>
      <c r="AMF67" s="122"/>
      <c r="AMG67" s="122"/>
      <c r="AMH67" s="122"/>
      <c r="AMI67" s="122"/>
      <c r="AMJ67" s="122"/>
      <c r="AMK67" s="122"/>
      <c r="AML67" s="122"/>
      <c r="AMM67" s="122"/>
      <c r="AMN67" s="122"/>
      <c r="AMO67" s="122"/>
      <c r="AMP67" s="122"/>
      <c r="AMQ67" s="122"/>
      <c r="AMR67" s="122"/>
      <c r="AMS67" s="122"/>
      <c r="AMT67" s="122"/>
      <c r="AMU67" s="122"/>
      <c r="AMV67" s="122"/>
      <c r="AMW67" s="122"/>
      <c r="AMX67" s="122"/>
      <c r="AMY67" s="122"/>
      <c r="AMZ67" s="122"/>
      <c r="ANA67" s="122"/>
      <c r="ANB67" s="122"/>
      <c r="ANC67" s="122"/>
      <c r="AND67" s="122"/>
      <c r="ANE67" s="122"/>
      <c r="ANF67" s="122"/>
      <c r="ANG67" s="122"/>
      <c r="ANH67" s="122"/>
      <c r="ANI67" s="122"/>
      <c r="ANJ67" s="122"/>
      <c r="ANK67" s="122"/>
      <c r="ANL67" s="122"/>
      <c r="ANM67" s="122"/>
      <c r="ANN67" s="122"/>
      <c r="ANO67" s="122"/>
      <c r="ANP67" s="122"/>
      <c r="ANQ67" s="122"/>
      <c r="ANR67" s="122"/>
      <c r="ANS67" s="122"/>
      <c r="ANT67" s="122"/>
      <c r="ANU67" s="122"/>
      <c r="ANV67" s="122"/>
      <c r="ANW67" s="122"/>
      <c r="ANX67" s="122"/>
      <c r="ANY67" s="122"/>
      <c r="ANZ67" s="122"/>
      <c r="AOA67" s="122"/>
      <c r="AOB67" s="122"/>
      <c r="AOC67" s="122"/>
      <c r="AOD67" s="122"/>
      <c r="AOE67" s="122"/>
      <c r="AOF67" s="122"/>
      <c r="AOG67" s="122"/>
      <c r="AOH67" s="122"/>
      <c r="AOI67" s="122"/>
      <c r="AOJ67" s="122"/>
      <c r="AOK67" s="122"/>
      <c r="AOL67" s="122"/>
      <c r="AOM67" s="122"/>
      <c r="AON67" s="122"/>
      <c r="AOO67" s="122"/>
      <c r="AOP67" s="122"/>
      <c r="AOQ67" s="122"/>
      <c r="AOR67" s="122"/>
      <c r="AOS67" s="122"/>
      <c r="AOT67" s="122"/>
      <c r="AOU67" s="122"/>
      <c r="AOV67" s="122"/>
      <c r="AOW67" s="122"/>
      <c r="AOX67" s="122"/>
      <c r="AOY67" s="122"/>
      <c r="AOZ67" s="122"/>
      <c r="APA67" s="122"/>
      <c r="APB67" s="122"/>
      <c r="APC67" s="122"/>
      <c r="APD67" s="122"/>
      <c r="APE67" s="122"/>
      <c r="APF67" s="122"/>
      <c r="APG67" s="122"/>
      <c r="APH67" s="122"/>
      <c r="API67" s="122"/>
      <c r="APJ67" s="122"/>
      <c r="APK67" s="122"/>
      <c r="APL67" s="122"/>
      <c r="APM67" s="122"/>
      <c r="APN67" s="122"/>
      <c r="APO67" s="122"/>
      <c r="APP67" s="122"/>
      <c r="APQ67" s="122"/>
      <c r="APR67" s="122"/>
      <c r="APS67" s="122"/>
      <c r="APT67" s="122"/>
      <c r="APU67" s="122"/>
      <c r="APV67" s="122"/>
      <c r="APW67" s="122"/>
      <c r="APX67" s="122"/>
      <c r="APY67" s="122"/>
      <c r="APZ67" s="122"/>
      <c r="AQA67" s="122"/>
      <c r="AQB67" s="122"/>
      <c r="AQC67" s="122"/>
      <c r="AQD67" s="122"/>
      <c r="AQE67" s="122"/>
      <c r="AQF67" s="122"/>
      <c r="AQG67" s="122"/>
      <c r="AQH67" s="122"/>
      <c r="AQI67" s="122"/>
      <c r="AQJ67" s="122"/>
      <c r="AQK67" s="122"/>
      <c r="AQL67" s="122"/>
      <c r="AQM67" s="122"/>
      <c r="AQN67" s="122"/>
      <c r="AQO67" s="122"/>
      <c r="AQP67" s="122"/>
      <c r="AQQ67" s="122"/>
      <c r="AQR67" s="122"/>
      <c r="AQS67" s="122"/>
      <c r="AQT67" s="122"/>
      <c r="AQU67" s="122"/>
      <c r="AQV67" s="122"/>
      <c r="AQW67" s="122"/>
      <c r="AQX67" s="122"/>
      <c r="AQY67" s="122"/>
      <c r="AQZ67" s="122"/>
      <c r="ARA67" s="122"/>
      <c r="ARB67" s="122"/>
      <c r="ARC67" s="122"/>
      <c r="ARD67" s="122"/>
      <c r="ARE67" s="122"/>
      <c r="ARF67" s="122"/>
      <c r="ARG67" s="122"/>
      <c r="ARH67" s="122"/>
      <c r="ARI67" s="122"/>
      <c r="ARJ67" s="122"/>
      <c r="ARK67" s="122"/>
      <c r="ARL67" s="122"/>
      <c r="ARM67" s="122"/>
      <c r="ARN67" s="122"/>
      <c r="ARO67" s="122"/>
      <c r="ARP67" s="122"/>
      <c r="ARQ67" s="122"/>
      <c r="ARR67" s="122"/>
      <c r="ARS67" s="122"/>
      <c r="ART67" s="122"/>
      <c r="ARU67" s="122"/>
      <c r="ARV67" s="122"/>
      <c r="ARW67" s="122"/>
      <c r="ARX67" s="122"/>
      <c r="ARY67" s="122"/>
      <c r="ARZ67" s="122"/>
      <c r="ASA67" s="122"/>
      <c r="ASB67" s="122"/>
      <c r="ASC67" s="122"/>
      <c r="ASD67" s="122"/>
      <c r="ASE67" s="122"/>
      <c r="ASF67" s="122"/>
      <c r="ASG67" s="122"/>
      <c r="ASH67" s="122"/>
      <c r="ASI67" s="122"/>
      <c r="ASJ67" s="122"/>
      <c r="ASK67" s="122"/>
      <c r="ASL67" s="122"/>
      <c r="ASM67" s="122"/>
      <c r="ASN67" s="122"/>
      <c r="ASO67" s="122"/>
      <c r="ASP67" s="122"/>
      <c r="ASQ67" s="122"/>
      <c r="ASR67" s="122"/>
      <c r="ASS67" s="122"/>
      <c r="AST67" s="122"/>
      <c r="ASU67" s="122"/>
      <c r="ASV67" s="122"/>
      <c r="ASW67" s="122"/>
      <c r="ASX67" s="122"/>
      <c r="ASY67" s="122"/>
      <c r="ASZ67" s="122"/>
      <c r="ATA67" s="122"/>
      <c r="ATB67" s="122"/>
      <c r="ATC67" s="122"/>
      <c r="ATD67" s="122"/>
      <c r="ATE67" s="122"/>
      <c r="ATF67" s="122"/>
      <c r="ATG67" s="122"/>
      <c r="ATH67" s="122"/>
      <c r="ATI67" s="122"/>
      <c r="ATJ67" s="122"/>
      <c r="ATK67" s="122"/>
      <c r="ATL67" s="122"/>
      <c r="ATM67" s="122"/>
      <c r="ATN67" s="122"/>
      <c r="ATO67" s="122"/>
      <c r="ATP67" s="122"/>
      <c r="ATQ67" s="122"/>
      <c r="ATR67" s="122"/>
      <c r="ATS67" s="122"/>
      <c r="ATT67" s="122"/>
      <c r="ATU67" s="122"/>
      <c r="ATV67" s="122"/>
      <c r="ATW67" s="122"/>
      <c r="ATX67" s="122"/>
      <c r="ATY67" s="122"/>
      <c r="ATZ67" s="122"/>
      <c r="AUA67" s="122"/>
      <c r="AUB67" s="122"/>
      <c r="AUC67" s="122"/>
      <c r="AUD67" s="122"/>
      <c r="AUE67" s="122"/>
      <c r="AUF67" s="122"/>
      <c r="AUG67" s="122"/>
      <c r="AUH67" s="122"/>
      <c r="AUI67" s="122"/>
      <c r="AUJ67" s="122"/>
      <c r="AUK67" s="122"/>
      <c r="AUL67" s="122"/>
      <c r="AUM67" s="122"/>
      <c r="AUN67" s="122"/>
      <c r="AUO67" s="122"/>
      <c r="AUP67" s="122"/>
      <c r="AUQ67" s="122"/>
      <c r="AUR67" s="122"/>
      <c r="AUS67" s="122"/>
      <c r="AUT67" s="122"/>
      <c r="AUU67" s="122"/>
      <c r="AUV67" s="122"/>
      <c r="AUW67" s="122"/>
      <c r="AUX67" s="122"/>
      <c r="AUY67" s="122"/>
      <c r="AUZ67" s="122"/>
      <c r="AVA67" s="122"/>
      <c r="AVB67" s="122"/>
      <c r="AVC67" s="122"/>
      <c r="AVD67" s="122"/>
      <c r="AVE67" s="122"/>
      <c r="AVF67" s="122"/>
      <c r="AVG67" s="122"/>
      <c r="AVH67" s="122"/>
      <c r="AVI67" s="122"/>
      <c r="AVJ67" s="122"/>
      <c r="AVK67" s="122"/>
      <c r="AVL67" s="122"/>
      <c r="AVM67" s="122"/>
      <c r="AVN67" s="122"/>
      <c r="AVO67" s="122"/>
      <c r="AVP67" s="122"/>
      <c r="AVQ67" s="122"/>
      <c r="AVR67" s="122"/>
      <c r="AVS67" s="122"/>
      <c r="AVT67" s="122"/>
      <c r="AVU67" s="122"/>
      <c r="AVV67" s="122"/>
      <c r="AVW67" s="122"/>
      <c r="AVX67" s="122"/>
      <c r="AVY67" s="122"/>
      <c r="AVZ67" s="122"/>
      <c r="AWA67" s="122"/>
      <c r="AWB67" s="122"/>
      <c r="AWC67" s="122"/>
      <c r="AWD67" s="122"/>
      <c r="AWE67" s="122"/>
      <c r="AWF67" s="122"/>
      <c r="AWG67" s="122"/>
      <c r="AWH67" s="122"/>
      <c r="AWI67" s="122"/>
      <c r="AWJ67" s="122"/>
      <c r="AWK67" s="122"/>
      <c r="AWL67" s="122"/>
      <c r="AWM67" s="122"/>
      <c r="AWN67" s="122"/>
      <c r="AWO67" s="122"/>
      <c r="AWP67" s="122"/>
      <c r="AWQ67" s="122"/>
      <c r="AWR67" s="122"/>
      <c r="AWS67" s="122"/>
      <c r="AWT67" s="122"/>
      <c r="AWU67" s="122"/>
      <c r="AWV67" s="122"/>
      <c r="AWW67" s="122"/>
      <c r="AWX67" s="122"/>
      <c r="AWY67" s="122"/>
      <c r="AWZ67" s="122"/>
      <c r="AXA67" s="122"/>
      <c r="AXB67" s="122"/>
      <c r="AXC67" s="122"/>
      <c r="AXD67" s="122"/>
      <c r="AXE67" s="122"/>
      <c r="AXF67" s="122"/>
      <c r="AXG67" s="122"/>
      <c r="AXH67" s="122"/>
      <c r="AXI67" s="122"/>
      <c r="AXJ67" s="122"/>
      <c r="AXK67" s="122"/>
      <c r="AXL67" s="122"/>
      <c r="AXM67" s="122"/>
      <c r="AXN67" s="122"/>
      <c r="AXO67" s="122"/>
      <c r="AXP67" s="122"/>
      <c r="AXQ67" s="122"/>
      <c r="AXR67" s="122"/>
      <c r="AXS67" s="122"/>
      <c r="AXT67" s="122"/>
      <c r="AXU67" s="122"/>
      <c r="AXV67" s="122"/>
      <c r="AXW67" s="122"/>
      <c r="AXX67" s="122"/>
      <c r="AXY67" s="122"/>
      <c r="AXZ67" s="122"/>
      <c r="AYA67" s="122"/>
      <c r="AYB67" s="122"/>
      <c r="AYC67" s="122"/>
      <c r="AYD67" s="122"/>
      <c r="AYE67" s="122"/>
      <c r="AYF67" s="122"/>
      <c r="AYG67" s="122"/>
      <c r="AYH67" s="122"/>
      <c r="AYI67" s="122"/>
      <c r="AYJ67" s="122"/>
      <c r="AYK67" s="122"/>
      <c r="AYL67" s="122"/>
      <c r="AYM67" s="122"/>
      <c r="AYN67" s="122"/>
      <c r="AYO67" s="122"/>
      <c r="AYP67" s="122"/>
      <c r="AYQ67" s="122"/>
      <c r="AYR67" s="122"/>
      <c r="AYS67" s="122"/>
      <c r="AYT67" s="122"/>
      <c r="AYU67" s="122"/>
      <c r="AYV67" s="122"/>
      <c r="AYW67" s="122"/>
      <c r="AYX67" s="122"/>
      <c r="AYY67" s="122"/>
      <c r="AYZ67" s="122"/>
      <c r="AZA67" s="122"/>
      <c r="AZB67" s="122"/>
      <c r="AZC67" s="122"/>
      <c r="AZD67" s="122"/>
      <c r="AZE67" s="122"/>
      <c r="AZF67" s="122"/>
      <c r="AZG67" s="122"/>
      <c r="AZH67" s="122"/>
      <c r="AZI67" s="122"/>
      <c r="AZJ67" s="122"/>
      <c r="AZK67" s="122"/>
      <c r="AZL67" s="122"/>
      <c r="AZM67" s="122"/>
      <c r="AZN67" s="122"/>
      <c r="AZO67" s="122"/>
      <c r="AZP67" s="122"/>
      <c r="AZQ67" s="122"/>
      <c r="AZR67" s="122"/>
      <c r="AZS67" s="122"/>
      <c r="AZT67" s="122"/>
      <c r="AZU67" s="122"/>
      <c r="AZV67" s="122"/>
      <c r="AZW67" s="122"/>
      <c r="AZX67" s="122"/>
      <c r="AZY67" s="122"/>
      <c r="AZZ67" s="122"/>
      <c r="BAA67" s="122"/>
      <c r="BAB67" s="122"/>
      <c r="BAC67" s="122"/>
      <c r="BAD67" s="122"/>
      <c r="BAE67" s="122"/>
      <c r="BAF67" s="122"/>
      <c r="BAG67" s="122"/>
      <c r="BAH67" s="122"/>
      <c r="BAI67" s="122"/>
      <c r="BAJ67" s="122"/>
      <c r="BAK67" s="122"/>
      <c r="BAL67" s="122"/>
      <c r="BAM67" s="122"/>
      <c r="BAN67" s="122"/>
      <c r="BAO67" s="122"/>
      <c r="BAP67" s="122"/>
      <c r="BAQ67" s="122"/>
      <c r="BAR67" s="122"/>
      <c r="BAS67" s="122"/>
      <c r="BAT67" s="122"/>
      <c r="BAU67" s="122"/>
      <c r="BAV67" s="122"/>
      <c r="BAW67" s="122"/>
      <c r="BAX67" s="122"/>
      <c r="BAY67" s="122"/>
      <c r="BAZ67" s="122"/>
      <c r="BBA67" s="122"/>
      <c r="BBB67" s="122"/>
      <c r="BBC67" s="122"/>
      <c r="BBD67" s="122"/>
      <c r="BBE67" s="122"/>
      <c r="BBF67" s="122"/>
      <c r="BBG67" s="122"/>
      <c r="BBH67" s="122"/>
      <c r="BBI67" s="122"/>
      <c r="BBJ67" s="122"/>
      <c r="BBK67" s="122"/>
      <c r="BBL67" s="122"/>
      <c r="BBM67" s="122"/>
      <c r="BBN67" s="122"/>
      <c r="BBO67" s="122"/>
      <c r="BBP67" s="122"/>
      <c r="BBQ67" s="122"/>
      <c r="BBR67" s="122"/>
      <c r="BBS67" s="122"/>
      <c r="BBT67" s="122"/>
      <c r="BBU67" s="122"/>
      <c r="BBV67" s="122"/>
      <c r="BBW67" s="122"/>
      <c r="BBX67" s="122"/>
      <c r="BBY67" s="122"/>
      <c r="BBZ67" s="122"/>
      <c r="BCA67" s="122"/>
      <c r="BCB67" s="122"/>
      <c r="BCC67" s="122"/>
      <c r="BCD67" s="122"/>
      <c r="BCE67" s="122"/>
      <c r="BCF67" s="122"/>
      <c r="BCG67" s="122"/>
      <c r="BCH67" s="122"/>
      <c r="BCI67" s="122"/>
      <c r="BCJ67" s="122"/>
      <c r="BCK67" s="122"/>
      <c r="BCL67" s="122"/>
      <c r="BCM67" s="122"/>
      <c r="BCN67" s="122"/>
      <c r="BCO67" s="122"/>
      <c r="BCP67" s="122"/>
      <c r="BCQ67" s="122"/>
      <c r="BCR67" s="122"/>
      <c r="BCS67" s="122"/>
      <c r="BCT67" s="122"/>
      <c r="BCU67" s="122"/>
      <c r="BCV67" s="122"/>
      <c r="BCW67" s="122"/>
      <c r="BCX67" s="122"/>
      <c r="BCY67" s="122"/>
      <c r="BCZ67" s="122"/>
      <c r="BDA67" s="122"/>
      <c r="BDB67" s="122"/>
      <c r="BDC67" s="122"/>
      <c r="BDD67" s="122"/>
      <c r="BDE67" s="122"/>
      <c r="BDF67" s="122"/>
      <c r="BDG67" s="122"/>
      <c r="BDH67" s="122"/>
      <c r="BDI67" s="122"/>
      <c r="BDJ67" s="122"/>
      <c r="BDK67" s="122"/>
      <c r="BDL67" s="122"/>
      <c r="BDM67" s="122"/>
      <c r="BDN67" s="122"/>
      <c r="BDO67" s="122"/>
      <c r="BDP67" s="122"/>
      <c r="BDQ67" s="122"/>
      <c r="BDR67" s="122"/>
      <c r="BDS67" s="122"/>
      <c r="BDT67" s="122"/>
      <c r="BDU67" s="122"/>
      <c r="BDV67" s="122"/>
      <c r="BDW67" s="122"/>
      <c r="BDX67" s="122"/>
      <c r="BDY67" s="122"/>
      <c r="BDZ67" s="122"/>
      <c r="BEA67" s="122"/>
      <c r="BEB67" s="122"/>
      <c r="BEC67" s="122"/>
      <c r="BED67" s="122"/>
      <c r="BEE67" s="122"/>
      <c r="BEF67" s="122"/>
      <c r="BEG67" s="122"/>
      <c r="BEH67" s="122"/>
      <c r="BEI67" s="122"/>
      <c r="BEJ67" s="122"/>
      <c r="BEK67" s="122"/>
      <c r="BEL67" s="122"/>
      <c r="BEM67" s="122"/>
      <c r="BEN67" s="122"/>
      <c r="BEO67" s="122"/>
      <c r="BEP67" s="122"/>
      <c r="BEQ67" s="122"/>
      <c r="BER67" s="122"/>
      <c r="BES67" s="122"/>
      <c r="BET67" s="122"/>
      <c r="BEU67" s="122"/>
      <c r="BEV67" s="122"/>
      <c r="BEW67" s="122"/>
      <c r="BEX67" s="122"/>
      <c r="BEY67" s="122"/>
      <c r="BEZ67" s="122"/>
      <c r="BFA67" s="122"/>
      <c r="BFB67" s="122"/>
      <c r="BFC67" s="122"/>
      <c r="BFD67" s="122"/>
      <c r="BFE67" s="122"/>
      <c r="BFF67" s="122"/>
      <c r="BFG67" s="122"/>
      <c r="BFH67" s="122"/>
      <c r="BFI67" s="122"/>
      <c r="BFJ67" s="122"/>
      <c r="BFK67" s="122"/>
      <c r="BFL67" s="122"/>
      <c r="BFM67" s="122"/>
      <c r="BFN67" s="122"/>
      <c r="BFO67" s="122"/>
      <c r="BFP67" s="122"/>
      <c r="BFQ67" s="122"/>
      <c r="BFR67" s="122"/>
      <c r="BFS67" s="122"/>
      <c r="BFT67" s="122"/>
      <c r="BFU67" s="122"/>
      <c r="BFV67" s="122"/>
      <c r="BFW67" s="122"/>
      <c r="BFX67" s="122"/>
      <c r="BFY67" s="122"/>
      <c r="BFZ67" s="122"/>
      <c r="BGA67" s="122"/>
      <c r="BGB67" s="122"/>
      <c r="BGC67" s="122"/>
      <c r="BGD67" s="122"/>
      <c r="BGE67" s="122"/>
      <c r="BGF67" s="122"/>
      <c r="BGG67" s="122"/>
      <c r="BGH67" s="122"/>
      <c r="BGI67" s="122"/>
      <c r="BGJ67" s="122"/>
      <c r="BGK67" s="122"/>
      <c r="BGL67" s="122"/>
      <c r="BGM67" s="122"/>
      <c r="BGN67" s="122"/>
      <c r="BGO67" s="122"/>
      <c r="BGP67" s="122"/>
      <c r="BGQ67" s="122"/>
      <c r="BGR67" s="122"/>
      <c r="BGS67" s="122"/>
      <c r="BGT67" s="122"/>
      <c r="BGU67" s="122"/>
      <c r="BGV67" s="122"/>
      <c r="BGW67" s="122"/>
      <c r="BGX67" s="122"/>
      <c r="BGY67" s="122"/>
      <c r="BGZ67" s="122"/>
      <c r="BHA67" s="122"/>
      <c r="BHB67" s="122"/>
      <c r="BHC67" s="122"/>
      <c r="BHD67" s="122"/>
      <c r="BHE67" s="122"/>
      <c r="BHF67" s="122"/>
      <c r="BHG67" s="122"/>
      <c r="BHH67" s="122"/>
      <c r="BHI67" s="122"/>
      <c r="BHJ67" s="122"/>
      <c r="BHK67" s="122"/>
      <c r="BHL67" s="122"/>
      <c r="BHM67" s="122"/>
      <c r="BHN67" s="122"/>
      <c r="BHO67" s="122"/>
      <c r="BHP67" s="122"/>
      <c r="BHQ67" s="122"/>
      <c r="BHR67" s="122"/>
      <c r="BHS67" s="122"/>
      <c r="BHT67" s="122"/>
      <c r="BHU67" s="122"/>
      <c r="BHV67" s="122"/>
      <c r="BHW67" s="122"/>
      <c r="BHX67" s="122"/>
      <c r="BHY67" s="122"/>
      <c r="BHZ67" s="122"/>
      <c r="BIA67" s="122"/>
      <c r="BIB67" s="122"/>
      <c r="BIC67" s="122"/>
      <c r="BID67" s="122"/>
      <c r="BIE67" s="122"/>
      <c r="BIF67" s="122"/>
      <c r="BIG67" s="122"/>
      <c r="BIH67" s="122"/>
      <c r="BII67" s="122"/>
      <c r="BIJ67" s="122"/>
      <c r="BIK67" s="122"/>
      <c r="BIL67" s="122"/>
      <c r="BIM67" s="122"/>
      <c r="BIN67" s="122"/>
      <c r="BIO67" s="122"/>
      <c r="BIP67" s="122"/>
      <c r="BIQ67" s="122"/>
      <c r="BIR67" s="122"/>
      <c r="BIS67" s="122"/>
      <c r="BIT67" s="122"/>
      <c r="BIU67" s="122"/>
      <c r="BIV67" s="122"/>
      <c r="BIW67" s="122"/>
      <c r="BIX67" s="122"/>
      <c r="BIY67" s="122"/>
      <c r="BIZ67" s="122"/>
      <c r="BJA67" s="122"/>
      <c r="BJB67" s="122"/>
      <c r="BJC67" s="122"/>
      <c r="BJD67" s="122"/>
      <c r="BJE67" s="122"/>
      <c r="BJF67" s="122"/>
      <c r="BJG67" s="122"/>
      <c r="BJH67" s="122"/>
      <c r="BJI67" s="122"/>
      <c r="BJJ67" s="122"/>
      <c r="BJK67" s="122"/>
      <c r="BJL67" s="122"/>
      <c r="BJM67" s="122"/>
      <c r="BJN67" s="122"/>
      <c r="BJO67" s="122"/>
      <c r="BJP67" s="122"/>
      <c r="BJQ67" s="122"/>
      <c r="BJR67" s="122"/>
      <c r="BJS67" s="122"/>
      <c r="BJT67" s="122"/>
      <c r="BJU67" s="122"/>
      <c r="BJV67" s="122"/>
      <c r="BJW67" s="122"/>
      <c r="BJX67" s="122"/>
      <c r="BJY67" s="122"/>
      <c r="BJZ67" s="122"/>
      <c r="BKA67" s="122"/>
      <c r="BKB67" s="122"/>
      <c r="BKC67" s="122"/>
      <c r="BKD67" s="122"/>
      <c r="BKE67" s="122"/>
      <c r="BKF67" s="122"/>
      <c r="BKG67" s="122"/>
      <c r="BKH67" s="122"/>
      <c r="BKI67" s="122"/>
      <c r="BKJ67" s="122"/>
      <c r="BKK67" s="122"/>
      <c r="BKL67" s="122"/>
      <c r="BKM67" s="122"/>
      <c r="BKN67" s="122"/>
      <c r="BKO67" s="122"/>
      <c r="BKP67" s="122"/>
      <c r="BKQ67" s="122"/>
      <c r="BKR67" s="122"/>
      <c r="BKS67" s="122"/>
      <c r="BKT67" s="122"/>
      <c r="BKU67" s="122"/>
      <c r="BKV67" s="122"/>
      <c r="BKW67" s="122"/>
      <c r="BKX67" s="122"/>
      <c r="BKY67" s="122"/>
      <c r="BKZ67" s="122"/>
      <c r="BLA67" s="122"/>
      <c r="BLB67" s="122"/>
      <c r="BLC67" s="122"/>
      <c r="BLD67" s="122"/>
      <c r="BLE67" s="122"/>
      <c r="BLF67" s="122"/>
      <c r="BLG67" s="122"/>
      <c r="BLH67" s="122"/>
      <c r="BLI67" s="122"/>
      <c r="BLJ67" s="122"/>
      <c r="BLK67" s="122"/>
      <c r="BLL67" s="122"/>
      <c r="BLM67" s="122"/>
      <c r="BLN67" s="122"/>
      <c r="BLO67" s="122"/>
      <c r="BLP67" s="122"/>
      <c r="BLQ67" s="122"/>
      <c r="BLR67" s="122"/>
      <c r="BLS67" s="122"/>
      <c r="BLT67" s="122"/>
      <c r="BLU67" s="122"/>
      <c r="BLV67" s="122"/>
      <c r="BLW67" s="122"/>
      <c r="BLX67" s="122"/>
      <c r="BLY67" s="122"/>
      <c r="BLZ67" s="122"/>
      <c r="BMA67" s="122"/>
      <c r="BMB67" s="122"/>
      <c r="BMC67" s="122"/>
      <c r="BMD67" s="122"/>
      <c r="BME67" s="122"/>
      <c r="BMF67" s="122"/>
      <c r="BMG67" s="122"/>
      <c r="BMH67" s="122"/>
      <c r="BMI67" s="122"/>
      <c r="BMJ67" s="122"/>
      <c r="BMK67" s="122"/>
      <c r="BML67" s="122"/>
      <c r="BMM67" s="122"/>
      <c r="BMN67" s="122"/>
      <c r="BMO67" s="122"/>
      <c r="BMP67" s="122"/>
      <c r="BMQ67" s="122"/>
      <c r="BMR67" s="122"/>
      <c r="BMS67" s="122"/>
      <c r="BMT67" s="122"/>
      <c r="BMU67" s="122"/>
      <c r="BMV67" s="122"/>
      <c r="BMW67" s="122"/>
      <c r="BMX67" s="122"/>
      <c r="BMY67" s="122"/>
      <c r="BMZ67" s="122"/>
      <c r="BNA67" s="122"/>
      <c r="BNB67" s="122"/>
      <c r="BNC67" s="122"/>
      <c r="BND67" s="122"/>
      <c r="BNE67" s="122"/>
      <c r="BNF67" s="122"/>
      <c r="BNG67" s="122"/>
      <c r="BNH67" s="122"/>
      <c r="BNI67" s="122"/>
      <c r="BNJ67" s="122"/>
      <c r="BNK67" s="122"/>
      <c r="BNL67" s="122"/>
      <c r="BNM67" s="122"/>
      <c r="BNN67" s="122"/>
      <c r="BNO67" s="122"/>
      <c r="BNP67" s="122"/>
      <c r="BNQ67" s="122"/>
      <c r="BNR67" s="122"/>
      <c r="BNS67" s="122"/>
      <c r="BNT67" s="122"/>
      <c r="BNU67" s="122"/>
      <c r="BNV67" s="122"/>
      <c r="BNW67" s="122"/>
      <c r="BNX67" s="122"/>
      <c r="BNY67" s="122"/>
      <c r="BNZ67" s="122"/>
      <c r="BOA67" s="122"/>
      <c r="BOB67" s="122"/>
      <c r="BOC67" s="122"/>
      <c r="BOD67" s="122"/>
      <c r="BOE67" s="122"/>
      <c r="BOF67" s="122"/>
      <c r="BOG67" s="122"/>
      <c r="BOH67" s="122"/>
      <c r="BOI67" s="122"/>
      <c r="BOJ67" s="122"/>
      <c r="BOK67" s="122"/>
      <c r="BOL67" s="122"/>
      <c r="BOM67" s="122"/>
      <c r="BON67" s="122"/>
      <c r="BOO67" s="122"/>
      <c r="BOP67" s="122"/>
      <c r="BOQ67" s="122"/>
      <c r="BOR67" s="122"/>
      <c r="BOS67" s="122"/>
      <c r="BOT67" s="122"/>
      <c r="BOU67" s="122"/>
      <c r="BOV67" s="122"/>
      <c r="BOW67" s="122"/>
      <c r="BOX67" s="122"/>
      <c r="BOY67" s="122"/>
      <c r="BOZ67" s="122"/>
      <c r="BPA67" s="122"/>
      <c r="BPB67" s="122"/>
      <c r="BPC67" s="122"/>
      <c r="BPD67" s="122"/>
      <c r="BPE67" s="122"/>
      <c r="BPF67" s="122"/>
      <c r="BPG67" s="122"/>
      <c r="BPH67" s="122"/>
      <c r="BPI67" s="122"/>
      <c r="BPJ67" s="122"/>
      <c r="BPK67" s="122"/>
      <c r="BPL67" s="122"/>
      <c r="BPM67" s="122"/>
      <c r="BPN67" s="122"/>
      <c r="BPO67" s="122"/>
      <c r="BPP67" s="122"/>
      <c r="BPQ67" s="122"/>
      <c r="BPR67" s="122"/>
      <c r="BPS67" s="122"/>
      <c r="BPT67" s="122"/>
      <c r="BPU67" s="122"/>
      <c r="BPV67" s="122"/>
      <c r="BPW67" s="122"/>
      <c r="BPX67" s="122"/>
      <c r="BPY67" s="122"/>
      <c r="BPZ67" s="122"/>
      <c r="BQA67" s="122"/>
      <c r="BQB67" s="122"/>
      <c r="BQC67" s="122"/>
      <c r="BQD67" s="122"/>
      <c r="BQE67" s="122"/>
      <c r="BQF67" s="122"/>
      <c r="BQG67" s="122"/>
      <c r="BQH67" s="122"/>
      <c r="BQI67" s="122"/>
      <c r="BQJ67" s="122"/>
      <c r="BQK67" s="122"/>
      <c r="BQL67" s="122"/>
      <c r="BQM67" s="122"/>
      <c r="BQN67" s="122"/>
      <c r="BQO67" s="122"/>
      <c r="BQP67" s="122"/>
      <c r="BQQ67" s="122"/>
      <c r="BQR67" s="122"/>
      <c r="BQS67" s="122"/>
      <c r="BQT67" s="122"/>
      <c r="BQU67" s="122"/>
      <c r="BQV67" s="122"/>
      <c r="BQW67" s="122"/>
      <c r="BQX67" s="122"/>
      <c r="BQY67" s="122"/>
      <c r="BQZ67" s="122"/>
      <c r="BRA67" s="122"/>
      <c r="BRB67" s="122"/>
      <c r="BRC67" s="122"/>
      <c r="BRD67" s="122"/>
      <c r="BRE67" s="122"/>
      <c r="BRF67" s="122"/>
      <c r="BRG67" s="122"/>
      <c r="BRH67" s="122"/>
      <c r="BRI67" s="122"/>
      <c r="BRJ67" s="122"/>
      <c r="BRK67" s="122"/>
      <c r="BRL67" s="122"/>
      <c r="BRM67" s="122"/>
      <c r="BRN67" s="122"/>
      <c r="BRO67" s="122"/>
      <c r="BRP67" s="122"/>
      <c r="BRQ67" s="122"/>
      <c r="BRR67" s="122"/>
      <c r="BRS67" s="122"/>
      <c r="BRT67" s="122"/>
      <c r="BRU67" s="122"/>
      <c r="BRV67" s="122"/>
      <c r="BRW67" s="122"/>
      <c r="BRX67" s="122"/>
      <c r="BRY67" s="122"/>
      <c r="BRZ67" s="122"/>
      <c r="BSA67" s="122"/>
      <c r="BSB67" s="122"/>
      <c r="BSC67" s="122"/>
      <c r="BSD67" s="122"/>
      <c r="BSE67" s="122"/>
      <c r="BSF67" s="122"/>
      <c r="BSG67" s="122"/>
      <c r="BSH67" s="122"/>
      <c r="BSI67" s="122"/>
      <c r="BSJ67" s="122"/>
      <c r="BSK67" s="122"/>
      <c r="BSL67" s="122"/>
      <c r="BSM67" s="122"/>
      <c r="BSN67" s="122"/>
      <c r="BSO67" s="122"/>
      <c r="BSP67" s="122"/>
      <c r="BSQ67" s="122"/>
      <c r="BSR67" s="122"/>
      <c r="BSS67" s="122"/>
      <c r="BST67" s="122"/>
      <c r="BSU67" s="122"/>
      <c r="BSV67" s="122"/>
      <c r="BSW67" s="122"/>
      <c r="BSX67" s="122"/>
      <c r="BSY67" s="122"/>
      <c r="BSZ67" s="122"/>
      <c r="BTA67" s="122"/>
      <c r="BTB67" s="122"/>
      <c r="BTC67" s="122"/>
      <c r="BTD67" s="122"/>
      <c r="BTE67" s="122"/>
      <c r="BTF67" s="122"/>
      <c r="BTG67" s="122"/>
      <c r="BTH67" s="122"/>
      <c r="BTI67" s="122"/>
      <c r="BTJ67" s="122"/>
      <c r="BTK67" s="122"/>
      <c r="BTL67" s="122"/>
      <c r="BTM67" s="122"/>
      <c r="BTN67" s="122"/>
      <c r="BTO67" s="122"/>
      <c r="BTP67" s="122"/>
      <c r="BTQ67" s="122"/>
      <c r="BTR67" s="122"/>
      <c r="BTS67" s="122"/>
      <c r="BTT67" s="122"/>
      <c r="BTU67" s="122"/>
      <c r="BTV67" s="122"/>
      <c r="BTW67" s="122"/>
      <c r="BTX67" s="122"/>
      <c r="BTY67" s="122"/>
      <c r="BTZ67" s="122"/>
      <c r="BUA67" s="122"/>
      <c r="BUB67" s="122"/>
      <c r="BUC67" s="122"/>
      <c r="BUD67" s="122"/>
      <c r="BUE67" s="122"/>
      <c r="BUF67" s="122"/>
      <c r="BUG67" s="122"/>
      <c r="BUH67" s="122"/>
      <c r="BUI67" s="122"/>
      <c r="BUJ67" s="122"/>
      <c r="BUK67" s="122"/>
      <c r="BUL67" s="122"/>
      <c r="BUM67" s="122"/>
      <c r="BUN67" s="122"/>
      <c r="BUO67" s="122"/>
      <c r="BUP67" s="122"/>
      <c r="BUQ67" s="122"/>
      <c r="BUR67" s="122"/>
      <c r="BUS67" s="122"/>
      <c r="BUT67" s="122"/>
      <c r="BUU67" s="122"/>
      <c r="BUV67" s="122"/>
      <c r="BUW67" s="122"/>
      <c r="BUX67" s="122"/>
      <c r="BUY67" s="122"/>
      <c r="BUZ67" s="122"/>
      <c r="BVA67" s="122"/>
      <c r="BVB67" s="122"/>
      <c r="BVC67" s="122"/>
      <c r="BVD67" s="122"/>
      <c r="BVE67" s="122"/>
      <c r="BVF67" s="122"/>
      <c r="BVG67" s="122"/>
      <c r="BVH67" s="122"/>
      <c r="BVI67" s="122"/>
      <c r="BVJ67" s="122"/>
      <c r="BVK67" s="122"/>
      <c r="BVL67" s="122"/>
      <c r="BVM67" s="122"/>
      <c r="BVN67" s="122"/>
      <c r="BVO67" s="122"/>
      <c r="BVP67" s="122"/>
      <c r="BVQ67" s="122"/>
      <c r="BVR67" s="122"/>
      <c r="BVS67" s="122"/>
      <c r="BVT67" s="122"/>
      <c r="BVU67" s="122"/>
      <c r="BVV67" s="122"/>
      <c r="BVW67" s="122"/>
      <c r="BVX67" s="122"/>
      <c r="BVY67" s="122"/>
      <c r="BVZ67" s="122"/>
      <c r="BWA67" s="122"/>
      <c r="BWB67" s="122"/>
      <c r="BWC67" s="122"/>
      <c r="BWD67" s="122"/>
      <c r="BWE67" s="122"/>
      <c r="BWF67" s="122"/>
      <c r="BWG67" s="122"/>
      <c r="BWH67" s="122"/>
      <c r="BWI67" s="122"/>
      <c r="BWJ67" s="122"/>
      <c r="BWK67" s="122"/>
      <c r="BWL67" s="122"/>
      <c r="BWM67" s="122"/>
      <c r="BWN67" s="122"/>
      <c r="BWO67" s="122"/>
      <c r="BWP67" s="122"/>
      <c r="BWQ67" s="122"/>
      <c r="BWR67" s="122"/>
      <c r="BWS67" s="122"/>
      <c r="BWT67" s="122"/>
      <c r="BWU67" s="122"/>
      <c r="BWV67" s="122"/>
      <c r="BWW67" s="122"/>
      <c r="BWX67" s="122"/>
      <c r="BWY67" s="122"/>
      <c r="BWZ67" s="122"/>
      <c r="BXA67" s="122"/>
      <c r="BXB67" s="122"/>
      <c r="BXC67" s="122"/>
      <c r="BXD67" s="122"/>
      <c r="BXE67" s="122"/>
      <c r="BXF67" s="122"/>
      <c r="BXG67" s="122"/>
      <c r="BXH67" s="122"/>
      <c r="BXI67" s="122"/>
      <c r="BXJ67" s="122"/>
      <c r="BXK67" s="122"/>
      <c r="BXL67" s="122"/>
      <c r="BXM67" s="122"/>
      <c r="BXN67" s="122"/>
      <c r="BXO67" s="122"/>
      <c r="BXP67" s="122"/>
      <c r="BXQ67" s="122"/>
      <c r="BXR67" s="122"/>
      <c r="BXS67" s="122"/>
      <c r="BXT67" s="122"/>
      <c r="BXU67" s="122"/>
      <c r="BXV67" s="122"/>
      <c r="BXW67" s="122"/>
      <c r="BXX67" s="122"/>
      <c r="BXY67" s="122"/>
      <c r="BXZ67" s="122"/>
      <c r="BYA67" s="122"/>
      <c r="BYB67" s="122"/>
      <c r="BYC67" s="122"/>
      <c r="BYD67" s="122"/>
      <c r="BYE67" s="122"/>
      <c r="BYF67" s="122"/>
      <c r="BYG67" s="122"/>
      <c r="BYH67" s="122"/>
      <c r="BYI67" s="122"/>
      <c r="BYJ67" s="122"/>
      <c r="BYK67" s="122"/>
      <c r="BYL67" s="122"/>
      <c r="BYM67" s="122"/>
      <c r="BYN67" s="122"/>
      <c r="BYO67" s="122"/>
      <c r="BYP67" s="122"/>
      <c r="BYQ67" s="122"/>
      <c r="BYR67" s="122"/>
      <c r="BYS67" s="122"/>
      <c r="BYT67" s="122"/>
      <c r="BYU67" s="122"/>
      <c r="BYV67" s="122"/>
      <c r="BYW67" s="122"/>
      <c r="BYX67" s="122"/>
      <c r="BYY67" s="122"/>
      <c r="BYZ67" s="122"/>
      <c r="BZA67" s="122"/>
      <c r="BZB67" s="122"/>
      <c r="BZC67" s="122"/>
      <c r="BZD67" s="122"/>
      <c r="BZE67" s="122"/>
      <c r="BZF67" s="122"/>
      <c r="BZG67" s="122"/>
      <c r="BZH67" s="122"/>
      <c r="BZI67" s="122"/>
      <c r="BZJ67" s="122"/>
      <c r="BZK67" s="122"/>
      <c r="BZL67" s="122"/>
      <c r="BZM67" s="122"/>
      <c r="BZN67" s="122"/>
      <c r="BZO67" s="122"/>
      <c r="BZP67" s="122"/>
      <c r="BZQ67" s="122"/>
      <c r="BZR67" s="122"/>
      <c r="BZS67" s="122"/>
      <c r="BZT67" s="122"/>
      <c r="BZU67" s="122"/>
      <c r="BZV67" s="122"/>
      <c r="BZW67" s="122"/>
      <c r="BZX67" s="122"/>
      <c r="BZY67" s="122"/>
      <c r="BZZ67" s="122"/>
      <c r="CAA67" s="122"/>
      <c r="CAB67" s="122"/>
      <c r="CAC67" s="122"/>
      <c r="CAD67" s="122"/>
      <c r="CAE67" s="122"/>
      <c r="CAF67" s="122"/>
      <c r="CAG67" s="122"/>
      <c r="CAH67" s="122"/>
      <c r="CAI67" s="122"/>
      <c r="CAJ67" s="122"/>
      <c r="CAK67" s="122"/>
      <c r="CAL67" s="122"/>
      <c r="CAM67" s="122"/>
      <c r="CAN67" s="122"/>
      <c r="CAO67" s="122"/>
      <c r="CAP67" s="122"/>
      <c r="CAQ67" s="122"/>
      <c r="CAR67" s="122"/>
      <c r="CAS67" s="122"/>
      <c r="CAT67" s="122"/>
      <c r="CAU67" s="122"/>
      <c r="CAV67" s="122"/>
      <c r="CAW67" s="122"/>
      <c r="CAX67" s="122"/>
      <c r="CAY67" s="122"/>
      <c r="CAZ67" s="122"/>
      <c r="CBA67" s="122"/>
      <c r="CBB67" s="122"/>
      <c r="CBC67" s="122"/>
      <c r="CBD67" s="122"/>
      <c r="CBE67" s="122"/>
      <c r="CBF67" s="122"/>
      <c r="CBG67" s="122"/>
      <c r="CBH67" s="122"/>
      <c r="CBI67" s="122"/>
      <c r="CBJ67" s="122"/>
      <c r="CBK67" s="122"/>
      <c r="CBL67" s="122"/>
      <c r="CBM67" s="122"/>
      <c r="CBN67" s="122"/>
      <c r="CBO67" s="122"/>
      <c r="CBP67" s="122"/>
      <c r="CBQ67" s="122"/>
      <c r="CBR67" s="122"/>
      <c r="CBS67" s="122"/>
      <c r="CBT67" s="122"/>
      <c r="CBU67" s="122"/>
      <c r="CBV67" s="122"/>
      <c r="CBW67" s="122"/>
      <c r="CBX67" s="122"/>
      <c r="CBY67" s="122"/>
      <c r="CBZ67" s="122"/>
      <c r="CCA67" s="122"/>
      <c r="CCB67" s="122"/>
      <c r="CCC67" s="122"/>
      <c r="CCD67" s="122"/>
      <c r="CCE67" s="122"/>
      <c r="CCF67" s="122"/>
      <c r="CCG67" s="122"/>
      <c r="CCH67" s="122"/>
      <c r="CCI67" s="122"/>
      <c r="CCJ67" s="122"/>
      <c r="CCK67" s="122"/>
      <c r="CCL67" s="122"/>
      <c r="CCM67" s="122"/>
      <c r="CCN67" s="122"/>
      <c r="CCO67" s="122"/>
      <c r="CCP67" s="122"/>
      <c r="CCQ67" s="122"/>
      <c r="CCR67" s="122"/>
      <c r="CCS67" s="122"/>
      <c r="CCT67" s="122"/>
      <c r="CCU67" s="122"/>
      <c r="CCV67" s="122"/>
      <c r="CCW67" s="122"/>
      <c r="CCX67" s="122"/>
      <c r="CCY67" s="122"/>
      <c r="CCZ67" s="122"/>
      <c r="CDA67" s="122"/>
      <c r="CDB67" s="122"/>
      <c r="CDC67" s="122"/>
      <c r="CDD67" s="122"/>
      <c r="CDE67" s="122"/>
      <c r="CDF67" s="122"/>
      <c r="CDG67" s="122"/>
      <c r="CDH67" s="122"/>
      <c r="CDI67" s="122"/>
      <c r="CDJ67" s="122"/>
      <c r="CDK67" s="122"/>
      <c r="CDL67" s="122"/>
      <c r="CDM67" s="122"/>
      <c r="CDN67" s="122"/>
      <c r="CDO67" s="122"/>
      <c r="CDP67" s="122"/>
      <c r="CDQ67" s="122"/>
      <c r="CDR67" s="122"/>
      <c r="CDS67" s="122"/>
      <c r="CDT67" s="122"/>
      <c r="CDU67" s="122"/>
      <c r="CDV67" s="122"/>
      <c r="CDW67" s="122"/>
      <c r="CDX67" s="122"/>
      <c r="CDY67" s="122"/>
      <c r="CDZ67" s="122"/>
      <c r="CEA67" s="122"/>
      <c r="CEB67" s="122"/>
      <c r="CEC67" s="122"/>
      <c r="CED67" s="122"/>
      <c r="CEE67" s="122"/>
      <c r="CEF67" s="122"/>
      <c r="CEG67" s="122"/>
      <c r="CEH67" s="122"/>
      <c r="CEI67" s="122"/>
      <c r="CEJ67" s="122"/>
      <c r="CEK67" s="122"/>
      <c r="CEL67" s="122"/>
      <c r="CEM67" s="122"/>
      <c r="CEN67" s="122"/>
      <c r="CEO67" s="122"/>
      <c r="CEP67" s="122"/>
      <c r="CEQ67" s="122"/>
      <c r="CER67" s="122"/>
      <c r="CES67" s="122"/>
      <c r="CET67" s="122"/>
      <c r="CEU67" s="122"/>
      <c r="CEV67" s="122"/>
      <c r="CEW67" s="122"/>
      <c r="CEX67" s="122"/>
      <c r="CEY67" s="122"/>
      <c r="CEZ67" s="122"/>
      <c r="CFA67" s="122"/>
      <c r="CFB67" s="122"/>
      <c r="CFC67" s="122"/>
      <c r="CFD67" s="122"/>
      <c r="CFE67" s="122"/>
      <c r="CFF67" s="122"/>
      <c r="CFG67" s="122"/>
      <c r="CFH67" s="122"/>
      <c r="CFI67" s="122"/>
      <c r="CFJ67" s="122"/>
      <c r="CFK67" s="122"/>
      <c r="CFL67" s="122"/>
      <c r="CFM67" s="122"/>
      <c r="CFN67" s="122"/>
      <c r="CFO67" s="122"/>
      <c r="CFP67" s="122"/>
      <c r="CFQ67" s="122"/>
      <c r="CFR67" s="122"/>
      <c r="CFS67" s="122"/>
      <c r="CFT67" s="122"/>
      <c r="CFU67" s="122"/>
      <c r="CFV67" s="122"/>
      <c r="CFW67" s="122"/>
      <c r="CFX67" s="122"/>
      <c r="CFY67" s="122"/>
      <c r="CFZ67" s="122"/>
      <c r="CGA67" s="122"/>
      <c r="CGB67" s="122"/>
      <c r="CGC67" s="122"/>
      <c r="CGD67" s="122"/>
      <c r="CGE67" s="122"/>
      <c r="CGF67" s="122"/>
      <c r="CGG67" s="122"/>
      <c r="CGH67" s="122"/>
      <c r="CGI67" s="122"/>
      <c r="CGJ67" s="122"/>
      <c r="CGK67" s="122"/>
      <c r="CGL67" s="122"/>
      <c r="CGM67" s="122"/>
      <c r="CGN67" s="122"/>
      <c r="CGO67" s="122"/>
      <c r="CGP67" s="122"/>
      <c r="CGQ67" s="122"/>
      <c r="CGR67" s="122"/>
      <c r="CGS67" s="122"/>
      <c r="CGT67" s="122"/>
      <c r="CGU67" s="122"/>
      <c r="CGV67" s="122"/>
      <c r="CGW67" s="122"/>
      <c r="CGX67" s="122"/>
      <c r="CGY67" s="122"/>
      <c r="CGZ67" s="122"/>
      <c r="CHA67" s="122"/>
      <c r="CHB67" s="122"/>
      <c r="CHC67" s="122"/>
      <c r="CHD67" s="122"/>
      <c r="CHE67" s="122"/>
      <c r="CHF67" s="122"/>
      <c r="CHG67" s="122"/>
      <c r="CHH67" s="122"/>
      <c r="CHI67" s="122"/>
      <c r="CHJ67" s="122"/>
      <c r="CHK67" s="122"/>
      <c r="CHL67" s="122"/>
      <c r="CHM67" s="122"/>
      <c r="CHN67" s="122"/>
      <c r="CHO67" s="122"/>
      <c r="CHP67" s="122"/>
      <c r="CHQ67" s="122"/>
      <c r="CHR67" s="122"/>
      <c r="CHS67" s="122"/>
      <c r="CHT67" s="122"/>
      <c r="CHU67" s="122"/>
      <c r="CHV67" s="122"/>
      <c r="CHW67" s="122"/>
      <c r="CHX67" s="122"/>
      <c r="CHY67" s="122"/>
      <c r="CHZ67" s="122"/>
      <c r="CIA67" s="122"/>
      <c r="CIB67" s="122"/>
      <c r="CIC67" s="122"/>
      <c r="CID67" s="122"/>
      <c r="CIE67" s="122"/>
      <c r="CIF67" s="122"/>
      <c r="CIG67" s="122"/>
      <c r="CIH67" s="122"/>
      <c r="CII67" s="122"/>
      <c r="CIJ67" s="122"/>
      <c r="CIK67" s="122"/>
      <c r="CIL67" s="122"/>
      <c r="CIM67" s="122"/>
      <c r="CIN67" s="122"/>
      <c r="CIO67" s="122"/>
      <c r="CIP67" s="122"/>
      <c r="CIQ67" s="122"/>
      <c r="CIR67" s="122"/>
      <c r="CIS67" s="122"/>
      <c r="CIT67" s="122"/>
      <c r="CIU67" s="122"/>
      <c r="CIV67" s="122"/>
      <c r="CIW67" s="122"/>
      <c r="CIX67" s="122"/>
      <c r="CIY67" s="122"/>
      <c r="CIZ67" s="122"/>
      <c r="CJA67" s="122"/>
      <c r="CJB67" s="122"/>
      <c r="CJC67" s="122"/>
      <c r="CJD67" s="122"/>
      <c r="CJE67" s="122"/>
      <c r="CJF67" s="122"/>
      <c r="CJG67" s="122"/>
      <c r="CJH67" s="122"/>
      <c r="CJI67" s="122"/>
      <c r="CJJ67" s="122"/>
      <c r="CJK67" s="122"/>
      <c r="CJL67" s="122"/>
      <c r="CJM67" s="122"/>
      <c r="CJN67" s="122"/>
      <c r="CJO67" s="122"/>
      <c r="CJP67" s="122"/>
      <c r="CJQ67" s="122"/>
      <c r="CJR67" s="122"/>
      <c r="CJS67" s="122"/>
      <c r="CJT67" s="122"/>
      <c r="CJU67" s="122"/>
      <c r="CJV67" s="122"/>
      <c r="CJW67" s="122"/>
      <c r="CJX67" s="122"/>
      <c r="CJY67" s="122"/>
      <c r="CJZ67" s="122"/>
      <c r="CKA67" s="122"/>
      <c r="CKB67" s="122"/>
      <c r="CKC67" s="122"/>
      <c r="CKD67" s="122"/>
      <c r="CKE67" s="122"/>
      <c r="CKF67" s="122"/>
      <c r="CKG67" s="122"/>
      <c r="CKH67" s="122"/>
      <c r="CKI67" s="122"/>
      <c r="CKJ67" s="122"/>
      <c r="CKK67" s="122"/>
      <c r="CKL67" s="122"/>
      <c r="CKM67" s="122"/>
      <c r="CKN67" s="122"/>
      <c r="CKO67" s="122"/>
      <c r="CKP67" s="122"/>
      <c r="CKQ67" s="122"/>
      <c r="CKR67" s="122"/>
      <c r="CKS67" s="122"/>
      <c r="CKT67" s="122"/>
      <c r="CKU67" s="122"/>
      <c r="CKV67" s="122"/>
      <c r="CKW67" s="122"/>
      <c r="CKX67" s="122"/>
      <c r="CKY67" s="122"/>
      <c r="CKZ67" s="122"/>
      <c r="CLA67" s="122"/>
      <c r="CLB67" s="122"/>
      <c r="CLC67" s="122"/>
      <c r="CLD67" s="122"/>
      <c r="CLE67" s="122"/>
      <c r="CLF67" s="122"/>
      <c r="CLG67" s="122"/>
      <c r="CLH67" s="122"/>
      <c r="CLI67" s="122"/>
      <c r="CLJ67" s="122"/>
      <c r="CLK67" s="122"/>
      <c r="CLL67" s="122"/>
      <c r="CLM67" s="122"/>
      <c r="CLN67" s="122"/>
      <c r="CLO67" s="122"/>
      <c r="CLP67" s="122"/>
      <c r="CLQ67" s="122"/>
      <c r="CLR67" s="122"/>
      <c r="CLS67" s="122"/>
      <c r="CLT67" s="122"/>
      <c r="CLU67" s="122"/>
      <c r="CLV67" s="122"/>
      <c r="CLW67" s="122"/>
      <c r="CLX67" s="122"/>
      <c r="CLY67" s="122"/>
      <c r="CLZ67" s="122"/>
      <c r="CMA67" s="122"/>
      <c r="CMB67" s="122"/>
      <c r="CMC67" s="122"/>
      <c r="CMD67" s="122"/>
      <c r="CME67" s="122"/>
      <c r="CMF67" s="122"/>
      <c r="CMG67" s="122"/>
      <c r="CMH67" s="122"/>
      <c r="CMI67" s="122"/>
      <c r="CMJ67" s="122"/>
      <c r="CMK67" s="122"/>
      <c r="CML67" s="122"/>
      <c r="CMM67" s="122"/>
      <c r="CMN67" s="122"/>
      <c r="CMO67" s="122"/>
      <c r="CMP67" s="122"/>
      <c r="CMQ67" s="122"/>
      <c r="CMR67" s="122"/>
      <c r="CMS67" s="122"/>
      <c r="CMT67" s="122"/>
      <c r="CMU67" s="122"/>
      <c r="CMV67" s="122"/>
      <c r="CMW67" s="122"/>
      <c r="CMX67" s="122"/>
      <c r="CMY67" s="122"/>
      <c r="CMZ67" s="122"/>
      <c r="CNA67" s="122"/>
      <c r="CNB67" s="122"/>
      <c r="CNC67" s="122"/>
      <c r="CND67" s="122"/>
      <c r="CNE67" s="122"/>
      <c r="CNF67" s="122"/>
      <c r="CNG67" s="122"/>
      <c r="CNH67" s="122"/>
      <c r="CNI67" s="122"/>
      <c r="CNJ67" s="122"/>
      <c r="CNK67" s="122"/>
      <c r="CNL67" s="122"/>
      <c r="CNM67" s="122"/>
      <c r="CNN67" s="122"/>
      <c r="CNO67" s="122"/>
      <c r="CNP67" s="122"/>
      <c r="CNQ67" s="122"/>
      <c r="CNR67" s="122"/>
      <c r="CNS67" s="122"/>
      <c r="CNT67" s="122"/>
      <c r="CNU67" s="122"/>
      <c r="CNV67" s="122"/>
      <c r="CNW67" s="122"/>
      <c r="CNX67" s="122"/>
      <c r="CNY67" s="122"/>
      <c r="CNZ67" s="122"/>
      <c r="COA67" s="122"/>
      <c r="COB67" s="122"/>
      <c r="COC67" s="122"/>
      <c r="COD67" s="122"/>
      <c r="COE67" s="122"/>
      <c r="COF67" s="122"/>
      <c r="COG67" s="122"/>
      <c r="COH67" s="122"/>
      <c r="COI67" s="122"/>
      <c r="COJ67" s="122"/>
      <c r="COK67" s="122"/>
      <c r="COL67" s="122"/>
      <c r="COM67" s="122"/>
      <c r="CON67" s="122"/>
      <c r="COO67" s="122"/>
      <c r="COP67" s="122"/>
      <c r="COQ67" s="122"/>
      <c r="COR67" s="122"/>
      <c r="COS67" s="122"/>
      <c r="COT67" s="122"/>
      <c r="COU67" s="122"/>
      <c r="COV67" s="122"/>
      <c r="COW67" s="122"/>
      <c r="COX67" s="122"/>
      <c r="COY67" s="122"/>
      <c r="COZ67" s="122"/>
      <c r="CPA67" s="122"/>
      <c r="CPB67" s="122"/>
      <c r="CPC67" s="122"/>
      <c r="CPD67" s="122"/>
      <c r="CPE67" s="122"/>
      <c r="CPF67" s="122"/>
      <c r="CPG67" s="122"/>
      <c r="CPH67" s="122"/>
      <c r="CPI67" s="122"/>
      <c r="CPJ67" s="122"/>
      <c r="CPK67" s="122"/>
      <c r="CPL67" s="122"/>
      <c r="CPM67" s="122"/>
      <c r="CPN67" s="122"/>
      <c r="CPO67" s="122"/>
      <c r="CPP67" s="122"/>
      <c r="CPQ67" s="122"/>
      <c r="CPR67" s="122"/>
      <c r="CPS67" s="122"/>
      <c r="CPT67" s="122"/>
      <c r="CPU67" s="122"/>
      <c r="CPV67" s="122"/>
      <c r="CPW67" s="122"/>
      <c r="CPX67" s="122"/>
      <c r="CPY67" s="122"/>
      <c r="CPZ67" s="122"/>
      <c r="CQA67" s="122"/>
      <c r="CQB67" s="122"/>
      <c r="CQC67" s="122"/>
      <c r="CQD67" s="122"/>
      <c r="CQE67" s="122"/>
      <c r="CQF67" s="122"/>
      <c r="CQG67" s="122"/>
      <c r="CQH67" s="122"/>
      <c r="CQI67" s="122"/>
      <c r="CQJ67" s="122"/>
      <c r="CQK67" s="122"/>
      <c r="CQL67" s="122"/>
      <c r="CQM67" s="122"/>
      <c r="CQN67" s="122"/>
      <c r="CQO67" s="122"/>
      <c r="CQP67" s="122"/>
      <c r="CQQ67" s="122"/>
      <c r="CQR67" s="122"/>
      <c r="CQS67" s="122"/>
      <c r="CQT67" s="122"/>
      <c r="CQU67" s="122"/>
      <c r="CQV67" s="122"/>
      <c r="CQW67" s="122"/>
      <c r="CQX67" s="122"/>
      <c r="CQY67" s="122"/>
      <c r="CQZ67" s="122"/>
      <c r="CRA67" s="122"/>
      <c r="CRB67" s="122"/>
      <c r="CRC67" s="122"/>
      <c r="CRD67" s="122"/>
      <c r="CRE67" s="122"/>
      <c r="CRF67" s="122"/>
      <c r="CRG67" s="122"/>
      <c r="CRH67" s="122"/>
      <c r="CRI67" s="122"/>
      <c r="CRJ67" s="122"/>
      <c r="CRK67" s="122"/>
      <c r="CRL67" s="122"/>
      <c r="CRM67" s="122"/>
      <c r="CRN67" s="122"/>
      <c r="CRO67" s="122"/>
      <c r="CRP67" s="122"/>
      <c r="CRQ67" s="122"/>
      <c r="CRR67" s="122"/>
      <c r="CRS67" s="122"/>
      <c r="CRT67" s="122"/>
      <c r="CRU67" s="122"/>
      <c r="CRV67" s="122"/>
      <c r="CRW67" s="122"/>
      <c r="CRX67" s="122"/>
      <c r="CRY67" s="122"/>
      <c r="CRZ67" s="122"/>
      <c r="CSA67" s="122"/>
      <c r="CSB67" s="122"/>
      <c r="CSC67" s="122"/>
      <c r="CSD67" s="122"/>
      <c r="CSE67" s="122"/>
      <c r="CSF67" s="122"/>
      <c r="CSG67" s="122"/>
      <c r="CSH67" s="122"/>
      <c r="CSI67" s="122"/>
      <c r="CSJ67" s="122"/>
      <c r="CSK67" s="122"/>
      <c r="CSL67" s="122"/>
      <c r="CSM67" s="122"/>
      <c r="CSN67" s="122"/>
      <c r="CSO67" s="122"/>
      <c r="CSP67" s="122"/>
      <c r="CSQ67" s="122"/>
      <c r="CSR67" s="122"/>
      <c r="CSS67" s="122"/>
      <c r="CST67" s="122"/>
      <c r="CSU67" s="122"/>
      <c r="CSV67" s="122"/>
      <c r="CSW67" s="122"/>
      <c r="CSX67" s="122"/>
      <c r="CSY67" s="122"/>
      <c r="CSZ67" s="122"/>
      <c r="CTA67" s="122"/>
      <c r="CTB67" s="122"/>
      <c r="CTC67" s="122"/>
      <c r="CTD67" s="122"/>
      <c r="CTE67" s="122"/>
      <c r="CTF67" s="122"/>
      <c r="CTG67" s="122"/>
      <c r="CTH67" s="122"/>
      <c r="CTI67" s="122"/>
      <c r="CTJ67" s="122"/>
      <c r="CTK67" s="122"/>
      <c r="CTL67" s="122"/>
      <c r="CTM67" s="122"/>
      <c r="CTN67" s="122"/>
      <c r="CTO67" s="122"/>
      <c r="CTP67" s="122"/>
      <c r="CTQ67" s="122"/>
      <c r="CTR67" s="122"/>
      <c r="CTS67" s="122"/>
      <c r="CTT67" s="122"/>
      <c r="CTU67" s="122"/>
      <c r="CTV67" s="122"/>
      <c r="CTW67" s="122"/>
      <c r="CTX67" s="122"/>
      <c r="CTY67" s="122"/>
      <c r="CTZ67" s="122"/>
      <c r="CUA67" s="122"/>
      <c r="CUB67" s="122"/>
      <c r="CUC67" s="122"/>
      <c r="CUD67" s="122"/>
      <c r="CUE67" s="122"/>
      <c r="CUF67" s="122"/>
      <c r="CUG67" s="122"/>
      <c r="CUH67" s="122"/>
      <c r="CUI67" s="122"/>
      <c r="CUJ67" s="122"/>
      <c r="CUK67" s="122"/>
      <c r="CUL67" s="122"/>
      <c r="CUM67" s="122"/>
      <c r="CUN67" s="122"/>
      <c r="CUO67" s="122"/>
      <c r="CUP67" s="122"/>
      <c r="CUQ67" s="122"/>
      <c r="CUR67" s="122"/>
      <c r="CUS67" s="122"/>
      <c r="CUT67" s="122"/>
      <c r="CUU67" s="122"/>
      <c r="CUV67" s="122"/>
      <c r="CUW67" s="122"/>
      <c r="CUX67" s="122"/>
      <c r="CUY67" s="122"/>
      <c r="CUZ67" s="122"/>
      <c r="CVA67" s="122"/>
      <c r="CVB67" s="122"/>
      <c r="CVC67" s="122"/>
      <c r="CVD67" s="122"/>
      <c r="CVE67" s="122"/>
      <c r="CVF67" s="122"/>
      <c r="CVG67" s="122"/>
      <c r="CVH67" s="122"/>
      <c r="CVI67" s="122"/>
      <c r="CVJ67" s="122"/>
      <c r="CVK67" s="122"/>
      <c r="CVL67" s="122"/>
      <c r="CVM67" s="122"/>
      <c r="CVN67" s="122"/>
      <c r="CVO67" s="122"/>
      <c r="CVP67" s="122"/>
      <c r="CVQ67" s="122"/>
      <c r="CVR67" s="122"/>
      <c r="CVS67" s="122"/>
      <c r="CVT67" s="122"/>
      <c r="CVU67" s="122"/>
      <c r="CVV67" s="122"/>
      <c r="CVW67" s="122"/>
      <c r="CVX67" s="122"/>
      <c r="CVY67" s="122"/>
      <c r="CVZ67" s="122"/>
      <c r="CWA67" s="122"/>
      <c r="CWB67" s="122"/>
      <c r="CWC67" s="122"/>
      <c r="CWD67" s="122"/>
      <c r="CWE67" s="122"/>
      <c r="CWF67" s="122"/>
      <c r="CWG67" s="122"/>
      <c r="CWH67" s="122"/>
      <c r="CWI67" s="122"/>
      <c r="CWJ67" s="122"/>
      <c r="CWK67" s="122"/>
      <c r="CWL67" s="122"/>
      <c r="CWM67" s="122"/>
      <c r="CWN67" s="122"/>
      <c r="CWO67" s="122"/>
      <c r="CWP67" s="122"/>
      <c r="CWQ67" s="122"/>
      <c r="CWR67" s="122"/>
      <c r="CWS67" s="122"/>
      <c r="CWT67" s="122"/>
      <c r="CWU67" s="122"/>
      <c r="CWV67" s="122"/>
      <c r="CWW67" s="122"/>
      <c r="CWX67" s="122"/>
      <c r="CWY67" s="122"/>
      <c r="CWZ67" s="122"/>
      <c r="CXA67" s="122"/>
      <c r="CXB67" s="122"/>
      <c r="CXC67" s="122"/>
      <c r="CXD67" s="122"/>
      <c r="CXE67" s="122"/>
      <c r="CXF67" s="122"/>
      <c r="CXG67" s="122"/>
      <c r="CXH67" s="122"/>
      <c r="CXI67" s="122"/>
      <c r="CXJ67" s="122"/>
      <c r="CXK67" s="122"/>
      <c r="CXL67" s="122"/>
      <c r="CXM67" s="122"/>
      <c r="CXN67" s="122"/>
      <c r="CXO67" s="122"/>
      <c r="CXP67" s="122"/>
      <c r="CXQ67" s="122"/>
      <c r="CXR67" s="122"/>
      <c r="CXS67" s="122"/>
      <c r="CXT67" s="122"/>
      <c r="CXU67" s="122"/>
      <c r="CXV67" s="122"/>
      <c r="CXW67" s="122"/>
      <c r="CXX67" s="122"/>
      <c r="CXY67" s="122"/>
      <c r="CXZ67" s="122"/>
      <c r="CYA67" s="122"/>
      <c r="CYB67" s="122"/>
      <c r="CYC67" s="122"/>
      <c r="CYD67" s="122"/>
      <c r="CYE67" s="122"/>
      <c r="CYF67" s="122"/>
      <c r="CYG67" s="122"/>
      <c r="CYH67" s="122"/>
      <c r="CYI67" s="122"/>
      <c r="CYJ67" s="122"/>
      <c r="CYK67" s="122"/>
      <c r="CYL67" s="122"/>
      <c r="CYM67" s="122"/>
      <c r="CYN67" s="122"/>
      <c r="CYO67" s="122"/>
      <c r="CYP67" s="122"/>
      <c r="CYQ67" s="122"/>
      <c r="CYR67" s="122"/>
      <c r="CYS67" s="122"/>
      <c r="CYT67" s="122"/>
      <c r="CYU67" s="122"/>
      <c r="CYV67" s="122"/>
      <c r="CYW67" s="122"/>
      <c r="CYX67" s="122"/>
      <c r="CYY67" s="122"/>
      <c r="CYZ67" s="122"/>
      <c r="CZA67" s="122"/>
      <c r="CZB67" s="122"/>
      <c r="CZC67" s="122"/>
      <c r="CZD67" s="122"/>
      <c r="CZE67" s="122"/>
      <c r="CZF67" s="122"/>
      <c r="CZG67" s="122"/>
      <c r="CZH67" s="122"/>
      <c r="CZI67" s="122"/>
      <c r="CZJ67" s="122"/>
      <c r="CZK67" s="122"/>
      <c r="CZL67" s="122"/>
      <c r="CZM67" s="122"/>
      <c r="CZN67" s="122"/>
      <c r="CZO67" s="122"/>
      <c r="CZP67" s="122"/>
      <c r="CZQ67" s="122"/>
      <c r="CZR67" s="122"/>
      <c r="CZS67" s="122"/>
      <c r="CZT67" s="122"/>
      <c r="CZU67" s="122"/>
      <c r="CZV67" s="122"/>
      <c r="CZW67" s="122"/>
      <c r="CZX67" s="122"/>
      <c r="CZY67" s="122"/>
      <c r="CZZ67" s="122"/>
      <c r="DAA67" s="122"/>
      <c r="DAB67" s="122"/>
      <c r="DAC67" s="122"/>
      <c r="DAD67" s="122"/>
      <c r="DAE67" s="122"/>
      <c r="DAF67" s="122"/>
      <c r="DAG67" s="122"/>
      <c r="DAH67" s="122"/>
      <c r="DAI67" s="122"/>
      <c r="DAJ67" s="122"/>
      <c r="DAK67" s="122"/>
      <c r="DAL67" s="122"/>
      <c r="DAM67" s="122"/>
      <c r="DAN67" s="122"/>
      <c r="DAO67" s="122"/>
      <c r="DAP67" s="122"/>
      <c r="DAQ67" s="122"/>
      <c r="DAR67" s="122"/>
      <c r="DAS67" s="122"/>
      <c r="DAT67" s="122"/>
      <c r="DAU67" s="122"/>
      <c r="DAV67" s="122"/>
      <c r="DAW67" s="122"/>
      <c r="DAX67" s="122"/>
      <c r="DAY67" s="122"/>
      <c r="DAZ67" s="122"/>
      <c r="DBA67" s="122"/>
      <c r="DBB67" s="122"/>
      <c r="DBC67" s="122"/>
      <c r="DBD67" s="122"/>
      <c r="DBE67" s="122"/>
      <c r="DBF67" s="122"/>
      <c r="DBG67" s="122"/>
      <c r="DBH67" s="122"/>
      <c r="DBI67" s="122"/>
      <c r="DBJ67" s="122"/>
      <c r="DBK67" s="122"/>
      <c r="DBL67" s="122"/>
      <c r="DBM67" s="122"/>
      <c r="DBN67" s="122"/>
      <c r="DBO67" s="122"/>
      <c r="DBP67" s="122"/>
      <c r="DBQ67" s="122"/>
      <c r="DBR67" s="122"/>
      <c r="DBS67" s="122"/>
      <c r="DBT67" s="122"/>
      <c r="DBU67" s="122"/>
      <c r="DBV67" s="122"/>
      <c r="DBW67" s="122"/>
      <c r="DBX67" s="122"/>
      <c r="DBY67" s="122"/>
      <c r="DBZ67" s="122"/>
      <c r="DCA67" s="122"/>
      <c r="DCB67" s="122"/>
      <c r="DCC67" s="122"/>
      <c r="DCD67" s="122"/>
      <c r="DCE67" s="122"/>
      <c r="DCF67" s="122"/>
      <c r="DCG67" s="122"/>
      <c r="DCH67" s="122"/>
      <c r="DCI67" s="122"/>
      <c r="DCJ67" s="122"/>
      <c r="DCK67" s="122"/>
      <c r="DCL67" s="122"/>
      <c r="DCM67" s="122"/>
      <c r="DCN67" s="122"/>
      <c r="DCO67" s="122"/>
      <c r="DCP67" s="122"/>
      <c r="DCQ67" s="122"/>
      <c r="DCR67" s="122"/>
      <c r="DCS67" s="122"/>
      <c r="DCT67" s="122"/>
      <c r="DCU67" s="122"/>
      <c r="DCV67" s="122"/>
      <c r="DCW67" s="122"/>
      <c r="DCX67" s="122"/>
      <c r="DCY67" s="122"/>
      <c r="DCZ67" s="122"/>
      <c r="DDA67" s="122"/>
      <c r="DDB67" s="122"/>
      <c r="DDC67" s="122"/>
      <c r="DDD67" s="122"/>
      <c r="DDE67" s="122"/>
      <c r="DDF67" s="122"/>
      <c r="DDG67" s="122"/>
      <c r="DDH67" s="122"/>
      <c r="DDI67" s="122"/>
      <c r="DDJ67" s="122"/>
      <c r="DDK67" s="122"/>
      <c r="DDL67" s="122"/>
      <c r="DDM67" s="122"/>
      <c r="DDN67" s="122"/>
      <c r="DDO67" s="122"/>
      <c r="DDP67" s="122"/>
      <c r="DDQ67" s="122"/>
      <c r="DDR67" s="122"/>
      <c r="DDS67" s="122"/>
      <c r="DDT67" s="122"/>
      <c r="DDU67" s="122"/>
      <c r="DDV67" s="122"/>
      <c r="DDW67" s="122"/>
      <c r="DDX67" s="122"/>
      <c r="DDY67" s="122"/>
      <c r="DDZ67" s="122"/>
      <c r="DEA67" s="122"/>
      <c r="DEB67" s="122"/>
      <c r="DEC67" s="122"/>
      <c r="DED67" s="122"/>
      <c r="DEE67" s="122"/>
      <c r="DEF67" s="122"/>
      <c r="DEG67" s="122"/>
      <c r="DEH67" s="122"/>
      <c r="DEI67" s="122"/>
      <c r="DEJ67" s="122"/>
      <c r="DEK67" s="122"/>
      <c r="DEL67" s="122"/>
      <c r="DEM67" s="122"/>
      <c r="DEN67" s="122"/>
      <c r="DEO67" s="122"/>
      <c r="DEP67" s="122"/>
      <c r="DEQ67" s="122"/>
      <c r="DER67" s="122"/>
      <c r="DES67" s="122"/>
      <c r="DET67" s="122"/>
      <c r="DEU67" s="122"/>
      <c r="DEV67" s="122"/>
      <c r="DEW67" s="122"/>
      <c r="DEX67" s="122"/>
      <c r="DEY67" s="122"/>
      <c r="DEZ67" s="122"/>
      <c r="DFA67" s="122"/>
      <c r="DFB67" s="122"/>
      <c r="DFC67" s="122"/>
      <c r="DFD67" s="122"/>
      <c r="DFE67" s="122"/>
      <c r="DFF67" s="122"/>
      <c r="DFG67" s="122"/>
      <c r="DFH67" s="122"/>
      <c r="DFI67" s="122"/>
      <c r="DFJ67" s="122"/>
      <c r="DFK67" s="122"/>
      <c r="DFL67" s="122"/>
      <c r="DFM67" s="122"/>
      <c r="DFN67" s="122"/>
      <c r="DFO67" s="122"/>
      <c r="DFP67" s="122"/>
      <c r="DFQ67" s="122"/>
      <c r="DFR67" s="122"/>
      <c r="DFS67" s="122"/>
      <c r="DFT67" s="122"/>
      <c r="DFU67" s="122"/>
      <c r="DFV67" s="122"/>
      <c r="DFW67" s="122"/>
      <c r="DFX67" s="122"/>
      <c r="DFY67" s="122"/>
      <c r="DFZ67" s="122"/>
      <c r="DGA67" s="122"/>
      <c r="DGB67" s="122"/>
      <c r="DGC67" s="122"/>
      <c r="DGD67" s="122"/>
      <c r="DGE67" s="122"/>
      <c r="DGF67" s="122"/>
      <c r="DGG67" s="122"/>
      <c r="DGH67" s="122"/>
      <c r="DGI67" s="122"/>
      <c r="DGJ67" s="122"/>
      <c r="DGK67" s="122"/>
      <c r="DGL67" s="122"/>
      <c r="DGM67" s="122"/>
      <c r="DGN67" s="122"/>
      <c r="DGO67" s="122"/>
      <c r="DGP67" s="122"/>
      <c r="DGQ67" s="122"/>
      <c r="DGR67" s="122"/>
      <c r="DGS67" s="122"/>
      <c r="DGT67" s="122"/>
      <c r="DGU67" s="122"/>
      <c r="DGV67" s="122"/>
      <c r="DGW67" s="122"/>
      <c r="DGX67" s="122"/>
      <c r="DGY67" s="122"/>
      <c r="DGZ67" s="122"/>
      <c r="DHA67" s="122"/>
      <c r="DHB67" s="122"/>
      <c r="DHC67" s="122"/>
      <c r="DHD67" s="122"/>
      <c r="DHE67" s="122"/>
      <c r="DHF67" s="122"/>
      <c r="DHG67" s="122"/>
      <c r="DHH67" s="122"/>
      <c r="DHI67" s="122"/>
      <c r="DHJ67" s="122"/>
      <c r="DHK67" s="122"/>
      <c r="DHL67" s="122"/>
      <c r="DHM67" s="122"/>
      <c r="DHN67" s="122"/>
      <c r="DHO67" s="122"/>
      <c r="DHP67" s="122"/>
      <c r="DHQ67" s="122"/>
      <c r="DHR67" s="122"/>
      <c r="DHS67" s="122"/>
      <c r="DHT67" s="122"/>
      <c r="DHU67" s="122"/>
      <c r="DHV67" s="122"/>
      <c r="DHW67" s="122"/>
      <c r="DHX67" s="122"/>
      <c r="DHY67" s="122"/>
      <c r="DHZ67" s="122"/>
      <c r="DIA67" s="122"/>
      <c r="DIB67" s="122"/>
      <c r="DIC67" s="122"/>
      <c r="DID67" s="122"/>
      <c r="DIE67" s="122"/>
      <c r="DIF67" s="122"/>
      <c r="DIG67" s="122"/>
      <c r="DIH67" s="122"/>
      <c r="DII67" s="122"/>
      <c r="DIJ67" s="122"/>
      <c r="DIK67" s="122"/>
      <c r="DIL67" s="122"/>
      <c r="DIM67" s="122"/>
      <c r="DIN67" s="122"/>
      <c r="DIO67" s="122"/>
      <c r="DIP67" s="122"/>
      <c r="DIQ67" s="122"/>
      <c r="DIR67" s="122"/>
      <c r="DIS67" s="122"/>
      <c r="DIT67" s="122"/>
      <c r="DIU67" s="122"/>
      <c r="DIV67" s="122"/>
      <c r="DIW67" s="122"/>
      <c r="DIX67" s="122"/>
      <c r="DIY67" s="122"/>
      <c r="DIZ67" s="122"/>
      <c r="DJA67" s="122"/>
      <c r="DJB67" s="122"/>
      <c r="DJC67" s="122"/>
      <c r="DJD67" s="122"/>
      <c r="DJE67" s="122"/>
      <c r="DJF67" s="122"/>
      <c r="DJG67" s="122"/>
      <c r="DJH67" s="122"/>
      <c r="DJI67" s="122"/>
      <c r="DJJ67" s="122"/>
      <c r="DJK67" s="122"/>
      <c r="DJL67" s="122"/>
      <c r="DJM67" s="122"/>
      <c r="DJN67" s="122"/>
      <c r="DJO67" s="122"/>
      <c r="DJP67" s="122"/>
      <c r="DJQ67" s="122"/>
      <c r="DJR67" s="122"/>
      <c r="DJS67" s="122"/>
      <c r="DJT67" s="122"/>
      <c r="DJU67" s="122"/>
      <c r="DJV67" s="122"/>
      <c r="DJW67" s="122"/>
      <c r="DJX67" s="122"/>
      <c r="DJY67" s="122"/>
      <c r="DJZ67" s="122"/>
      <c r="DKA67" s="122"/>
      <c r="DKB67" s="122"/>
      <c r="DKC67" s="122"/>
      <c r="DKD67" s="122"/>
      <c r="DKE67" s="122"/>
      <c r="DKF67" s="122"/>
      <c r="DKG67" s="122"/>
      <c r="DKH67" s="122"/>
      <c r="DKI67" s="122"/>
      <c r="DKJ67" s="122"/>
      <c r="DKK67" s="122"/>
      <c r="DKL67" s="122"/>
      <c r="DKM67" s="122"/>
      <c r="DKN67" s="122"/>
      <c r="DKO67" s="122"/>
      <c r="DKP67" s="122"/>
      <c r="DKQ67" s="122"/>
      <c r="DKR67" s="122"/>
      <c r="DKS67" s="122"/>
      <c r="DKT67" s="122"/>
      <c r="DKU67" s="122"/>
      <c r="DKV67" s="122"/>
      <c r="DKW67" s="122"/>
      <c r="DKX67" s="122"/>
      <c r="DKY67" s="122"/>
      <c r="DKZ67" s="122"/>
      <c r="DLA67" s="122"/>
      <c r="DLB67" s="122"/>
      <c r="DLC67" s="122"/>
      <c r="DLD67" s="122"/>
      <c r="DLE67" s="122"/>
      <c r="DLF67" s="122"/>
      <c r="DLG67" s="122"/>
      <c r="DLH67" s="122"/>
      <c r="DLI67" s="122"/>
      <c r="DLJ67" s="122"/>
      <c r="DLK67" s="122"/>
      <c r="DLL67" s="122"/>
      <c r="DLM67" s="122"/>
      <c r="DLN67" s="122"/>
      <c r="DLO67" s="122"/>
      <c r="DLP67" s="122"/>
      <c r="DLQ67" s="122"/>
      <c r="DLR67" s="122"/>
      <c r="DLS67" s="122"/>
      <c r="DLT67" s="122"/>
      <c r="DLU67" s="122"/>
      <c r="DLV67" s="122"/>
      <c r="DLW67" s="122"/>
      <c r="DLX67" s="122"/>
      <c r="DLY67" s="122"/>
      <c r="DLZ67" s="122"/>
      <c r="DMA67" s="122"/>
      <c r="DMB67" s="122"/>
      <c r="DMC67" s="122"/>
      <c r="DMD67" s="122"/>
      <c r="DME67" s="122"/>
      <c r="DMF67" s="122"/>
      <c r="DMG67" s="122"/>
      <c r="DMH67" s="122"/>
      <c r="DMI67" s="122"/>
      <c r="DMJ67" s="122"/>
      <c r="DMK67" s="122"/>
      <c r="DML67" s="122"/>
      <c r="DMM67" s="122"/>
      <c r="DMN67" s="122"/>
      <c r="DMO67" s="122"/>
      <c r="DMP67" s="122"/>
      <c r="DMQ67" s="122"/>
      <c r="DMR67" s="122"/>
      <c r="DMS67" s="122"/>
      <c r="DMT67" s="122"/>
      <c r="DMU67" s="122"/>
      <c r="DMV67" s="122"/>
      <c r="DMW67" s="122"/>
      <c r="DMX67" s="122"/>
      <c r="DMY67" s="122"/>
      <c r="DMZ67" s="122"/>
      <c r="DNA67" s="122"/>
      <c r="DNB67" s="122"/>
      <c r="DNC67" s="122"/>
      <c r="DND67" s="122"/>
      <c r="DNE67" s="122"/>
      <c r="DNF67" s="122"/>
      <c r="DNG67" s="122"/>
      <c r="DNH67" s="122"/>
      <c r="DNI67" s="122"/>
      <c r="DNJ67" s="122"/>
      <c r="DNK67" s="122"/>
      <c r="DNL67" s="122"/>
      <c r="DNM67" s="122"/>
      <c r="DNN67" s="122"/>
      <c r="DNO67" s="122"/>
      <c r="DNP67" s="122"/>
      <c r="DNQ67" s="122"/>
      <c r="DNR67" s="122"/>
      <c r="DNS67" s="122"/>
      <c r="DNT67" s="122"/>
      <c r="DNU67" s="122"/>
      <c r="DNV67" s="122"/>
      <c r="DNW67" s="122"/>
      <c r="DNX67" s="122"/>
      <c r="DNY67" s="122"/>
      <c r="DNZ67" s="122"/>
      <c r="DOA67" s="122"/>
      <c r="DOB67" s="122"/>
      <c r="DOC67" s="122"/>
      <c r="DOD67" s="122"/>
      <c r="DOE67" s="122"/>
      <c r="DOF67" s="122"/>
      <c r="DOG67" s="122"/>
      <c r="DOH67" s="122"/>
      <c r="DOI67" s="122"/>
      <c r="DOJ67" s="122"/>
      <c r="DOK67" s="122"/>
      <c r="DOL67" s="122"/>
      <c r="DOM67" s="122"/>
      <c r="DON67" s="122"/>
      <c r="DOO67" s="122"/>
      <c r="DOP67" s="122"/>
      <c r="DOQ67" s="122"/>
      <c r="DOR67" s="122"/>
      <c r="DOS67" s="122"/>
      <c r="DOT67" s="122"/>
      <c r="DOU67" s="122"/>
      <c r="DOV67" s="122"/>
      <c r="DOW67" s="122"/>
      <c r="DOX67" s="122"/>
      <c r="DOY67" s="122"/>
      <c r="DOZ67" s="122"/>
      <c r="DPA67" s="122"/>
      <c r="DPB67" s="122"/>
      <c r="DPC67" s="122"/>
      <c r="DPD67" s="122"/>
      <c r="DPE67" s="122"/>
      <c r="DPF67" s="122"/>
      <c r="DPG67" s="122"/>
      <c r="DPH67" s="122"/>
      <c r="DPI67" s="122"/>
      <c r="DPJ67" s="122"/>
      <c r="DPK67" s="122"/>
      <c r="DPL67" s="122"/>
      <c r="DPM67" s="122"/>
      <c r="DPN67" s="122"/>
      <c r="DPO67" s="122"/>
      <c r="DPP67" s="122"/>
      <c r="DPQ67" s="122"/>
      <c r="DPR67" s="122"/>
      <c r="DPS67" s="122"/>
      <c r="DPT67" s="122"/>
      <c r="DPU67" s="122"/>
      <c r="DPV67" s="122"/>
      <c r="DPW67" s="122"/>
      <c r="DPX67" s="122"/>
      <c r="DPY67" s="122"/>
      <c r="DPZ67" s="122"/>
      <c r="DQA67" s="122"/>
      <c r="DQB67" s="122"/>
      <c r="DQC67" s="122"/>
      <c r="DQD67" s="122"/>
      <c r="DQE67" s="122"/>
      <c r="DQF67" s="122"/>
      <c r="DQG67" s="122"/>
      <c r="DQH67" s="122"/>
      <c r="DQI67" s="122"/>
      <c r="DQJ67" s="122"/>
      <c r="DQK67" s="122"/>
      <c r="DQL67" s="122"/>
      <c r="DQM67" s="122"/>
      <c r="DQN67" s="122"/>
      <c r="DQO67" s="122"/>
      <c r="DQP67" s="122"/>
      <c r="DQQ67" s="122"/>
      <c r="DQR67" s="122"/>
      <c r="DQS67" s="122"/>
      <c r="DQT67" s="122"/>
      <c r="DQU67" s="122"/>
      <c r="DQV67" s="122"/>
      <c r="DQW67" s="122"/>
      <c r="DQX67" s="122"/>
      <c r="DQY67" s="122"/>
      <c r="DQZ67" s="122"/>
      <c r="DRA67" s="122"/>
      <c r="DRB67" s="122"/>
      <c r="DRC67" s="122"/>
      <c r="DRD67" s="122"/>
      <c r="DRE67" s="122"/>
      <c r="DRF67" s="122"/>
      <c r="DRG67" s="122"/>
      <c r="DRH67" s="122"/>
      <c r="DRI67" s="122"/>
      <c r="DRJ67" s="122"/>
      <c r="DRK67" s="122"/>
      <c r="DRL67" s="122"/>
      <c r="DRM67" s="122"/>
      <c r="DRN67" s="122"/>
      <c r="DRO67" s="122"/>
      <c r="DRP67" s="122"/>
      <c r="DRQ67" s="122"/>
      <c r="DRR67" s="122"/>
      <c r="DRS67" s="122"/>
      <c r="DRT67" s="122"/>
      <c r="DRU67" s="122"/>
      <c r="DRV67" s="122"/>
      <c r="DRW67" s="122"/>
      <c r="DRX67" s="122"/>
      <c r="DRY67" s="122"/>
      <c r="DRZ67" s="122"/>
      <c r="DSA67" s="122"/>
      <c r="DSB67" s="122"/>
      <c r="DSC67" s="122"/>
      <c r="DSD67" s="122"/>
      <c r="DSE67" s="122"/>
      <c r="DSF67" s="122"/>
      <c r="DSG67" s="122"/>
      <c r="DSH67" s="122"/>
      <c r="DSI67" s="122"/>
      <c r="DSJ67" s="122"/>
      <c r="DSK67" s="122"/>
      <c r="DSL67" s="122"/>
      <c r="DSM67" s="122"/>
      <c r="DSN67" s="122"/>
      <c r="DSO67" s="122"/>
      <c r="DSP67" s="122"/>
      <c r="DSQ67" s="122"/>
      <c r="DSR67" s="122"/>
      <c r="DSS67" s="122"/>
      <c r="DST67" s="122"/>
      <c r="DSU67" s="122"/>
      <c r="DSV67" s="122"/>
      <c r="DSW67" s="122"/>
      <c r="DSX67" s="122"/>
      <c r="DSY67" s="122"/>
      <c r="DSZ67" s="122"/>
      <c r="DTA67" s="122"/>
      <c r="DTB67" s="122"/>
      <c r="DTC67" s="122"/>
      <c r="DTD67" s="122"/>
      <c r="DTE67" s="122"/>
      <c r="DTF67" s="122"/>
      <c r="DTG67" s="122"/>
      <c r="DTH67" s="122"/>
      <c r="DTI67" s="122"/>
      <c r="DTJ67" s="122"/>
      <c r="DTK67" s="122"/>
      <c r="DTL67" s="122"/>
      <c r="DTM67" s="122"/>
      <c r="DTN67" s="122"/>
      <c r="DTO67" s="122"/>
      <c r="DTP67" s="122"/>
      <c r="DTQ67" s="122"/>
      <c r="DTR67" s="122"/>
      <c r="DTS67" s="122"/>
      <c r="DTT67" s="122"/>
      <c r="DTU67" s="122"/>
      <c r="DTV67" s="122"/>
      <c r="DTW67" s="122"/>
      <c r="DTX67" s="122"/>
      <c r="DTY67" s="122"/>
      <c r="DTZ67" s="122"/>
      <c r="DUA67" s="122"/>
      <c r="DUB67" s="122"/>
      <c r="DUC67" s="122"/>
      <c r="DUD67" s="122"/>
      <c r="DUE67" s="122"/>
      <c r="DUF67" s="122"/>
      <c r="DUG67" s="122"/>
      <c r="DUH67" s="122"/>
      <c r="DUI67" s="122"/>
      <c r="DUJ67" s="122"/>
      <c r="DUK67" s="122"/>
      <c r="DUL67" s="122"/>
      <c r="DUM67" s="122"/>
      <c r="DUN67" s="122"/>
      <c r="DUO67" s="122"/>
      <c r="DUP67" s="122"/>
      <c r="DUQ67" s="122"/>
      <c r="DUR67" s="122"/>
      <c r="DUS67" s="122"/>
      <c r="DUT67" s="122"/>
      <c r="DUU67" s="122"/>
      <c r="DUV67" s="122"/>
      <c r="DUW67" s="122"/>
      <c r="DUX67" s="122"/>
      <c r="DUY67" s="122"/>
      <c r="DUZ67" s="122"/>
      <c r="DVA67" s="122"/>
      <c r="DVB67" s="122"/>
      <c r="DVC67" s="122"/>
      <c r="DVD67" s="122"/>
      <c r="DVE67" s="122"/>
      <c r="DVF67" s="122"/>
      <c r="DVG67" s="122"/>
      <c r="DVH67" s="122"/>
      <c r="DVI67" s="122"/>
      <c r="DVJ67" s="122"/>
      <c r="DVK67" s="122"/>
      <c r="DVL67" s="122"/>
      <c r="DVM67" s="122"/>
      <c r="DVN67" s="122"/>
      <c r="DVO67" s="122"/>
      <c r="DVP67" s="122"/>
      <c r="DVQ67" s="122"/>
      <c r="DVR67" s="122"/>
      <c r="DVS67" s="122"/>
      <c r="DVT67" s="122"/>
      <c r="DVU67" s="122"/>
      <c r="DVV67" s="122"/>
      <c r="DVW67" s="122"/>
      <c r="DVX67" s="122"/>
      <c r="DVY67" s="122"/>
      <c r="DVZ67" s="122"/>
      <c r="DWA67" s="122"/>
      <c r="DWB67" s="122"/>
      <c r="DWC67" s="122"/>
      <c r="DWD67" s="122"/>
      <c r="DWE67" s="122"/>
      <c r="DWF67" s="122"/>
      <c r="DWG67" s="122"/>
      <c r="DWH67" s="122"/>
      <c r="DWI67" s="122"/>
      <c r="DWJ67" s="122"/>
      <c r="DWK67" s="122"/>
      <c r="DWL67" s="122"/>
      <c r="DWM67" s="122"/>
      <c r="DWN67" s="122"/>
      <c r="DWO67" s="122"/>
      <c r="DWP67" s="122"/>
      <c r="DWQ67" s="122"/>
      <c r="DWR67" s="122"/>
      <c r="DWS67" s="122"/>
      <c r="DWT67" s="122"/>
      <c r="DWU67" s="122"/>
      <c r="DWV67" s="122"/>
      <c r="DWW67" s="122"/>
      <c r="DWX67" s="122"/>
      <c r="DWY67" s="122"/>
      <c r="DWZ67" s="122"/>
      <c r="DXA67" s="122"/>
      <c r="DXB67" s="122"/>
      <c r="DXC67" s="122"/>
      <c r="DXD67" s="122"/>
      <c r="DXE67" s="122"/>
      <c r="DXF67" s="122"/>
      <c r="DXG67" s="122"/>
      <c r="DXH67" s="122"/>
      <c r="DXI67" s="122"/>
      <c r="DXJ67" s="122"/>
      <c r="DXK67" s="122"/>
      <c r="DXL67" s="122"/>
      <c r="DXM67" s="122"/>
      <c r="DXN67" s="122"/>
      <c r="DXO67" s="122"/>
      <c r="DXP67" s="122"/>
      <c r="DXQ67" s="122"/>
      <c r="DXR67" s="122"/>
      <c r="DXS67" s="122"/>
      <c r="DXT67" s="122"/>
      <c r="DXU67" s="122"/>
      <c r="DXV67" s="122"/>
      <c r="DXW67" s="122"/>
      <c r="DXX67" s="122"/>
      <c r="DXY67" s="122"/>
      <c r="DXZ67" s="122"/>
      <c r="DYA67" s="122"/>
      <c r="DYB67" s="122"/>
      <c r="DYC67" s="122"/>
      <c r="DYD67" s="122"/>
      <c r="DYE67" s="122"/>
      <c r="DYF67" s="122"/>
      <c r="DYG67" s="122"/>
      <c r="DYH67" s="122"/>
      <c r="DYI67" s="122"/>
      <c r="DYJ67" s="122"/>
      <c r="DYK67" s="122"/>
      <c r="DYL67" s="122"/>
      <c r="DYM67" s="122"/>
      <c r="DYN67" s="122"/>
      <c r="DYO67" s="122"/>
      <c r="DYP67" s="122"/>
      <c r="DYQ67" s="122"/>
      <c r="DYR67" s="122"/>
      <c r="DYS67" s="122"/>
      <c r="DYT67" s="122"/>
      <c r="DYU67" s="122"/>
      <c r="DYV67" s="122"/>
      <c r="DYW67" s="122"/>
      <c r="DYX67" s="122"/>
      <c r="DYY67" s="122"/>
      <c r="DYZ67" s="122"/>
      <c r="DZA67" s="122"/>
      <c r="DZB67" s="122"/>
      <c r="DZC67" s="122"/>
      <c r="DZD67" s="122"/>
      <c r="DZE67" s="122"/>
      <c r="DZF67" s="122"/>
      <c r="DZG67" s="122"/>
      <c r="DZH67" s="122"/>
      <c r="DZI67" s="122"/>
      <c r="DZJ67" s="122"/>
      <c r="DZK67" s="122"/>
      <c r="DZL67" s="122"/>
      <c r="DZM67" s="122"/>
      <c r="DZN67" s="122"/>
      <c r="DZO67" s="122"/>
      <c r="DZP67" s="122"/>
      <c r="DZQ67" s="122"/>
      <c r="DZR67" s="122"/>
      <c r="DZS67" s="122"/>
      <c r="DZT67" s="122"/>
      <c r="DZU67" s="122"/>
      <c r="DZV67" s="122"/>
      <c r="DZW67" s="122"/>
      <c r="DZX67" s="122"/>
      <c r="DZY67" s="122"/>
      <c r="DZZ67" s="122"/>
      <c r="EAA67" s="122"/>
      <c r="EAB67" s="122"/>
      <c r="EAC67" s="122"/>
      <c r="EAD67" s="122"/>
      <c r="EAE67" s="122"/>
      <c r="EAF67" s="122"/>
      <c r="EAG67" s="122"/>
      <c r="EAH67" s="122"/>
      <c r="EAI67" s="122"/>
      <c r="EAJ67" s="122"/>
      <c r="EAK67" s="122"/>
      <c r="EAL67" s="122"/>
      <c r="EAM67" s="122"/>
      <c r="EAN67" s="122"/>
      <c r="EAO67" s="122"/>
      <c r="EAP67" s="122"/>
      <c r="EAQ67" s="122"/>
      <c r="EAR67" s="122"/>
      <c r="EAS67" s="122"/>
      <c r="EAT67" s="122"/>
      <c r="EAU67" s="122"/>
      <c r="EAV67" s="122"/>
      <c r="EAW67" s="122"/>
      <c r="EAX67" s="122"/>
      <c r="EAY67" s="122"/>
      <c r="EAZ67" s="122"/>
      <c r="EBA67" s="122"/>
      <c r="EBB67" s="122"/>
      <c r="EBC67" s="122"/>
      <c r="EBD67" s="122"/>
      <c r="EBE67" s="122"/>
      <c r="EBF67" s="122"/>
      <c r="EBG67" s="122"/>
      <c r="EBH67" s="122"/>
      <c r="EBI67" s="122"/>
      <c r="EBJ67" s="122"/>
      <c r="EBK67" s="122"/>
      <c r="EBL67" s="122"/>
      <c r="EBM67" s="122"/>
      <c r="EBN67" s="122"/>
      <c r="EBO67" s="122"/>
      <c r="EBP67" s="122"/>
      <c r="EBQ67" s="122"/>
      <c r="EBR67" s="122"/>
      <c r="EBS67" s="122"/>
      <c r="EBT67" s="122"/>
      <c r="EBU67" s="122"/>
      <c r="EBV67" s="122"/>
      <c r="EBW67" s="122"/>
      <c r="EBX67" s="122"/>
      <c r="EBY67" s="122"/>
      <c r="EBZ67" s="122"/>
      <c r="ECA67" s="122"/>
      <c r="ECB67" s="122"/>
      <c r="ECC67" s="122"/>
      <c r="ECD67" s="122"/>
      <c r="ECE67" s="122"/>
      <c r="ECF67" s="122"/>
      <c r="ECG67" s="122"/>
      <c r="ECH67" s="122"/>
      <c r="ECI67" s="122"/>
      <c r="ECJ67" s="122"/>
      <c r="ECK67" s="122"/>
      <c r="ECL67" s="122"/>
      <c r="ECM67" s="122"/>
      <c r="ECN67" s="122"/>
      <c r="ECO67" s="122"/>
      <c r="ECP67" s="122"/>
      <c r="ECQ67" s="122"/>
      <c r="ECR67" s="122"/>
      <c r="ECS67" s="122"/>
      <c r="ECT67" s="122"/>
      <c r="ECU67" s="122"/>
      <c r="ECV67" s="122"/>
      <c r="ECW67" s="122"/>
      <c r="ECX67" s="122"/>
      <c r="ECY67" s="122"/>
      <c r="ECZ67" s="122"/>
      <c r="EDA67" s="122"/>
      <c r="EDB67" s="122"/>
      <c r="EDC67" s="122"/>
      <c r="EDD67" s="122"/>
      <c r="EDE67" s="122"/>
      <c r="EDF67" s="122"/>
      <c r="EDG67" s="122"/>
      <c r="EDH67" s="122"/>
      <c r="EDI67" s="122"/>
      <c r="EDJ67" s="122"/>
      <c r="EDK67" s="122"/>
      <c r="EDL67" s="122"/>
      <c r="EDM67" s="122"/>
      <c r="EDN67" s="122"/>
      <c r="EDO67" s="122"/>
      <c r="EDP67" s="122"/>
      <c r="EDQ67" s="122"/>
      <c r="EDR67" s="122"/>
      <c r="EDS67" s="122"/>
      <c r="EDT67" s="122"/>
      <c r="EDU67" s="122"/>
      <c r="EDV67" s="122"/>
      <c r="EDW67" s="122"/>
      <c r="EDX67" s="122"/>
      <c r="EDY67" s="122"/>
      <c r="EDZ67" s="122"/>
      <c r="EEA67" s="122"/>
      <c r="EEB67" s="122"/>
      <c r="EEC67" s="122"/>
      <c r="EED67" s="122"/>
      <c r="EEE67" s="122"/>
      <c r="EEF67" s="122"/>
      <c r="EEG67" s="122"/>
      <c r="EEH67" s="122"/>
      <c r="EEI67" s="122"/>
      <c r="EEJ67" s="122"/>
      <c r="EEK67" s="122"/>
      <c r="EEL67" s="122"/>
      <c r="EEM67" s="122"/>
      <c r="EEN67" s="122"/>
      <c r="EEO67" s="122"/>
      <c r="EEP67" s="122"/>
      <c r="EEQ67" s="122"/>
      <c r="EER67" s="122"/>
      <c r="EES67" s="122"/>
      <c r="EET67" s="122"/>
      <c r="EEU67" s="122"/>
      <c r="EEV67" s="122"/>
      <c r="EEW67" s="122"/>
      <c r="EEX67" s="122"/>
      <c r="EEY67" s="122"/>
      <c r="EEZ67" s="122"/>
      <c r="EFA67" s="122"/>
      <c r="EFB67" s="122"/>
      <c r="EFC67" s="122"/>
      <c r="EFD67" s="122"/>
      <c r="EFE67" s="122"/>
      <c r="EFF67" s="122"/>
      <c r="EFG67" s="122"/>
      <c r="EFH67" s="122"/>
      <c r="EFI67" s="122"/>
      <c r="EFJ67" s="122"/>
      <c r="EFK67" s="122"/>
      <c r="EFL67" s="122"/>
      <c r="EFM67" s="122"/>
      <c r="EFN67" s="122"/>
      <c r="EFO67" s="122"/>
      <c r="EFP67" s="122"/>
      <c r="EFQ67" s="122"/>
      <c r="EFR67" s="122"/>
      <c r="EFS67" s="122"/>
      <c r="EFT67" s="122"/>
      <c r="EFU67" s="122"/>
      <c r="EFV67" s="122"/>
      <c r="EFW67" s="122"/>
      <c r="EFX67" s="122"/>
      <c r="EFY67" s="122"/>
      <c r="EFZ67" s="122"/>
      <c r="EGA67" s="122"/>
      <c r="EGB67" s="122"/>
      <c r="EGC67" s="122"/>
      <c r="EGD67" s="122"/>
      <c r="EGE67" s="122"/>
      <c r="EGF67" s="122"/>
      <c r="EGG67" s="122"/>
      <c r="EGH67" s="122"/>
      <c r="EGI67" s="122"/>
      <c r="EGJ67" s="122"/>
      <c r="EGK67" s="122"/>
      <c r="EGL67" s="122"/>
      <c r="EGM67" s="122"/>
      <c r="EGN67" s="122"/>
      <c r="EGO67" s="122"/>
      <c r="EGP67" s="122"/>
      <c r="EGQ67" s="122"/>
      <c r="EGR67" s="122"/>
      <c r="EGS67" s="122"/>
      <c r="EGT67" s="122"/>
      <c r="EGU67" s="122"/>
      <c r="EGV67" s="122"/>
      <c r="EGW67" s="122"/>
      <c r="EGX67" s="122"/>
      <c r="EGY67" s="122"/>
      <c r="EGZ67" s="122"/>
      <c r="EHA67" s="122"/>
      <c r="EHB67" s="122"/>
      <c r="EHC67" s="122"/>
      <c r="EHD67" s="122"/>
      <c r="EHE67" s="122"/>
      <c r="EHF67" s="122"/>
      <c r="EHG67" s="122"/>
      <c r="EHH67" s="122"/>
      <c r="EHI67" s="122"/>
      <c r="EHJ67" s="122"/>
      <c r="EHK67" s="122"/>
      <c r="EHL67" s="122"/>
      <c r="EHM67" s="122"/>
      <c r="EHN67" s="122"/>
      <c r="EHO67" s="122"/>
      <c r="EHP67" s="122"/>
      <c r="EHQ67" s="122"/>
      <c r="EHR67" s="122"/>
      <c r="EHS67" s="122"/>
      <c r="EHT67" s="122"/>
      <c r="EHU67" s="122"/>
      <c r="EHV67" s="122"/>
      <c r="EHW67" s="122"/>
      <c r="EHX67" s="122"/>
      <c r="EHY67" s="122"/>
      <c r="EHZ67" s="122"/>
      <c r="EIA67" s="122"/>
      <c r="EIB67" s="122"/>
      <c r="EIC67" s="122"/>
      <c r="EID67" s="122"/>
      <c r="EIE67" s="122"/>
      <c r="EIF67" s="122"/>
      <c r="EIG67" s="122"/>
      <c r="EIH67" s="122"/>
      <c r="EII67" s="122"/>
      <c r="EIJ67" s="122"/>
      <c r="EIK67" s="122"/>
      <c r="EIL67" s="122"/>
      <c r="EIM67" s="122"/>
      <c r="EIN67" s="122"/>
      <c r="EIO67" s="122"/>
      <c r="EIP67" s="122"/>
      <c r="EIQ67" s="122"/>
      <c r="EIR67" s="122"/>
      <c r="EIS67" s="122"/>
      <c r="EIT67" s="122"/>
      <c r="EIU67" s="122"/>
      <c r="EIV67" s="122"/>
      <c r="EIW67" s="122"/>
      <c r="EIX67" s="122"/>
      <c r="EIY67" s="122"/>
      <c r="EIZ67" s="122"/>
      <c r="EJA67" s="122"/>
      <c r="EJB67" s="122"/>
      <c r="EJC67" s="122"/>
      <c r="EJD67" s="122"/>
      <c r="EJE67" s="122"/>
      <c r="EJF67" s="122"/>
      <c r="EJG67" s="122"/>
      <c r="EJH67" s="122"/>
      <c r="EJI67" s="122"/>
      <c r="EJJ67" s="122"/>
      <c r="EJK67" s="122"/>
      <c r="EJL67" s="122"/>
      <c r="EJM67" s="122"/>
      <c r="EJN67" s="122"/>
      <c r="EJO67" s="122"/>
      <c r="EJP67" s="122"/>
      <c r="EJQ67" s="122"/>
      <c r="EJR67" s="122"/>
      <c r="EJS67" s="122"/>
      <c r="EJT67" s="122"/>
      <c r="EJU67" s="122"/>
      <c r="EJV67" s="122"/>
      <c r="EJW67" s="122"/>
      <c r="EJX67" s="122"/>
      <c r="EJY67" s="122"/>
      <c r="EJZ67" s="122"/>
      <c r="EKA67" s="122"/>
      <c r="EKB67" s="122"/>
      <c r="EKC67" s="122"/>
      <c r="EKD67" s="122"/>
      <c r="EKE67" s="122"/>
      <c r="EKF67" s="122"/>
      <c r="EKG67" s="122"/>
      <c r="EKH67" s="122"/>
      <c r="EKI67" s="122"/>
      <c r="EKJ67" s="122"/>
      <c r="EKK67" s="122"/>
      <c r="EKL67" s="122"/>
      <c r="EKM67" s="122"/>
      <c r="EKN67" s="122"/>
      <c r="EKO67" s="122"/>
      <c r="EKP67" s="122"/>
      <c r="EKQ67" s="122"/>
      <c r="EKR67" s="122"/>
      <c r="EKS67" s="122"/>
      <c r="EKT67" s="122"/>
      <c r="EKU67" s="122"/>
      <c r="EKV67" s="122"/>
      <c r="EKW67" s="122"/>
      <c r="EKX67" s="122"/>
      <c r="EKY67" s="122"/>
      <c r="EKZ67" s="122"/>
      <c r="ELA67" s="122"/>
      <c r="ELB67" s="122"/>
      <c r="ELC67" s="122"/>
      <c r="ELD67" s="122"/>
      <c r="ELE67" s="122"/>
      <c r="ELF67" s="122"/>
      <c r="ELG67" s="122"/>
      <c r="ELH67" s="122"/>
      <c r="ELI67" s="122"/>
      <c r="ELJ67" s="122"/>
      <c r="ELK67" s="122"/>
      <c r="ELL67" s="122"/>
      <c r="ELM67" s="122"/>
      <c r="ELN67" s="122"/>
      <c r="ELO67" s="122"/>
      <c r="ELP67" s="122"/>
      <c r="ELQ67" s="122"/>
      <c r="ELR67" s="122"/>
      <c r="ELS67" s="122"/>
      <c r="ELT67" s="122"/>
      <c r="ELU67" s="122"/>
      <c r="ELV67" s="122"/>
      <c r="ELW67" s="122"/>
      <c r="ELX67" s="122"/>
      <c r="ELY67" s="122"/>
      <c r="ELZ67" s="122"/>
      <c r="EMA67" s="122"/>
      <c r="EMB67" s="122"/>
      <c r="EMC67" s="122"/>
      <c r="EMD67" s="122"/>
      <c r="EME67" s="122"/>
      <c r="EMF67" s="122"/>
      <c r="EMG67" s="122"/>
      <c r="EMH67" s="122"/>
      <c r="EMI67" s="122"/>
      <c r="EMJ67" s="122"/>
      <c r="EMK67" s="122"/>
      <c r="EML67" s="122"/>
      <c r="EMM67" s="122"/>
      <c r="EMN67" s="122"/>
      <c r="EMO67" s="122"/>
      <c r="EMP67" s="122"/>
      <c r="EMQ67" s="122"/>
      <c r="EMR67" s="122"/>
      <c r="EMS67" s="122"/>
      <c r="EMT67" s="122"/>
      <c r="EMU67" s="122"/>
      <c r="EMV67" s="122"/>
      <c r="EMW67" s="122"/>
      <c r="EMX67" s="122"/>
      <c r="EMY67" s="122"/>
      <c r="EMZ67" s="122"/>
      <c r="ENA67" s="122"/>
      <c r="ENB67" s="122"/>
      <c r="ENC67" s="122"/>
      <c r="END67" s="122"/>
      <c r="ENE67" s="122"/>
      <c r="ENF67" s="122"/>
      <c r="ENG67" s="122"/>
      <c r="ENH67" s="122"/>
      <c r="ENI67" s="122"/>
      <c r="ENJ67" s="122"/>
      <c r="ENK67" s="122"/>
      <c r="ENL67" s="122"/>
      <c r="ENM67" s="122"/>
      <c r="ENN67" s="122"/>
      <c r="ENO67" s="122"/>
      <c r="ENP67" s="122"/>
      <c r="ENQ67" s="122"/>
      <c r="ENR67" s="122"/>
      <c r="ENS67" s="122"/>
      <c r="ENT67" s="122"/>
      <c r="ENU67" s="122"/>
      <c r="ENV67" s="122"/>
      <c r="ENW67" s="122"/>
      <c r="ENX67" s="122"/>
      <c r="ENY67" s="122"/>
      <c r="ENZ67" s="122"/>
      <c r="EOA67" s="122"/>
      <c r="EOB67" s="122"/>
      <c r="EOC67" s="122"/>
      <c r="EOD67" s="122"/>
      <c r="EOE67" s="122"/>
      <c r="EOF67" s="122"/>
      <c r="EOG67" s="122"/>
      <c r="EOH67" s="122"/>
      <c r="EOI67" s="122"/>
      <c r="EOJ67" s="122"/>
      <c r="EOK67" s="122"/>
      <c r="EOL67" s="122"/>
      <c r="EOM67" s="122"/>
      <c r="EON67" s="122"/>
      <c r="EOO67" s="122"/>
      <c r="EOP67" s="122"/>
      <c r="EOQ67" s="122"/>
      <c r="EOR67" s="122"/>
      <c r="EOS67" s="122"/>
      <c r="EOT67" s="122"/>
      <c r="EOU67" s="122"/>
      <c r="EOV67" s="122"/>
      <c r="EOW67" s="122"/>
      <c r="EOX67" s="122"/>
      <c r="EOY67" s="122"/>
      <c r="EOZ67" s="122"/>
      <c r="EPA67" s="122"/>
      <c r="EPB67" s="122"/>
      <c r="EPC67" s="122"/>
      <c r="EPD67" s="122"/>
      <c r="EPE67" s="122"/>
      <c r="EPF67" s="122"/>
      <c r="EPG67" s="122"/>
      <c r="EPH67" s="122"/>
      <c r="EPI67" s="122"/>
      <c r="EPJ67" s="122"/>
      <c r="EPK67" s="122"/>
      <c r="EPL67" s="122"/>
      <c r="EPM67" s="122"/>
      <c r="EPN67" s="122"/>
      <c r="EPO67" s="122"/>
      <c r="EPP67" s="122"/>
      <c r="EPQ67" s="122"/>
      <c r="EPR67" s="122"/>
      <c r="EPS67" s="122"/>
      <c r="EPT67" s="122"/>
      <c r="EPU67" s="122"/>
      <c r="EPV67" s="122"/>
      <c r="EPW67" s="122"/>
      <c r="EPX67" s="122"/>
      <c r="EPY67" s="122"/>
      <c r="EPZ67" s="122"/>
      <c r="EQA67" s="122"/>
      <c r="EQB67" s="122"/>
      <c r="EQC67" s="122"/>
      <c r="EQD67" s="122"/>
      <c r="EQE67" s="122"/>
      <c r="EQF67" s="122"/>
      <c r="EQG67" s="122"/>
      <c r="EQH67" s="122"/>
      <c r="EQI67" s="122"/>
      <c r="EQJ67" s="122"/>
      <c r="EQK67" s="122"/>
      <c r="EQL67" s="122"/>
      <c r="EQM67" s="122"/>
      <c r="EQN67" s="122"/>
      <c r="EQO67" s="122"/>
      <c r="EQP67" s="122"/>
      <c r="EQQ67" s="122"/>
      <c r="EQR67" s="122"/>
      <c r="EQS67" s="122"/>
      <c r="EQT67" s="122"/>
      <c r="EQU67" s="122"/>
      <c r="EQV67" s="122"/>
      <c r="EQW67" s="122"/>
      <c r="EQX67" s="122"/>
      <c r="EQY67" s="122"/>
      <c r="EQZ67" s="122"/>
      <c r="ERA67" s="122"/>
      <c r="ERB67" s="122"/>
      <c r="ERC67" s="122"/>
      <c r="ERD67" s="122"/>
      <c r="ERE67" s="122"/>
      <c r="ERF67" s="122"/>
      <c r="ERG67" s="122"/>
      <c r="ERH67" s="122"/>
      <c r="ERI67" s="122"/>
      <c r="ERJ67" s="122"/>
      <c r="ERK67" s="122"/>
      <c r="ERL67" s="122"/>
      <c r="ERM67" s="122"/>
      <c r="ERN67" s="122"/>
      <c r="ERO67" s="122"/>
      <c r="ERP67" s="122"/>
      <c r="ERQ67" s="122"/>
      <c r="ERR67" s="122"/>
      <c r="ERS67" s="122"/>
      <c r="ERT67" s="122"/>
      <c r="ERU67" s="122"/>
      <c r="ERV67" s="122"/>
      <c r="ERW67" s="122"/>
      <c r="ERX67" s="122"/>
      <c r="ERY67" s="122"/>
      <c r="ERZ67" s="122"/>
      <c r="ESA67" s="122"/>
      <c r="ESB67" s="122"/>
      <c r="ESC67" s="122"/>
      <c r="ESD67" s="122"/>
      <c r="ESE67" s="122"/>
      <c r="ESF67" s="122"/>
      <c r="ESG67" s="122"/>
      <c r="ESH67" s="122"/>
      <c r="ESI67" s="122"/>
      <c r="ESJ67" s="122"/>
      <c r="ESK67" s="122"/>
      <c r="ESL67" s="122"/>
      <c r="ESM67" s="122"/>
      <c r="ESN67" s="122"/>
      <c r="ESO67" s="122"/>
      <c r="ESP67" s="122"/>
      <c r="ESQ67" s="122"/>
      <c r="ESR67" s="122"/>
      <c r="ESS67" s="122"/>
      <c r="EST67" s="122"/>
      <c r="ESU67" s="122"/>
      <c r="ESV67" s="122"/>
      <c r="ESW67" s="122"/>
      <c r="ESX67" s="122"/>
      <c r="ESY67" s="122"/>
      <c r="ESZ67" s="122"/>
      <c r="ETA67" s="122"/>
      <c r="ETB67" s="122"/>
      <c r="ETC67" s="122"/>
      <c r="ETD67" s="122"/>
      <c r="ETE67" s="122"/>
      <c r="ETF67" s="122"/>
      <c r="ETG67" s="122"/>
      <c r="ETH67" s="122"/>
      <c r="ETI67" s="122"/>
      <c r="ETJ67" s="122"/>
      <c r="ETK67" s="122"/>
      <c r="ETL67" s="122"/>
      <c r="ETM67" s="122"/>
      <c r="ETN67" s="122"/>
      <c r="ETO67" s="122"/>
      <c r="ETP67" s="122"/>
      <c r="ETQ67" s="122"/>
      <c r="ETR67" s="122"/>
      <c r="ETS67" s="122"/>
      <c r="ETT67" s="122"/>
      <c r="ETU67" s="122"/>
      <c r="ETV67" s="122"/>
      <c r="ETW67" s="122"/>
      <c r="ETX67" s="122"/>
      <c r="ETY67" s="122"/>
      <c r="ETZ67" s="122"/>
      <c r="EUA67" s="122"/>
      <c r="EUB67" s="122"/>
      <c r="EUC67" s="122"/>
      <c r="EUD67" s="122"/>
      <c r="EUE67" s="122"/>
      <c r="EUF67" s="122"/>
      <c r="EUG67" s="122"/>
      <c r="EUH67" s="122"/>
      <c r="EUI67" s="122"/>
      <c r="EUJ67" s="122"/>
      <c r="EUK67" s="122"/>
      <c r="EUL67" s="122"/>
      <c r="EUM67" s="122"/>
      <c r="EUN67" s="122"/>
      <c r="EUO67" s="122"/>
      <c r="EUP67" s="122"/>
      <c r="EUQ67" s="122"/>
      <c r="EUR67" s="122"/>
      <c r="EUS67" s="122"/>
      <c r="EUT67" s="122"/>
      <c r="EUU67" s="122"/>
      <c r="EUV67" s="122"/>
      <c r="EUW67" s="122"/>
      <c r="EUX67" s="122"/>
      <c r="EUY67" s="122"/>
      <c r="EUZ67" s="122"/>
      <c r="EVA67" s="122"/>
      <c r="EVB67" s="122"/>
      <c r="EVC67" s="122"/>
      <c r="EVD67" s="122"/>
      <c r="EVE67" s="122"/>
      <c r="EVF67" s="122"/>
      <c r="EVG67" s="122"/>
      <c r="EVH67" s="122"/>
      <c r="EVI67" s="122"/>
      <c r="EVJ67" s="122"/>
      <c r="EVK67" s="122"/>
      <c r="EVL67" s="122"/>
      <c r="EVM67" s="122"/>
      <c r="EVN67" s="122"/>
      <c r="EVO67" s="122"/>
      <c r="EVP67" s="122"/>
      <c r="EVQ67" s="122"/>
      <c r="EVR67" s="122"/>
      <c r="EVS67" s="122"/>
      <c r="EVT67" s="122"/>
      <c r="EVU67" s="122"/>
      <c r="EVV67" s="122"/>
      <c r="EVW67" s="122"/>
      <c r="EVX67" s="122"/>
      <c r="EVY67" s="122"/>
      <c r="EVZ67" s="122"/>
      <c r="EWA67" s="122"/>
      <c r="EWB67" s="122"/>
      <c r="EWC67" s="122"/>
      <c r="EWD67" s="122"/>
      <c r="EWE67" s="122"/>
      <c r="EWF67" s="122"/>
      <c r="EWG67" s="122"/>
      <c r="EWH67" s="122"/>
      <c r="EWI67" s="122"/>
      <c r="EWJ67" s="122"/>
      <c r="EWK67" s="122"/>
      <c r="EWL67" s="122"/>
      <c r="EWM67" s="122"/>
      <c r="EWN67" s="122"/>
      <c r="EWO67" s="122"/>
      <c r="EWP67" s="122"/>
      <c r="EWQ67" s="122"/>
      <c r="EWR67" s="122"/>
      <c r="EWS67" s="122"/>
      <c r="EWT67" s="122"/>
      <c r="EWU67" s="122"/>
      <c r="EWV67" s="122"/>
      <c r="EWW67" s="122"/>
      <c r="EWX67" s="122"/>
      <c r="EWY67" s="122"/>
      <c r="EWZ67" s="122"/>
      <c r="EXA67" s="122"/>
      <c r="EXB67" s="122"/>
      <c r="EXC67" s="122"/>
      <c r="EXD67" s="122"/>
      <c r="EXE67" s="122"/>
      <c r="EXF67" s="122"/>
      <c r="EXG67" s="122"/>
      <c r="EXH67" s="122"/>
      <c r="EXI67" s="122"/>
      <c r="EXJ67" s="122"/>
      <c r="EXK67" s="122"/>
      <c r="EXL67" s="122"/>
      <c r="EXM67" s="122"/>
      <c r="EXN67" s="122"/>
      <c r="EXO67" s="122"/>
      <c r="EXP67" s="122"/>
      <c r="EXQ67" s="122"/>
      <c r="EXR67" s="122"/>
      <c r="EXS67" s="122"/>
      <c r="EXT67" s="122"/>
      <c r="EXU67" s="122"/>
      <c r="EXV67" s="122"/>
      <c r="EXW67" s="122"/>
      <c r="EXX67" s="122"/>
      <c r="EXY67" s="122"/>
      <c r="EXZ67" s="122"/>
      <c r="EYA67" s="122"/>
      <c r="EYB67" s="122"/>
      <c r="EYC67" s="122"/>
      <c r="EYD67" s="122"/>
      <c r="EYE67" s="122"/>
      <c r="EYF67" s="122"/>
      <c r="EYG67" s="122"/>
      <c r="EYH67" s="122"/>
      <c r="EYI67" s="122"/>
      <c r="EYJ67" s="122"/>
      <c r="EYK67" s="122"/>
      <c r="EYL67" s="122"/>
      <c r="EYM67" s="122"/>
      <c r="EYN67" s="122"/>
      <c r="EYO67" s="122"/>
      <c r="EYP67" s="122"/>
      <c r="EYQ67" s="122"/>
      <c r="EYR67" s="122"/>
      <c r="EYS67" s="122"/>
      <c r="EYT67" s="122"/>
      <c r="EYU67" s="122"/>
      <c r="EYV67" s="122"/>
      <c r="EYW67" s="122"/>
      <c r="EYX67" s="122"/>
      <c r="EYY67" s="122"/>
      <c r="EYZ67" s="122"/>
      <c r="EZA67" s="122"/>
      <c r="EZB67" s="122"/>
      <c r="EZC67" s="122"/>
      <c r="EZD67" s="122"/>
      <c r="EZE67" s="122"/>
      <c r="EZF67" s="122"/>
      <c r="EZG67" s="122"/>
      <c r="EZH67" s="122"/>
      <c r="EZI67" s="122"/>
      <c r="EZJ67" s="122"/>
      <c r="EZK67" s="122"/>
      <c r="EZL67" s="122"/>
      <c r="EZM67" s="122"/>
      <c r="EZN67" s="122"/>
      <c r="EZO67" s="122"/>
      <c r="EZP67" s="122"/>
      <c r="EZQ67" s="122"/>
      <c r="EZR67" s="122"/>
      <c r="EZS67" s="122"/>
      <c r="EZT67" s="122"/>
      <c r="EZU67" s="122"/>
      <c r="EZV67" s="122"/>
      <c r="EZW67" s="122"/>
      <c r="EZX67" s="122"/>
      <c r="EZY67" s="122"/>
      <c r="EZZ67" s="122"/>
      <c r="FAA67" s="122"/>
      <c r="FAB67" s="122"/>
      <c r="FAC67" s="122"/>
      <c r="FAD67" s="122"/>
      <c r="FAE67" s="122"/>
      <c r="FAF67" s="122"/>
      <c r="FAG67" s="122"/>
      <c r="FAH67" s="122"/>
      <c r="FAI67" s="122"/>
      <c r="FAJ67" s="122"/>
      <c r="FAK67" s="122"/>
      <c r="FAL67" s="122"/>
      <c r="FAM67" s="122"/>
      <c r="FAN67" s="122"/>
      <c r="FAO67" s="122"/>
      <c r="FAP67" s="122"/>
      <c r="FAQ67" s="122"/>
      <c r="FAR67" s="122"/>
      <c r="FAS67" s="122"/>
      <c r="FAT67" s="122"/>
      <c r="FAU67" s="122"/>
      <c r="FAV67" s="122"/>
      <c r="FAW67" s="122"/>
      <c r="FAX67" s="122"/>
      <c r="FAY67" s="122"/>
      <c r="FAZ67" s="122"/>
      <c r="FBA67" s="122"/>
      <c r="FBB67" s="122"/>
      <c r="FBC67" s="122"/>
      <c r="FBD67" s="122"/>
      <c r="FBE67" s="122"/>
      <c r="FBF67" s="122"/>
      <c r="FBG67" s="122"/>
      <c r="FBH67" s="122"/>
      <c r="FBI67" s="122"/>
      <c r="FBJ67" s="122"/>
      <c r="FBK67" s="122"/>
      <c r="FBL67" s="122"/>
      <c r="FBM67" s="122"/>
      <c r="FBN67" s="122"/>
      <c r="FBO67" s="122"/>
      <c r="FBP67" s="122"/>
      <c r="FBQ67" s="122"/>
      <c r="FBR67" s="122"/>
      <c r="FBS67" s="122"/>
      <c r="FBT67" s="122"/>
      <c r="FBU67" s="122"/>
      <c r="FBV67" s="122"/>
      <c r="FBW67" s="122"/>
      <c r="FBX67" s="122"/>
      <c r="FBY67" s="122"/>
      <c r="FBZ67" s="122"/>
      <c r="FCA67" s="122"/>
      <c r="FCB67" s="122"/>
      <c r="FCC67" s="122"/>
      <c r="FCD67" s="122"/>
      <c r="FCE67" s="122"/>
      <c r="FCF67" s="122"/>
      <c r="FCG67" s="122"/>
      <c r="FCH67" s="122"/>
      <c r="FCI67" s="122"/>
      <c r="FCJ67" s="122"/>
      <c r="FCK67" s="122"/>
      <c r="FCL67" s="122"/>
      <c r="FCM67" s="122"/>
      <c r="FCN67" s="122"/>
      <c r="FCO67" s="122"/>
      <c r="FCP67" s="122"/>
      <c r="FCQ67" s="122"/>
      <c r="FCR67" s="122"/>
      <c r="FCS67" s="122"/>
      <c r="FCT67" s="122"/>
      <c r="FCU67" s="122"/>
      <c r="FCV67" s="122"/>
      <c r="FCW67" s="122"/>
      <c r="FCX67" s="122"/>
      <c r="FCY67" s="122"/>
      <c r="FCZ67" s="122"/>
      <c r="FDA67" s="122"/>
      <c r="FDB67" s="122"/>
      <c r="FDC67" s="122"/>
      <c r="FDD67" s="122"/>
      <c r="FDE67" s="122"/>
      <c r="FDF67" s="122"/>
      <c r="FDG67" s="122"/>
      <c r="FDH67" s="122"/>
      <c r="FDI67" s="122"/>
      <c r="FDJ67" s="122"/>
      <c r="FDK67" s="122"/>
      <c r="FDL67" s="122"/>
      <c r="FDM67" s="122"/>
      <c r="FDN67" s="122"/>
      <c r="FDO67" s="122"/>
      <c r="FDP67" s="122"/>
      <c r="FDQ67" s="122"/>
      <c r="FDR67" s="122"/>
      <c r="FDS67" s="122"/>
      <c r="FDT67" s="122"/>
      <c r="FDU67" s="122"/>
      <c r="FDV67" s="122"/>
      <c r="FDW67" s="122"/>
      <c r="FDX67" s="122"/>
      <c r="FDY67" s="122"/>
      <c r="FDZ67" s="122"/>
      <c r="FEA67" s="122"/>
      <c r="FEB67" s="122"/>
      <c r="FEC67" s="122"/>
      <c r="FED67" s="122"/>
      <c r="FEE67" s="122"/>
      <c r="FEF67" s="122"/>
      <c r="FEG67" s="122"/>
      <c r="FEH67" s="122"/>
      <c r="FEI67" s="122"/>
      <c r="FEJ67" s="122"/>
      <c r="FEK67" s="122"/>
      <c r="FEL67" s="122"/>
      <c r="FEM67" s="122"/>
      <c r="FEN67" s="122"/>
      <c r="FEO67" s="122"/>
      <c r="FEP67" s="122"/>
      <c r="FEQ67" s="122"/>
      <c r="FER67" s="122"/>
      <c r="FES67" s="122"/>
      <c r="FET67" s="122"/>
      <c r="FEU67" s="122"/>
      <c r="FEV67" s="122"/>
      <c r="FEW67" s="122"/>
      <c r="FEX67" s="122"/>
      <c r="FEY67" s="122"/>
      <c r="FEZ67" s="122"/>
      <c r="FFA67" s="122"/>
      <c r="FFB67" s="122"/>
      <c r="FFC67" s="122"/>
      <c r="FFD67" s="122"/>
      <c r="FFE67" s="122"/>
      <c r="FFF67" s="122"/>
      <c r="FFG67" s="122"/>
      <c r="FFH67" s="122"/>
      <c r="FFI67" s="122"/>
      <c r="FFJ67" s="122"/>
      <c r="FFK67" s="122"/>
      <c r="FFL67" s="122"/>
      <c r="FFM67" s="122"/>
      <c r="FFN67" s="122"/>
      <c r="FFO67" s="122"/>
      <c r="FFP67" s="122"/>
      <c r="FFQ67" s="122"/>
      <c r="FFR67" s="122"/>
      <c r="FFS67" s="122"/>
      <c r="FFT67" s="122"/>
      <c r="FFU67" s="122"/>
      <c r="FFV67" s="122"/>
      <c r="FFW67" s="122"/>
      <c r="FFX67" s="122"/>
      <c r="FFY67" s="122"/>
      <c r="FFZ67" s="122"/>
      <c r="FGA67" s="122"/>
      <c r="FGB67" s="122"/>
      <c r="FGC67" s="122"/>
      <c r="FGD67" s="122"/>
      <c r="FGE67" s="122"/>
      <c r="FGF67" s="122"/>
      <c r="FGG67" s="122"/>
      <c r="FGH67" s="122"/>
      <c r="FGI67" s="122"/>
      <c r="FGJ67" s="122"/>
      <c r="FGK67" s="122"/>
      <c r="FGL67" s="122"/>
      <c r="FGM67" s="122"/>
      <c r="FGN67" s="122"/>
      <c r="FGO67" s="122"/>
      <c r="FGP67" s="122"/>
      <c r="FGQ67" s="122"/>
      <c r="FGR67" s="122"/>
      <c r="FGS67" s="122"/>
      <c r="FGT67" s="122"/>
      <c r="FGU67" s="122"/>
      <c r="FGV67" s="122"/>
      <c r="FGW67" s="122"/>
      <c r="FGX67" s="122"/>
      <c r="FGY67" s="122"/>
      <c r="FGZ67" s="122"/>
      <c r="FHA67" s="122"/>
      <c r="FHB67" s="122"/>
      <c r="FHC67" s="122"/>
      <c r="FHD67" s="122"/>
      <c r="FHE67" s="122"/>
      <c r="FHF67" s="122"/>
      <c r="FHG67" s="122"/>
      <c r="FHH67" s="122"/>
      <c r="FHI67" s="122"/>
      <c r="FHJ67" s="122"/>
      <c r="FHK67" s="122"/>
      <c r="FHL67" s="122"/>
      <c r="FHM67" s="122"/>
      <c r="FHN67" s="122"/>
      <c r="FHO67" s="122"/>
      <c r="FHP67" s="122"/>
      <c r="FHQ67" s="122"/>
      <c r="FHR67" s="122"/>
      <c r="FHS67" s="122"/>
      <c r="FHT67" s="122"/>
      <c r="FHU67" s="122"/>
      <c r="FHV67" s="122"/>
      <c r="FHW67" s="122"/>
      <c r="FHX67" s="122"/>
      <c r="FHY67" s="122"/>
      <c r="FHZ67" s="122"/>
      <c r="FIA67" s="122"/>
      <c r="FIB67" s="122"/>
      <c r="FIC67" s="122"/>
      <c r="FID67" s="122"/>
      <c r="FIE67" s="122"/>
      <c r="FIF67" s="122"/>
      <c r="FIG67" s="122"/>
      <c r="FIH67" s="122"/>
      <c r="FII67" s="122"/>
      <c r="FIJ67" s="122"/>
      <c r="FIK67" s="122"/>
      <c r="FIL67" s="122"/>
      <c r="FIM67" s="122"/>
      <c r="FIN67" s="122"/>
      <c r="FIO67" s="122"/>
      <c r="FIP67" s="122"/>
      <c r="FIQ67" s="122"/>
      <c r="FIR67" s="122"/>
      <c r="FIS67" s="122"/>
      <c r="FIT67" s="122"/>
      <c r="FIU67" s="122"/>
      <c r="FIV67" s="122"/>
      <c r="FIW67" s="122"/>
      <c r="FIX67" s="122"/>
      <c r="FIY67" s="122"/>
      <c r="FIZ67" s="122"/>
      <c r="FJA67" s="122"/>
      <c r="FJB67" s="122"/>
      <c r="FJC67" s="122"/>
      <c r="FJD67" s="122"/>
      <c r="FJE67" s="122"/>
      <c r="FJF67" s="122"/>
      <c r="FJG67" s="122"/>
      <c r="FJH67" s="122"/>
      <c r="FJI67" s="122"/>
      <c r="FJJ67" s="122"/>
      <c r="FJK67" s="122"/>
      <c r="FJL67" s="122"/>
      <c r="FJM67" s="122"/>
      <c r="FJN67" s="122"/>
      <c r="FJO67" s="122"/>
      <c r="FJP67" s="122"/>
      <c r="FJQ67" s="122"/>
      <c r="FJR67" s="122"/>
      <c r="FJS67" s="122"/>
      <c r="FJT67" s="122"/>
      <c r="FJU67" s="122"/>
      <c r="FJV67" s="122"/>
      <c r="FJW67" s="122"/>
      <c r="FJX67" s="122"/>
      <c r="FJY67" s="122"/>
      <c r="FJZ67" s="122"/>
      <c r="FKA67" s="122"/>
      <c r="FKB67" s="122"/>
      <c r="FKC67" s="122"/>
      <c r="FKD67" s="122"/>
      <c r="FKE67" s="122"/>
      <c r="FKF67" s="122"/>
      <c r="FKG67" s="122"/>
      <c r="FKH67" s="122"/>
      <c r="FKI67" s="122"/>
      <c r="FKJ67" s="122"/>
      <c r="FKK67" s="122"/>
      <c r="FKL67" s="122"/>
      <c r="FKM67" s="122"/>
      <c r="FKN67" s="122"/>
      <c r="FKO67" s="122"/>
      <c r="FKP67" s="122"/>
      <c r="FKQ67" s="122"/>
      <c r="FKR67" s="122"/>
      <c r="FKS67" s="122"/>
      <c r="FKT67" s="122"/>
      <c r="FKU67" s="122"/>
      <c r="FKV67" s="122"/>
      <c r="FKW67" s="122"/>
      <c r="FKX67" s="122"/>
      <c r="FKY67" s="122"/>
      <c r="FKZ67" s="122"/>
      <c r="FLA67" s="122"/>
      <c r="FLB67" s="122"/>
      <c r="FLC67" s="122"/>
      <c r="FLD67" s="122"/>
      <c r="FLE67" s="122"/>
      <c r="FLF67" s="122"/>
      <c r="FLG67" s="122"/>
      <c r="FLH67" s="122"/>
      <c r="FLI67" s="122"/>
      <c r="FLJ67" s="122"/>
      <c r="FLK67" s="122"/>
      <c r="FLL67" s="122"/>
      <c r="FLM67" s="122"/>
      <c r="FLN67" s="122"/>
      <c r="FLO67" s="122"/>
      <c r="FLP67" s="122"/>
      <c r="FLQ67" s="122"/>
      <c r="FLR67" s="122"/>
      <c r="FLS67" s="122"/>
      <c r="FLT67" s="122"/>
      <c r="FLU67" s="122"/>
      <c r="FLV67" s="122"/>
      <c r="FLW67" s="122"/>
      <c r="FLX67" s="122"/>
      <c r="FLY67" s="122"/>
      <c r="FLZ67" s="122"/>
      <c r="FMA67" s="122"/>
      <c r="FMB67" s="122"/>
      <c r="FMC67" s="122"/>
      <c r="FMD67" s="122"/>
      <c r="FME67" s="122"/>
      <c r="FMF67" s="122"/>
      <c r="FMG67" s="122"/>
      <c r="FMH67" s="122"/>
      <c r="FMI67" s="122"/>
      <c r="FMJ67" s="122"/>
      <c r="FMK67" s="122"/>
      <c r="FML67" s="122"/>
      <c r="FMM67" s="122"/>
      <c r="FMN67" s="122"/>
      <c r="FMO67" s="122"/>
      <c r="FMP67" s="122"/>
      <c r="FMQ67" s="122"/>
      <c r="FMR67" s="122"/>
      <c r="FMS67" s="122"/>
      <c r="FMT67" s="122"/>
      <c r="FMU67" s="122"/>
      <c r="FMV67" s="122"/>
      <c r="FMW67" s="122"/>
      <c r="FMX67" s="122"/>
      <c r="FMY67" s="122"/>
      <c r="FMZ67" s="122"/>
      <c r="FNA67" s="122"/>
      <c r="FNB67" s="122"/>
      <c r="FNC67" s="122"/>
      <c r="FND67" s="122"/>
      <c r="FNE67" s="122"/>
      <c r="FNF67" s="122"/>
      <c r="FNG67" s="122"/>
      <c r="FNH67" s="122"/>
      <c r="FNI67" s="122"/>
      <c r="FNJ67" s="122"/>
      <c r="FNK67" s="122"/>
      <c r="FNL67" s="122"/>
      <c r="FNM67" s="122"/>
      <c r="FNN67" s="122"/>
      <c r="FNO67" s="122"/>
      <c r="FNP67" s="122"/>
      <c r="FNQ67" s="122"/>
      <c r="FNR67" s="122"/>
      <c r="FNS67" s="122"/>
      <c r="FNT67" s="122"/>
      <c r="FNU67" s="122"/>
      <c r="FNV67" s="122"/>
      <c r="FNW67" s="122"/>
      <c r="FNX67" s="122"/>
      <c r="FNY67" s="122"/>
      <c r="FNZ67" s="122"/>
      <c r="FOA67" s="122"/>
      <c r="FOB67" s="122"/>
      <c r="FOC67" s="122"/>
      <c r="FOD67" s="122"/>
      <c r="FOE67" s="122"/>
      <c r="FOF67" s="122"/>
      <c r="FOG67" s="122"/>
      <c r="FOH67" s="122"/>
      <c r="FOI67" s="122"/>
      <c r="FOJ67" s="122"/>
      <c r="FOK67" s="122"/>
      <c r="FOL67" s="122"/>
      <c r="FOM67" s="122"/>
      <c r="FON67" s="122"/>
      <c r="FOO67" s="122"/>
      <c r="FOP67" s="122"/>
      <c r="FOQ67" s="122"/>
      <c r="FOR67" s="122"/>
      <c r="FOS67" s="122"/>
      <c r="FOT67" s="122"/>
      <c r="FOU67" s="122"/>
      <c r="FOV67" s="122"/>
      <c r="FOW67" s="122"/>
      <c r="FOX67" s="122"/>
      <c r="FOY67" s="122"/>
      <c r="FOZ67" s="122"/>
      <c r="FPA67" s="122"/>
      <c r="FPB67" s="122"/>
      <c r="FPC67" s="122"/>
      <c r="FPD67" s="122"/>
      <c r="FPE67" s="122"/>
      <c r="FPF67" s="122"/>
      <c r="FPG67" s="122"/>
      <c r="FPH67" s="122"/>
      <c r="FPI67" s="122"/>
      <c r="FPJ67" s="122"/>
      <c r="FPK67" s="122"/>
      <c r="FPL67" s="122"/>
      <c r="FPM67" s="122"/>
      <c r="FPN67" s="122"/>
      <c r="FPO67" s="122"/>
      <c r="FPP67" s="122"/>
      <c r="FPQ67" s="122"/>
      <c r="FPR67" s="122"/>
      <c r="FPS67" s="122"/>
      <c r="FPT67" s="122"/>
      <c r="FPU67" s="122"/>
      <c r="FPV67" s="122"/>
      <c r="FPW67" s="122"/>
      <c r="FPX67" s="122"/>
      <c r="FPY67" s="122"/>
      <c r="FPZ67" s="122"/>
      <c r="FQA67" s="122"/>
      <c r="FQB67" s="122"/>
      <c r="FQC67" s="122"/>
      <c r="FQD67" s="122"/>
      <c r="FQE67" s="122"/>
      <c r="FQF67" s="122"/>
      <c r="FQG67" s="122"/>
      <c r="FQH67" s="122"/>
      <c r="FQI67" s="122"/>
      <c r="FQJ67" s="122"/>
      <c r="FQK67" s="122"/>
      <c r="FQL67" s="122"/>
      <c r="FQM67" s="122"/>
      <c r="FQN67" s="122"/>
      <c r="FQO67" s="122"/>
      <c r="FQP67" s="122"/>
      <c r="FQQ67" s="122"/>
      <c r="FQR67" s="122"/>
      <c r="FQS67" s="122"/>
      <c r="FQT67" s="122"/>
      <c r="FQU67" s="122"/>
      <c r="FQV67" s="122"/>
      <c r="FQW67" s="122"/>
      <c r="FQX67" s="122"/>
      <c r="FQY67" s="122"/>
      <c r="FQZ67" s="122"/>
      <c r="FRA67" s="122"/>
      <c r="FRB67" s="122"/>
      <c r="FRC67" s="122"/>
      <c r="FRD67" s="122"/>
      <c r="FRE67" s="122"/>
      <c r="FRF67" s="122"/>
      <c r="FRG67" s="122"/>
      <c r="FRH67" s="122"/>
      <c r="FRI67" s="122"/>
      <c r="FRJ67" s="122"/>
      <c r="FRK67" s="122"/>
      <c r="FRL67" s="122"/>
      <c r="FRM67" s="122"/>
      <c r="FRN67" s="122"/>
      <c r="FRO67" s="122"/>
      <c r="FRP67" s="122"/>
      <c r="FRQ67" s="122"/>
      <c r="FRR67" s="122"/>
      <c r="FRS67" s="122"/>
      <c r="FRT67" s="122"/>
      <c r="FRU67" s="122"/>
      <c r="FRV67" s="122"/>
      <c r="FRW67" s="122"/>
      <c r="FRX67" s="122"/>
      <c r="FRY67" s="122"/>
      <c r="FRZ67" s="122"/>
      <c r="FSA67" s="122"/>
      <c r="FSB67" s="122"/>
      <c r="FSC67" s="122"/>
      <c r="FSD67" s="122"/>
      <c r="FSE67" s="122"/>
      <c r="FSF67" s="122"/>
      <c r="FSG67" s="122"/>
      <c r="FSH67" s="122"/>
      <c r="FSI67" s="122"/>
      <c r="FSJ67" s="122"/>
      <c r="FSK67" s="122"/>
      <c r="FSL67" s="122"/>
      <c r="FSM67" s="122"/>
      <c r="FSN67" s="122"/>
      <c r="FSO67" s="122"/>
      <c r="FSP67" s="122"/>
      <c r="FSQ67" s="122"/>
      <c r="FSR67" s="122"/>
      <c r="FSS67" s="122"/>
      <c r="FST67" s="122"/>
      <c r="FSU67" s="122"/>
      <c r="FSV67" s="122"/>
      <c r="FSW67" s="122"/>
      <c r="FSX67" s="122"/>
      <c r="FSY67" s="122"/>
      <c r="FSZ67" s="122"/>
      <c r="FTA67" s="122"/>
      <c r="FTB67" s="122"/>
      <c r="FTC67" s="122"/>
      <c r="FTD67" s="122"/>
      <c r="FTE67" s="122"/>
      <c r="FTF67" s="122"/>
      <c r="FTG67" s="122"/>
      <c r="FTH67" s="122"/>
      <c r="FTI67" s="122"/>
      <c r="FTJ67" s="122"/>
      <c r="FTK67" s="122"/>
      <c r="FTL67" s="122"/>
      <c r="FTM67" s="122"/>
      <c r="FTN67" s="122"/>
      <c r="FTO67" s="122"/>
      <c r="FTP67" s="122"/>
      <c r="FTQ67" s="122"/>
      <c r="FTR67" s="122"/>
      <c r="FTS67" s="122"/>
      <c r="FTT67" s="122"/>
      <c r="FTU67" s="122"/>
      <c r="FTV67" s="122"/>
      <c r="FTW67" s="122"/>
      <c r="FTX67" s="122"/>
      <c r="FTY67" s="122"/>
      <c r="FTZ67" s="122"/>
      <c r="FUA67" s="122"/>
      <c r="FUB67" s="122"/>
      <c r="FUC67" s="122"/>
      <c r="FUD67" s="122"/>
      <c r="FUE67" s="122"/>
      <c r="FUF67" s="122"/>
      <c r="FUG67" s="122"/>
      <c r="FUH67" s="122"/>
      <c r="FUI67" s="122"/>
      <c r="FUJ67" s="122"/>
      <c r="FUK67" s="122"/>
      <c r="FUL67" s="122"/>
      <c r="FUM67" s="122"/>
      <c r="FUN67" s="122"/>
      <c r="FUO67" s="122"/>
      <c r="FUP67" s="122"/>
      <c r="FUQ67" s="122"/>
      <c r="FUR67" s="122"/>
      <c r="FUS67" s="122"/>
      <c r="FUT67" s="122"/>
      <c r="FUU67" s="122"/>
      <c r="FUV67" s="122"/>
      <c r="FUW67" s="122"/>
      <c r="FUX67" s="122"/>
      <c r="FUY67" s="122"/>
      <c r="FUZ67" s="122"/>
      <c r="FVA67" s="122"/>
      <c r="FVB67" s="122"/>
      <c r="FVC67" s="122"/>
      <c r="FVD67" s="122"/>
      <c r="FVE67" s="122"/>
      <c r="FVF67" s="122"/>
      <c r="FVG67" s="122"/>
      <c r="FVH67" s="122"/>
      <c r="FVI67" s="122"/>
      <c r="FVJ67" s="122"/>
      <c r="FVK67" s="122"/>
      <c r="FVL67" s="122"/>
      <c r="FVM67" s="122"/>
      <c r="FVN67" s="122"/>
      <c r="FVO67" s="122"/>
      <c r="FVP67" s="122"/>
      <c r="FVQ67" s="122"/>
      <c r="FVR67" s="122"/>
      <c r="FVS67" s="122"/>
      <c r="FVT67" s="122"/>
      <c r="FVU67" s="122"/>
      <c r="FVV67" s="122"/>
      <c r="FVW67" s="122"/>
      <c r="FVX67" s="122"/>
      <c r="FVY67" s="122"/>
      <c r="FVZ67" s="122"/>
      <c r="FWA67" s="122"/>
      <c r="FWB67" s="122"/>
      <c r="FWC67" s="122"/>
      <c r="FWD67" s="122"/>
      <c r="FWE67" s="122"/>
      <c r="FWF67" s="122"/>
      <c r="FWG67" s="122"/>
      <c r="FWH67" s="122"/>
      <c r="FWI67" s="122"/>
      <c r="FWJ67" s="122"/>
      <c r="FWK67" s="122"/>
      <c r="FWL67" s="122"/>
      <c r="FWM67" s="122"/>
      <c r="FWN67" s="122"/>
      <c r="FWO67" s="122"/>
      <c r="FWP67" s="122"/>
      <c r="FWQ67" s="122"/>
      <c r="FWR67" s="122"/>
      <c r="FWS67" s="122"/>
      <c r="FWT67" s="122"/>
      <c r="FWU67" s="122"/>
      <c r="FWV67" s="122"/>
      <c r="FWW67" s="122"/>
      <c r="FWX67" s="122"/>
      <c r="FWY67" s="122"/>
      <c r="FWZ67" s="122"/>
      <c r="FXA67" s="122"/>
      <c r="FXB67" s="122"/>
      <c r="FXC67" s="122"/>
      <c r="FXD67" s="122"/>
      <c r="FXE67" s="122"/>
      <c r="FXF67" s="122"/>
      <c r="FXG67" s="122"/>
      <c r="FXH67" s="122"/>
      <c r="FXI67" s="122"/>
      <c r="FXJ67" s="122"/>
      <c r="FXK67" s="122"/>
      <c r="FXL67" s="122"/>
      <c r="FXM67" s="122"/>
      <c r="FXN67" s="122"/>
      <c r="FXO67" s="122"/>
      <c r="FXP67" s="122"/>
      <c r="FXQ67" s="122"/>
      <c r="FXR67" s="122"/>
      <c r="FXS67" s="122"/>
      <c r="FXT67" s="122"/>
      <c r="FXU67" s="122"/>
      <c r="FXV67" s="122"/>
      <c r="FXW67" s="122"/>
      <c r="FXX67" s="122"/>
      <c r="FXY67" s="122"/>
      <c r="FXZ67" s="122"/>
      <c r="FYA67" s="122"/>
      <c r="FYB67" s="122"/>
      <c r="FYC67" s="122"/>
      <c r="FYD67" s="122"/>
      <c r="FYE67" s="122"/>
      <c r="FYF67" s="122"/>
      <c r="FYG67" s="122"/>
      <c r="FYH67" s="122"/>
      <c r="FYI67" s="122"/>
      <c r="FYJ67" s="122"/>
      <c r="FYK67" s="122"/>
      <c r="FYL67" s="122"/>
      <c r="FYM67" s="122"/>
      <c r="FYN67" s="122"/>
      <c r="FYO67" s="122"/>
      <c r="FYP67" s="122"/>
      <c r="FYQ67" s="122"/>
      <c r="FYR67" s="122"/>
      <c r="FYS67" s="122"/>
      <c r="FYT67" s="122"/>
      <c r="FYU67" s="122"/>
      <c r="FYV67" s="122"/>
      <c r="FYW67" s="122"/>
      <c r="FYX67" s="122"/>
      <c r="FYY67" s="122"/>
      <c r="FYZ67" s="122"/>
      <c r="FZA67" s="122"/>
      <c r="FZB67" s="122"/>
      <c r="FZC67" s="122"/>
      <c r="FZD67" s="122"/>
      <c r="FZE67" s="122"/>
      <c r="FZF67" s="122"/>
      <c r="FZG67" s="122"/>
      <c r="FZH67" s="122"/>
      <c r="FZI67" s="122"/>
      <c r="FZJ67" s="122"/>
      <c r="FZK67" s="122"/>
      <c r="FZL67" s="122"/>
      <c r="FZM67" s="122"/>
      <c r="FZN67" s="122"/>
      <c r="FZO67" s="122"/>
      <c r="FZP67" s="122"/>
      <c r="FZQ67" s="122"/>
      <c r="FZR67" s="122"/>
      <c r="FZS67" s="122"/>
      <c r="FZT67" s="122"/>
      <c r="FZU67" s="122"/>
      <c r="FZV67" s="122"/>
      <c r="FZW67" s="122"/>
      <c r="FZX67" s="122"/>
      <c r="FZY67" s="122"/>
      <c r="FZZ67" s="122"/>
      <c r="GAA67" s="122"/>
      <c r="GAB67" s="122"/>
      <c r="GAC67" s="122"/>
      <c r="GAD67" s="122"/>
      <c r="GAE67" s="122"/>
      <c r="GAF67" s="122"/>
      <c r="GAG67" s="122"/>
      <c r="GAH67" s="122"/>
      <c r="GAI67" s="122"/>
      <c r="GAJ67" s="122"/>
      <c r="GAK67" s="122"/>
      <c r="GAL67" s="122"/>
      <c r="GAM67" s="122"/>
      <c r="GAN67" s="122"/>
      <c r="GAO67" s="122"/>
      <c r="GAP67" s="122"/>
      <c r="GAQ67" s="122"/>
      <c r="GAR67" s="122"/>
      <c r="GAS67" s="122"/>
      <c r="GAT67" s="122"/>
      <c r="GAU67" s="122"/>
      <c r="GAV67" s="122"/>
      <c r="GAW67" s="122"/>
      <c r="GAX67" s="122"/>
      <c r="GAY67" s="122"/>
      <c r="GAZ67" s="122"/>
      <c r="GBA67" s="122"/>
      <c r="GBB67" s="122"/>
      <c r="GBC67" s="122"/>
      <c r="GBD67" s="122"/>
      <c r="GBE67" s="122"/>
      <c r="GBF67" s="122"/>
      <c r="GBG67" s="122"/>
      <c r="GBH67" s="122"/>
      <c r="GBI67" s="122"/>
      <c r="GBJ67" s="122"/>
      <c r="GBK67" s="122"/>
      <c r="GBL67" s="122"/>
      <c r="GBM67" s="122"/>
      <c r="GBN67" s="122"/>
      <c r="GBO67" s="122"/>
      <c r="GBP67" s="122"/>
      <c r="GBQ67" s="122"/>
      <c r="GBR67" s="122"/>
      <c r="GBS67" s="122"/>
      <c r="GBT67" s="122"/>
      <c r="GBU67" s="122"/>
      <c r="GBV67" s="122"/>
      <c r="GBW67" s="122"/>
      <c r="GBX67" s="122"/>
      <c r="GBY67" s="122"/>
      <c r="GBZ67" s="122"/>
      <c r="GCA67" s="122"/>
      <c r="GCB67" s="122"/>
      <c r="GCC67" s="122"/>
      <c r="GCD67" s="122"/>
      <c r="GCE67" s="122"/>
      <c r="GCF67" s="122"/>
      <c r="GCG67" s="122"/>
      <c r="GCH67" s="122"/>
      <c r="GCI67" s="122"/>
      <c r="GCJ67" s="122"/>
      <c r="GCK67" s="122"/>
      <c r="GCL67" s="122"/>
      <c r="GCM67" s="122"/>
      <c r="GCN67" s="122"/>
      <c r="GCO67" s="122"/>
      <c r="GCP67" s="122"/>
      <c r="GCQ67" s="122"/>
      <c r="GCR67" s="122"/>
      <c r="GCS67" s="122"/>
      <c r="GCT67" s="122"/>
      <c r="GCU67" s="122"/>
      <c r="GCV67" s="122"/>
      <c r="GCW67" s="122"/>
      <c r="GCX67" s="122"/>
      <c r="GCY67" s="122"/>
      <c r="GCZ67" s="122"/>
      <c r="GDA67" s="122"/>
      <c r="GDB67" s="122"/>
      <c r="GDC67" s="122"/>
      <c r="GDD67" s="122"/>
      <c r="GDE67" s="122"/>
      <c r="GDF67" s="122"/>
      <c r="GDG67" s="122"/>
      <c r="GDH67" s="122"/>
      <c r="GDI67" s="122"/>
      <c r="GDJ67" s="122"/>
      <c r="GDK67" s="122"/>
      <c r="GDL67" s="122"/>
      <c r="GDM67" s="122"/>
      <c r="GDN67" s="122"/>
      <c r="GDO67" s="122"/>
      <c r="GDP67" s="122"/>
      <c r="GDQ67" s="122"/>
      <c r="GDR67" s="122"/>
      <c r="GDS67" s="122"/>
      <c r="GDT67" s="122"/>
      <c r="GDU67" s="122"/>
      <c r="GDV67" s="122"/>
      <c r="GDW67" s="122"/>
      <c r="GDX67" s="122"/>
      <c r="GDY67" s="122"/>
      <c r="GDZ67" s="122"/>
      <c r="GEA67" s="122"/>
      <c r="GEB67" s="122"/>
      <c r="GEC67" s="122"/>
      <c r="GED67" s="122"/>
      <c r="GEE67" s="122"/>
      <c r="GEF67" s="122"/>
      <c r="GEG67" s="122"/>
      <c r="GEH67" s="122"/>
      <c r="GEI67" s="122"/>
      <c r="GEJ67" s="122"/>
      <c r="GEK67" s="122"/>
      <c r="GEL67" s="122"/>
      <c r="GEM67" s="122"/>
      <c r="GEN67" s="122"/>
      <c r="GEO67" s="122"/>
      <c r="GEP67" s="122"/>
      <c r="GEQ67" s="122"/>
      <c r="GER67" s="122"/>
      <c r="GES67" s="122"/>
      <c r="GET67" s="122"/>
      <c r="GEU67" s="122"/>
      <c r="GEV67" s="122"/>
      <c r="GEW67" s="122"/>
      <c r="GEX67" s="122"/>
      <c r="GEY67" s="122"/>
      <c r="GEZ67" s="122"/>
      <c r="GFA67" s="122"/>
      <c r="GFB67" s="122"/>
      <c r="GFC67" s="122"/>
      <c r="GFD67" s="122"/>
      <c r="GFE67" s="122"/>
      <c r="GFF67" s="122"/>
      <c r="GFG67" s="122"/>
      <c r="GFH67" s="122"/>
      <c r="GFI67" s="122"/>
      <c r="GFJ67" s="122"/>
      <c r="GFK67" s="122"/>
      <c r="GFL67" s="122"/>
      <c r="GFM67" s="122"/>
      <c r="GFN67" s="122"/>
      <c r="GFO67" s="122"/>
      <c r="GFP67" s="122"/>
      <c r="GFQ67" s="122"/>
      <c r="GFR67" s="122"/>
      <c r="GFS67" s="122"/>
      <c r="GFT67" s="122"/>
      <c r="GFU67" s="122"/>
      <c r="GFV67" s="122"/>
      <c r="GFW67" s="122"/>
      <c r="GFX67" s="122"/>
      <c r="GFY67" s="122"/>
      <c r="GFZ67" s="122"/>
      <c r="GGA67" s="122"/>
      <c r="GGB67" s="122"/>
      <c r="GGC67" s="122"/>
      <c r="GGD67" s="122"/>
      <c r="GGE67" s="122"/>
      <c r="GGF67" s="122"/>
      <c r="GGG67" s="122"/>
      <c r="GGH67" s="122"/>
      <c r="GGI67" s="122"/>
      <c r="GGJ67" s="122"/>
      <c r="GGK67" s="122"/>
      <c r="GGL67" s="122"/>
      <c r="GGM67" s="122"/>
      <c r="GGN67" s="122"/>
      <c r="GGO67" s="122"/>
      <c r="GGP67" s="122"/>
      <c r="GGQ67" s="122"/>
      <c r="GGR67" s="122"/>
      <c r="GGS67" s="122"/>
      <c r="GGT67" s="122"/>
      <c r="GGU67" s="122"/>
      <c r="GGV67" s="122"/>
      <c r="GGW67" s="122"/>
      <c r="GGX67" s="122"/>
      <c r="GGY67" s="122"/>
      <c r="GGZ67" s="122"/>
      <c r="GHA67" s="122"/>
      <c r="GHB67" s="122"/>
      <c r="GHC67" s="122"/>
      <c r="GHD67" s="122"/>
      <c r="GHE67" s="122"/>
      <c r="GHF67" s="122"/>
      <c r="GHG67" s="122"/>
      <c r="GHH67" s="122"/>
      <c r="GHI67" s="122"/>
      <c r="GHJ67" s="122"/>
      <c r="GHK67" s="122"/>
      <c r="GHL67" s="122"/>
      <c r="GHM67" s="122"/>
      <c r="GHN67" s="122"/>
      <c r="GHO67" s="122"/>
      <c r="GHP67" s="122"/>
      <c r="GHQ67" s="122"/>
      <c r="GHR67" s="122"/>
      <c r="GHS67" s="122"/>
      <c r="GHT67" s="122"/>
      <c r="GHU67" s="122"/>
      <c r="GHV67" s="122"/>
      <c r="GHW67" s="122"/>
      <c r="GHX67" s="122"/>
      <c r="GHY67" s="122"/>
      <c r="GHZ67" s="122"/>
      <c r="GIA67" s="122"/>
      <c r="GIB67" s="122"/>
      <c r="GIC67" s="122"/>
      <c r="GID67" s="122"/>
      <c r="GIE67" s="122"/>
      <c r="GIF67" s="122"/>
      <c r="GIG67" s="122"/>
      <c r="GIH67" s="122"/>
      <c r="GII67" s="122"/>
      <c r="GIJ67" s="122"/>
      <c r="GIK67" s="122"/>
      <c r="GIL67" s="122"/>
      <c r="GIM67" s="122"/>
      <c r="GIN67" s="122"/>
      <c r="GIO67" s="122"/>
      <c r="GIP67" s="122"/>
      <c r="GIQ67" s="122"/>
      <c r="GIR67" s="122"/>
      <c r="GIS67" s="122"/>
      <c r="GIT67" s="122"/>
      <c r="GIU67" s="122"/>
      <c r="GIV67" s="122"/>
      <c r="GIW67" s="122"/>
      <c r="GIX67" s="122"/>
      <c r="GIY67" s="122"/>
      <c r="GIZ67" s="122"/>
      <c r="GJA67" s="122"/>
      <c r="GJB67" s="122"/>
      <c r="GJC67" s="122"/>
      <c r="GJD67" s="122"/>
      <c r="GJE67" s="122"/>
      <c r="GJF67" s="122"/>
      <c r="GJG67" s="122"/>
      <c r="GJH67" s="122"/>
      <c r="GJI67" s="122"/>
      <c r="GJJ67" s="122"/>
      <c r="GJK67" s="122"/>
      <c r="GJL67" s="122"/>
      <c r="GJM67" s="122"/>
      <c r="GJN67" s="122"/>
      <c r="GJO67" s="122"/>
      <c r="GJP67" s="122"/>
      <c r="GJQ67" s="122"/>
      <c r="GJR67" s="122"/>
      <c r="GJS67" s="122"/>
      <c r="GJT67" s="122"/>
      <c r="GJU67" s="122"/>
      <c r="GJV67" s="122"/>
      <c r="GJW67" s="122"/>
      <c r="GJX67" s="122"/>
      <c r="GJY67" s="122"/>
      <c r="GJZ67" s="122"/>
      <c r="GKA67" s="122"/>
      <c r="GKB67" s="122"/>
      <c r="GKC67" s="122"/>
      <c r="GKD67" s="122"/>
      <c r="GKE67" s="122"/>
      <c r="GKF67" s="122"/>
      <c r="GKG67" s="122"/>
      <c r="GKH67" s="122"/>
      <c r="GKI67" s="122"/>
      <c r="GKJ67" s="122"/>
      <c r="GKK67" s="122"/>
      <c r="GKL67" s="122"/>
      <c r="GKM67" s="122"/>
      <c r="GKN67" s="122"/>
      <c r="GKO67" s="122"/>
      <c r="GKP67" s="122"/>
      <c r="GKQ67" s="122"/>
      <c r="GKR67" s="122"/>
      <c r="GKS67" s="122"/>
      <c r="GKT67" s="122"/>
      <c r="GKU67" s="122"/>
      <c r="GKV67" s="122"/>
      <c r="GKW67" s="122"/>
      <c r="GKX67" s="122"/>
      <c r="GKY67" s="122"/>
      <c r="GKZ67" s="122"/>
      <c r="GLA67" s="122"/>
      <c r="GLB67" s="122"/>
      <c r="GLC67" s="122"/>
      <c r="GLD67" s="122"/>
      <c r="GLE67" s="122"/>
      <c r="GLF67" s="122"/>
      <c r="GLG67" s="122"/>
      <c r="GLH67" s="122"/>
      <c r="GLI67" s="122"/>
      <c r="GLJ67" s="122"/>
      <c r="GLK67" s="122"/>
      <c r="GLL67" s="122"/>
      <c r="GLM67" s="122"/>
      <c r="GLN67" s="122"/>
      <c r="GLO67" s="122"/>
      <c r="GLP67" s="122"/>
      <c r="GLQ67" s="122"/>
      <c r="GLR67" s="122"/>
      <c r="GLS67" s="122"/>
      <c r="GLT67" s="122"/>
      <c r="GLU67" s="122"/>
      <c r="GLV67" s="122"/>
      <c r="GLW67" s="122"/>
      <c r="GLX67" s="122"/>
      <c r="GLY67" s="122"/>
      <c r="GLZ67" s="122"/>
      <c r="GMA67" s="122"/>
      <c r="GMB67" s="122"/>
      <c r="GMC67" s="122"/>
      <c r="GMD67" s="122"/>
      <c r="GME67" s="122"/>
      <c r="GMF67" s="122"/>
      <c r="GMG67" s="122"/>
      <c r="GMH67" s="122"/>
      <c r="GMI67" s="122"/>
      <c r="GMJ67" s="122"/>
      <c r="GMK67" s="122"/>
      <c r="GML67" s="122"/>
      <c r="GMM67" s="122"/>
      <c r="GMN67" s="122"/>
      <c r="GMO67" s="122"/>
      <c r="GMP67" s="122"/>
      <c r="GMQ67" s="122"/>
      <c r="GMR67" s="122"/>
      <c r="GMS67" s="122"/>
      <c r="GMT67" s="122"/>
      <c r="GMU67" s="122"/>
      <c r="GMV67" s="122"/>
      <c r="GMW67" s="122"/>
      <c r="GMX67" s="122"/>
      <c r="GMY67" s="122"/>
      <c r="GMZ67" s="122"/>
      <c r="GNA67" s="122"/>
      <c r="GNB67" s="122"/>
      <c r="GNC67" s="122"/>
      <c r="GND67" s="122"/>
      <c r="GNE67" s="122"/>
      <c r="GNF67" s="122"/>
      <c r="GNG67" s="122"/>
      <c r="GNH67" s="122"/>
      <c r="GNI67" s="122"/>
      <c r="GNJ67" s="122"/>
      <c r="GNK67" s="122"/>
      <c r="GNL67" s="122"/>
      <c r="GNM67" s="122"/>
      <c r="GNN67" s="122"/>
      <c r="GNO67" s="122"/>
      <c r="GNP67" s="122"/>
      <c r="GNQ67" s="122"/>
      <c r="GNR67" s="122"/>
      <c r="GNS67" s="122"/>
      <c r="GNT67" s="122"/>
      <c r="GNU67" s="122"/>
      <c r="GNV67" s="122"/>
      <c r="GNW67" s="122"/>
      <c r="GNX67" s="122"/>
      <c r="GNY67" s="122"/>
      <c r="GNZ67" s="122"/>
      <c r="GOA67" s="122"/>
      <c r="GOB67" s="122"/>
      <c r="GOC67" s="122"/>
      <c r="GOD67" s="122"/>
      <c r="GOE67" s="122"/>
      <c r="GOF67" s="122"/>
      <c r="GOG67" s="122"/>
      <c r="GOH67" s="122"/>
      <c r="GOI67" s="122"/>
      <c r="GOJ67" s="122"/>
      <c r="GOK67" s="122"/>
      <c r="GOL67" s="122"/>
      <c r="GOM67" s="122"/>
      <c r="GON67" s="122"/>
      <c r="GOO67" s="122"/>
      <c r="GOP67" s="122"/>
      <c r="GOQ67" s="122"/>
      <c r="GOR67" s="122"/>
      <c r="GOS67" s="122"/>
      <c r="GOT67" s="122"/>
      <c r="GOU67" s="122"/>
      <c r="GOV67" s="122"/>
      <c r="GOW67" s="122"/>
      <c r="GOX67" s="122"/>
      <c r="GOY67" s="122"/>
      <c r="GOZ67" s="122"/>
      <c r="GPA67" s="122"/>
      <c r="GPB67" s="122"/>
      <c r="GPC67" s="122"/>
      <c r="GPD67" s="122"/>
      <c r="GPE67" s="122"/>
      <c r="GPF67" s="122"/>
      <c r="GPG67" s="122"/>
      <c r="GPH67" s="122"/>
      <c r="GPI67" s="122"/>
      <c r="GPJ67" s="122"/>
      <c r="GPK67" s="122"/>
      <c r="GPL67" s="122"/>
      <c r="GPM67" s="122"/>
      <c r="GPN67" s="122"/>
      <c r="GPO67" s="122"/>
      <c r="GPP67" s="122"/>
      <c r="GPQ67" s="122"/>
      <c r="GPR67" s="122"/>
      <c r="GPS67" s="122"/>
      <c r="GPT67" s="122"/>
      <c r="GPU67" s="122"/>
      <c r="GPV67" s="122"/>
      <c r="GPW67" s="122"/>
      <c r="GPX67" s="122"/>
      <c r="GPY67" s="122"/>
      <c r="GPZ67" s="122"/>
      <c r="GQA67" s="122"/>
      <c r="GQB67" s="122"/>
      <c r="GQC67" s="122"/>
      <c r="GQD67" s="122"/>
      <c r="GQE67" s="122"/>
      <c r="GQF67" s="122"/>
      <c r="GQG67" s="122"/>
      <c r="GQH67" s="122"/>
      <c r="GQI67" s="122"/>
      <c r="GQJ67" s="122"/>
      <c r="GQK67" s="122"/>
      <c r="GQL67" s="122"/>
      <c r="GQM67" s="122"/>
      <c r="GQN67" s="122"/>
      <c r="GQO67" s="122"/>
      <c r="GQP67" s="122"/>
      <c r="GQQ67" s="122"/>
      <c r="GQR67" s="122"/>
      <c r="GQS67" s="122"/>
      <c r="GQT67" s="122"/>
      <c r="GQU67" s="122"/>
      <c r="GQV67" s="122"/>
      <c r="GQW67" s="122"/>
      <c r="GQX67" s="122"/>
      <c r="GQY67" s="122"/>
      <c r="GQZ67" s="122"/>
      <c r="GRA67" s="122"/>
      <c r="GRB67" s="122"/>
      <c r="GRC67" s="122"/>
      <c r="GRD67" s="122"/>
      <c r="GRE67" s="122"/>
      <c r="GRF67" s="122"/>
      <c r="GRG67" s="122"/>
      <c r="GRH67" s="122"/>
      <c r="GRI67" s="122"/>
      <c r="GRJ67" s="122"/>
      <c r="GRK67" s="122"/>
      <c r="GRL67" s="122"/>
      <c r="GRM67" s="122"/>
      <c r="GRN67" s="122"/>
      <c r="GRO67" s="122"/>
      <c r="GRP67" s="122"/>
      <c r="GRQ67" s="122"/>
      <c r="GRR67" s="122"/>
      <c r="GRS67" s="122"/>
      <c r="GRT67" s="122"/>
      <c r="GRU67" s="122"/>
      <c r="GRV67" s="122"/>
      <c r="GRW67" s="122"/>
      <c r="GRX67" s="122"/>
      <c r="GRY67" s="122"/>
      <c r="GRZ67" s="122"/>
      <c r="GSA67" s="122"/>
      <c r="GSB67" s="122"/>
      <c r="GSC67" s="122"/>
      <c r="GSD67" s="122"/>
      <c r="GSE67" s="122"/>
      <c r="GSF67" s="122"/>
      <c r="GSG67" s="122"/>
      <c r="GSH67" s="122"/>
      <c r="GSI67" s="122"/>
      <c r="GSJ67" s="122"/>
      <c r="GSK67" s="122"/>
      <c r="GSL67" s="122"/>
      <c r="GSM67" s="122"/>
      <c r="GSN67" s="122"/>
      <c r="GSO67" s="122"/>
      <c r="GSP67" s="122"/>
      <c r="GSQ67" s="122"/>
      <c r="GSR67" s="122"/>
      <c r="GSS67" s="122"/>
      <c r="GST67" s="122"/>
      <c r="GSU67" s="122"/>
      <c r="GSV67" s="122"/>
      <c r="GSW67" s="122"/>
      <c r="GSX67" s="122"/>
      <c r="GSY67" s="122"/>
      <c r="GSZ67" s="122"/>
      <c r="GTA67" s="122"/>
      <c r="GTB67" s="122"/>
      <c r="GTC67" s="122"/>
      <c r="GTD67" s="122"/>
      <c r="GTE67" s="122"/>
      <c r="GTF67" s="122"/>
      <c r="GTG67" s="122"/>
      <c r="GTH67" s="122"/>
      <c r="GTI67" s="122"/>
      <c r="GTJ67" s="122"/>
      <c r="GTK67" s="122"/>
      <c r="GTL67" s="122"/>
      <c r="GTM67" s="122"/>
      <c r="GTN67" s="122"/>
      <c r="GTO67" s="122"/>
      <c r="GTP67" s="122"/>
      <c r="GTQ67" s="122"/>
      <c r="GTR67" s="122"/>
      <c r="GTS67" s="122"/>
      <c r="GTT67" s="122"/>
      <c r="GTU67" s="122"/>
      <c r="GTV67" s="122"/>
      <c r="GTW67" s="122"/>
      <c r="GTX67" s="122"/>
      <c r="GTY67" s="122"/>
      <c r="GTZ67" s="122"/>
      <c r="GUA67" s="122"/>
      <c r="GUB67" s="122"/>
      <c r="GUC67" s="122"/>
      <c r="GUD67" s="122"/>
      <c r="GUE67" s="122"/>
      <c r="GUF67" s="122"/>
      <c r="GUG67" s="122"/>
      <c r="GUH67" s="122"/>
      <c r="GUI67" s="122"/>
      <c r="GUJ67" s="122"/>
      <c r="GUK67" s="122"/>
      <c r="GUL67" s="122"/>
      <c r="GUM67" s="122"/>
      <c r="GUN67" s="122"/>
      <c r="GUO67" s="122"/>
      <c r="GUP67" s="122"/>
      <c r="GUQ67" s="122"/>
      <c r="GUR67" s="122"/>
      <c r="GUS67" s="122"/>
      <c r="GUT67" s="122"/>
      <c r="GUU67" s="122"/>
      <c r="GUV67" s="122"/>
      <c r="GUW67" s="122"/>
      <c r="GUX67" s="122"/>
      <c r="GUY67" s="122"/>
      <c r="GUZ67" s="122"/>
      <c r="GVA67" s="122"/>
      <c r="GVB67" s="122"/>
      <c r="GVC67" s="122"/>
      <c r="GVD67" s="122"/>
      <c r="GVE67" s="122"/>
      <c r="GVF67" s="122"/>
      <c r="GVG67" s="122"/>
      <c r="GVH67" s="122"/>
      <c r="GVI67" s="122"/>
      <c r="GVJ67" s="122"/>
      <c r="GVK67" s="122"/>
      <c r="GVL67" s="122"/>
      <c r="GVM67" s="122"/>
      <c r="GVN67" s="122"/>
      <c r="GVO67" s="122"/>
      <c r="GVP67" s="122"/>
      <c r="GVQ67" s="122"/>
      <c r="GVR67" s="122"/>
      <c r="GVS67" s="122"/>
      <c r="GVT67" s="122"/>
      <c r="GVU67" s="122"/>
      <c r="GVV67" s="122"/>
      <c r="GVW67" s="122"/>
      <c r="GVX67" s="122"/>
      <c r="GVY67" s="122"/>
      <c r="GVZ67" s="122"/>
      <c r="GWA67" s="122"/>
      <c r="GWB67" s="122"/>
      <c r="GWC67" s="122"/>
      <c r="GWD67" s="122"/>
      <c r="GWE67" s="122"/>
      <c r="GWF67" s="122"/>
      <c r="GWG67" s="122"/>
      <c r="GWH67" s="122"/>
      <c r="GWI67" s="122"/>
      <c r="GWJ67" s="122"/>
      <c r="GWK67" s="122"/>
      <c r="GWL67" s="122"/>
      <c r="GWM67" s="122"/>
      <c r="GWN67" s="122"/>
      <c r="GWO67" s="122"/>
      <c r="GWP67" s="122"/>
      <c r="GWQ67" s="122"/>
      <c r="GWR67" s="122"/>
      <c r="GWS67" s="122"/>
      <c r="GWT67" s="122"/>
      <c r="GWU67" s="122"/>
      <c r="GWV67" s="122"/>
      <c r="GWW67" s="122"/>
      <c r="GWX67" s="122"/>
      <c r="GWY67" s="122"/>
      <c r="GWZ67" s="122"/>
      <c r="GXA67" s="122"/>
      <c r="GXB67" s="122"/>
      <c r="GXC67" s="122"/>
      <c r="GXD67" s="122"/>
      <c r="GXE67" s="122"/>
      <c r="GXF67" s="122"/>
      <c r="GXG67" s="122"/>
      <c r="GXH67" s="122"/>
      <c r="GXI67" s="122"/>
      <c r="GXJ67" s="122"/>
      <c r="GXK67" s="122"/>
      <c r="GXL67" s="122"/>
      <c r="GXM67" s="122"/>
      <c r="GXN67" s="122"/>
      <c r="GXO67" s="122"/>
      <c r="GXP67" s="122"/>
      <c r="GXQ67" s="122"/>
      <c r="GXR67" s="122"/>
      <c r="GXS67" s="122"/>
      <c r="GXT67" s="122"/>
      <c r="GXU67" s="122"/>
      <c r="GXV67" s="122"/>
      <c r="GXW67" s="122"/>
      <c r="GXX67" s="122"/>
      <c r="GXY67" s="122"/>
      <c r="GXZ67" s="122"/>
      <c r="GYA67" s="122"/>
      <c r="GYB67" s="122"/>
      <c r="GYC67" s="122"/>
      <c r="GYD67" s="122"/>
      <c r="GYE67" s="122"/>
      <c r="GYF67" s="122"/>
      <c r="GYG67" s="122"/>
      <c r="GYH67" s="122"/>
      <c r="GYI67" s="122"/>
      <c r="GYJ67" s="122"/>
      <c r="GYK67" s="122"/>
      <c r="GYL67" s="122"/>
      <c r="GYM67" s="122"/>
      <c r="GYN67" s="122"/>
      <c r="GYO67" s="122"/>
      <c r="GYP67" s="122"/>
      <c r="GYQ67" s="122"/>
      <c r="GYR67" s="122"/>
      <c r="GYS67" s="122"/>
      <c r="GYT67" s="122"/>
      <c r="GYU67" s="122"/>
      <c r="GYV67" s="122"/>
      <c r="GYW67" s="122"/>
      <c r="GYX67" s="122"/>
      <c r="GYY67" s="122"/>
      <c r="GYZ67" s="122"/>
      <c r="GZA67" s="122"/>
      <c r="GZB67" s="122"/>
      <c r="GZC67" s="122"/>
      <c r="GZD67" s="122"/>
      <c r="GZE67" s="122"/>
      <c r="GZF67" s="122"/>
      <c r="GZG67" s="122"/>
      <c r="GZH67" s="122"/>
      <c r="GZI67" s="122"/>
      <c r="GZJ67" s="122"/>
      <c r="GZK67" s="122"/>
      <c r="GZL67" s="122"/>
      <c r="GZM67" s="122"/>
      <c r="GZN67" s="122"/>
      <c r="GZO67" s="122"/>
      <c r="GZP67" s="122"/>
      <c r="GZQ67" s="122"/>
      <c r="GZR67" s="122"/>
      <c r="GZS67" s="122"/>
      <c r="GZT67" s="122"/>
      <c r="GZU67" s="122"/>
      <c r="GZV67" s="122"/>
      <c r="GZW67" s="122"/>
      <c r="GZX67" s="122"/>
      <c r="GZY67" s="122"/>
      <c r="GZZ67" s="122"/>
      <c r="HAA67" s="122"/>
      <c r="HAB67" s="122"/>
      <c r="HAC67" s="122"/>
      <c r="HAD67" s="122"/>
      <c r="HAE67" s="122"/>
      <c r="HAF67" s="122"/>
      <c r="HAG67" s="122"/>
      <c r="HAH67" s="122"/>
      <c r="HAI67" s="122"/>
      <c r="HAJ67" s="122"/>
      <c r="HAK67" s="122"/>
      <c r="HAL67" s="122"/>
      <c r="HAM67" s="122"/>
      <c r="HAN67" s="122"/>
      <c r="HAO67" s="122"/>
      <c r="HAP67" s="122"/>
      <c r="HAQ67" s="122"/>
      <c r="HAR67" s="122"/>
      <c r="HAS67" s="122"/>
      <c r="HAT67" s="122"/>
      <c r="HAU67" s="122"/>
      <c r="HAV67" s="122"/>
      <c r="HAW67" s="122"/>
      <c r="HAX67" s="122"/>
      <c r="HAY67" s="122"/>
      <c r="HAZ67" s="122"/>
      <c r="HBA67" s="122"/>
      <c r="HBB67" s="122"/>
      <c r="HBC67" s="122"/>
      <c r="HBD67" s="122"/>
      <c r="HBE67" s="122"/>
      <c r="HBF67" s="122"/>
      <c r="HBG67" s="122"/>
      <c r="HBH67" s="122"/>
      <c r="HBI67" s="122"/>
      <c r="HBJ67" s="122"/>
      <c r="HBK67" s="122"/>
      <c r="HBL67" s="122"/>
      <c r="HBM67" s="122"/>
      <c r="HBN67" s="122"/>
      <c r="HBO67" s="122"/>
      <c r="HBP67" s="122"/>
      <c r="HBQ67" s="122"/>
      <c r="HBR67" s="122"/>
      <c r="HBS67" s="122"/>
      <c r="HBT67" s="122"/>
      <c r="HBU67" s="122"/>
      <c r="HBV67" s="122"/>
      <c r="HBW67" s="122"/>
      <c r="HBX67" s="122"/>
      <c r="HBY67" s="122"/>
      <c r="HBZ67" s="122"/>
      <c r="HCA67" s="122"/>
      <c r="HCB67" s="122"/>
      <c r="HCC67" s="122"/>
      <c r="HCD67" s="122"/>
      <c r="HCE67" s="122"/>
      <c r="HCF67" s="122"/>
      <c r="HCG67" s="122"/>
      <c r="HCH67" s="122"/>
      <c r="HCI67" s="122"/>
      <c r="HCJ67" s="122"/>
      <c r="HCK67" s="122"/>
      <c r="HCL67" s="122"/>
      <c r="HCM67" s="122"/>
      <c r="HCN67" s="122"/>
      <c r="HCO67" s="122"/>
      <c r="HCP67" s="122"/>
      <c r="HCQ67" s="122"/>
      <c r="HCR67" s="122"/>
      <c r="HCS67" s="122"/>
      <c r="HCT67" s="122"/>
      <c r="HCU67" s="122"/>
      <c r="HCV67" s="122"/>
      <c r="HCW67" s="122"/>
      <c r="HCX67" s="122"/>
      <c r="HCY67" s="122"/>
      <c r="HCZ67" s="122"/>
      <c r="HDA67" s="122"/>
      <c r="HDB67" s="122"/>
      <c r="HDC67" s="122"/>
      <c r="HDD67" s="122"/>
      <c r="HDE67" s="122"/>
      <c r="HDF67" s="122"/>
      <c r="HDG67" s="122"/>
      <c r="HDH67" s="122"/>
      <c r="HDI67" s="122"/>
      <c r="HDJ67" s="122"/>
      <c r="HDK67" s="122"/>
      <c r="HDL67" s="122"/>
      <c r="HDM67" s="122"/>
      <c r="HDN67" s="122"/>
      <c r="HDO67" s="122"/>
      <c r="HDP67" s="122"/>
      <c r="HDQ67" s="122"/>
      <c r="HDR67" s="122"/>
      <c r="HDS67" s="122"/>
      <c r="HDT67" s="122"/>
      <c r="HDU67" s="122"/>
      <c r="HDV67" s="122"/>
      <c r="HDW67" s="122"/>
      <c r="HDX67" s="122"/>
      <c r="HDY67" s="122"/>
      <c r="HDZ67" s="122"/>
      <c r="HEA67" s="122"/>
      <c r="HEB67" s="122"/>
      <c r="HEC67" s="122"/>
      <c r="HED67" s="122"/>
      <c r="HEE67" s="122"/>
      <c r="HEF67" s="122"/>
      <c r="HEG67" s="122"/>
      <c r="HEH67" s="122"/>
      <c r="HEI67" s="122"/>
      <c r="HEJ67" s="122"/>
      <c r="HEK67" s="122"/>
      <c r="HEL67" s="122"/>
      <c r="HEM67" s="122"/>
      <c r="HEN67" s="122"/>
      <c r="HEO67" s="122"/>
      <c r="HEP67" s="122"/>
      <c r="HEQ67" s="122"/>
      <c r="HER67" s="122"/>
      <c r="HES67" s="122"/>
      <c r="HET67" s="122"/>
      <c r="HEU67" s="122"/>
      <c r="HEV67" s="122"/>
      <c r="HEW67" s="122"/>
      <c r="HEX67" s="122"/>
      <c r="HEY67" s="122"/>
      <c r="HEZ67" s="122"/>
      <c r="HFA67" s="122"/>
      <c r="HFB67" s="122"/>
      <c r="HFC67" s="122"/>
      <c r="HFD67" s="122"/>
      <c r="HFE67" s="122"/>
      <c r="HFF67" s="122"/>
      <c r="HFG67" s="122"/>
      <c r="HFH67" s="122"/>
      <c r="HFI67" s="122"/>
      <c r="HFJ67" s="122"/>
      <c r="HFK67" s="122"/>
      <c r="HFL67" s="122"/>
      <c r="HFM67" s="122"/>
      <c r="HFN67" s="122"/>
      <c r="HFO67" s="122"/>
      <c r="HFP67" s="122"/>
      <c r="HFQ67" s="122"/>
      <c r="HFR67" s="122"/>
      <c r="HFS67" s="122"/>
      <c r="HFT67" s="122"/>
      <c r="HFU67" s="122"/>
      <c r="HFV67" s="122"/>
      <c r="HFW67" s="122"/>
      <c r="HFX67" s="122"/>
      <c r="HFY67" s="122"/>
      <c r="HFZ67" s="122"/>
      <c r="HGA67" s="122"/>
      <c r="HGB67" s="122"/>
      <c r="HGC67" s="122"/>
      <c r="HGD67" s="122"/>
      <c r="HGE67" s="122"/>
      <c r="HGF67" s="122"/>
      <c r="HGG67" s="122"/>
      <c r="HGH67" s="122"/>
      <c r="HGI67" s="122"/>
      <c r="HGJ67" s="122"/>
      <c r="HGK67" s="122"/>
      <c r="HGL67" s="122"/>
      <c r="HGM67" s="122"/>
      <c r="HGN67" s="122"/>
      <c r="HGO67" s="122"/>
      <c r="HGP67" s="122"/>
      <c r="HGQ67" s="122"/>
      <c r="HGR67" s="122"/>
      <c r="HGS67" s="122"/>
      <c r="HGT67" s="122"/>
      <c r="HGU67" s="122"/>
      <c r="HGV67" s="122"/>
      <c r="HGW67" s="122"/>
      <c r="HGX67" s="122"/>
      <c r="HGY67" s="122"/>
      <c r="HGZ67" s="122"/>
      <c r="HHA67" s="122"/>
      <c r="HHB67" s="122"/>
      <c r="HHC67" s="122"/>
      <c r="HHD67" s="122"/>
      <c r="HHE67" s="122"/>
      <c r="HHF67" s="122"/>
      <c r="HHG67" s="122"/>
      <c r="HHH67" s="122"/>
      <c r="HHI67" s="122"/>
      <c r="HHJ67" s="122"/>
      <c r="HHK67" s="122"/>
      <c r="HHL67" s="122"/>
      <c r="HHM67" s="122"/>
      <c r="HHN67" s="122"/>
      <c r="HHO67" s="122"/>
      <c r="HHP67" s="122"/>
      <c r="HHQ67" s="122"/>
      <c r="HHR67" s="122"/>
      <c r="HHS67" s="122"/>
      <c r="HHT67" s="122"/>
      <c r="HHU67" s="122"/>
      <c r="HHV67" s="122"/>
      <c r="HHW67" s="122"/>
      <c r="HHX67" s="122"/>
      <c r="HHY67" s="122"/>
      <c r="HHZ67" s="122"/>
      <c r="HIA67" s="122"/>
      <c r="HIB67" s="122"/>
      <c r="HIC67" s="122"/>
      <c r="HID67" s="122"/>
      <c r="HIE67" s="122"/>
      <c r="HIF67" s="122"/>
      <c r="HIG67" s="122"/>
      <c r="HIH67" s="122"/>
      <c r="HII67" s="122"/>
      <c r="HIJ67" s="122"/>
      <c r="HIK67" s="122"/>
      <c r="HIL67" s="122"/>
      <c r="HIM67" s="122"/>
      <c r="HIN67" s="122"/>
      <c r="HIO67" s="122"/>
      <c r="HIP67" s="122"/>
      <c r="HIQ67" s="122"/>
      <c r="HIR67" s="122"/>
      <c r="HIS67" s="122"/>
      <c r="HIT67" s="122"/>
      <c r="HIU67" s="122"/>
      <c r="HIV67" s="122"/>
      <c r="HIW67" s="122"/>
      <c r="HIX67" s="122"/>
      <c r="HIY67" s="122"/>
      <c r="HIZ67" s="122"/>
      <c r="HJA67" s="122"/>
      <c r="HJB67" s="122"/>
      <c r="HJC67" s="122"/>
      <c r="HJD67" s="122"/>
      <c r="HJE67" s="122"/>
      <c r="HJF67" s="122"/>
      <c r="HJG67" s="122"/>
      <c r="HJH67" s="122"/>
      <c r="HJI67" s="122"/>
      <c r="HJJ67" s="122"/>
      <c r="HJK67" s="122"/>
      <c r="HJL67" s="122"/>
      <c r="HJM67" s="122"/>
      <c r="HJN67" s="122"/>
      <c r="HJO67" s="122"/>
      <c r="HJP67" s="122"/>
      <c r="HJQ67" s="122"/>
      <c r="HJR67" s="122"/>
      <c r="HJS67" s="122"/>
      <c r="HJT67" s="122"/>
      <c r="HJU67" s="122"/>
      <c r="HJV67" s="122"/>
      <c r="HJW67" s="122"/>
      <c r="HJX67" s="122"/>
      <c r="HJY67" s="122"/>
      <c r="HJZ67" s="122"/>
      <c r="HKA67" s="122"/>
      <c r="HKB67" s="122"/>
      <c r="HKC67" s="122"/>
      <c r="HKD67" s="122"/>
      <c r="HKE67" s="122"/>
      <c r="HKF67" s="122"/>
      <c r="HKG67" s="122"/>
      <c r="HKH67" s="122"/>
      <c r="HKI67" s="122"/>
      <c r="HKJ67" s="122"/>
      <c r="HKK67" s="122"/>
      <c r="HKL67" s="122"/>
      <c r="HKM67" s="122"/>
      <c r="HKN67" s="122"/>
      <c r="HKO67" s="122"/>
      <c r="HKP67" s="122"/>
      <c r="HKQ67" s="122"/>
      <c r="HKR67" s="122"/>
      <c r="HKS67" s="122"/>
      <c r="HKT67" s="122"/>
      <c r="HKU67" s="122"/>
      <c r="HKV67" s="122"/>
      <c r="HKW67" s="122"/>
      <c r="HKX67" s="122"/>
      <c r="HKY67" s="122"/>
      <c r="HKZ67" s="122"/>
      <c r="HLA67" s="122"/>
      <c r="HLB67" s="122"/>
      <c r="HLC67" s="122"/>
      <c r="HLD67" s="122"/>
      <c r="HLE67" s="122"/>
      <c r="HLF67" s="122"/>
      <c r="HLG67" s="122"/>
      <c r="HLH67" s="122"/>
      <c r="HLI67" s="122"/>
      <c r="HLJ67" s="122"/>
      <c r="HLK67" s="122"/>
      <c r="HLL67" s="122"/>
      <c r="HLM67" s="122"/>
      <c r="HLN67" s="122"/>
      <c r="HLO67" s="122"/>
      <c r="HLP67" s="122"/>
      <c r="HLQ67" s="122"/>
      <c r="HLR67" s="122"/>
      <c r="HLS67" s="122"/>
      <c r="HLT67" s="122"/>
      <c r="HLU67" s="122"/>
      <c r="HLV67" s="122"/>
      <c r="HLW67" s="122"/>
      <c r="HLX67" s="122"/>
      <c r="HLY67" s="122"/>
      <c r="HLZ67" s="122"/>
      <c r="HMA67" s="122"/>
      <c r="HMB67" s="122"/>
      <c r="HMC67" s="122"/>
      <c r="HMD67" s="122"/>
      <c r="HME67" s="122"/>
      <c r="HMF67" s="122"/>
      <c r="HMG67" s="122"/>
      <c r="HMH67" s="122"/>
      <c r="HMI67" s="122"/>
      <c r="HMJ67" s="122"/>
      <c r="HMK67" s="122"/>
      <c r="HML67" s="122"/>
      <c r="HMM67" s="122"/>
      <c r="HMN67" s="122"/>
      <c r="HMO67" s="122"/>
      <c r="HMP67" s="122"/>
      <c r="HMQ67" s="122"/>
      <c r="HMR67" s="122"/>
      <c r="HMS67" s="122"/>
      <c r="HMT67" s="122"/>
      <c r="HMU67" s="122"/>
      <c r="HMV67" s="122"/>
      <c r="HMW67" s="122"/>
      <c r="HMX67" s="122"/>
      <c r="HMY67" s="122"/>
      <c r="HMZ67" s="122"/>
      <c r="HNA67" s="122"/>
      <c r="HNB67" s="122"/>
      <c r="HNC67" s="122"/>
      <c r="HND67" s="122"/>
      <c r="HNE67" s="122"/>
      <c r="HNF67" s="122"/>
      <c r="HNG67" s="122"/>
      <c r="HNH67" s="122"/>
      <c r="HNI67" s="122"/>
      <c r="HNJ67" s="122"/>
      <c r="HNK67" s="122"/>
      <c r="HNL67" s="122"/>
      <c r="HNM67" s="122"/>
      <c r="HNN67" s="122"/>
      <c r="HNO67" s="122"/>
      <c r="HNP67" s="122"/>
      <c r="HNQ67" s="122"/>
      <c r="HNR67" s="122"/>
      <c r="HNS67" s="122"/>
      <c r="HNT67" s="122"/>
      <c r="HNU67" s="122"/>
      <c r="HNV67" s="122"/>
      <c r="HNW67" s="122"/>
      <c r="HNX67" s="122"/>
      <c r="HNY67" s="122"/>
      <c r="HNZ67" s="122"/>
      <c r="HOA67" s="122"/>
      <c r="HOB67" s="122"/>
      <c r="HOC67" s="122"/>
      <c r="HOD67" s="122"/>
      <c r="HOE67" s="122"/>
      <c r="HOF67" s="122"/>
      <c r="HOG67" s="122"/>
      <c r="HOH67" s="122"/>
      <c r="HOI67" s="122"/>
      <c r="HOJ67" s="122"/>
      <c r="HOK67" s="122"/>
      <c r="HOL67" s="122"/>
      <c r="HOM67" s="122"/>
      <c r="HON67" s="122"/>
      <c r="HOO67" s="122"/>
      <c r="HOP67" s="122"/>
      <c r="HOQ67" s="122"/>
      <c r="HOR67" s="122"/>
      <c r="HOS67" s="122"/>
      <c r="HOT67" s="122"/>
      <c r="HOU67" s="122"/>
      <c r="HOV67" s="122"/>
      <c r="HOW67" s="122"/>
      <c r="HOX67" s="122"/>
      <c r="HOY67" s="122"/>
      <c r="HOZ67" s="122"/>
      <c r="HPA67" s="122"/>
      <c r="HPB67" s="122"/>
      <c r="HPC67" s="122"/>
      <c r="HPD67" s="122"/>
      <c r="HPE67" s="122"/>
      <c r="HPF67" s="122"/>
      <c r="HPG67" s="122"/>
      <c r="HPH67" s="122"/>
      <c r="HPI67" s="122"/>
      <c r="HPJ67" s="122"/>
      <c r="HPK67" s="122"/>
      <c r="HPL67" s="122"/>
      <c r="HPM67" s="122"/>
      <c r="HPN67" s="122"/>
      <c r="HPO67" s="122"/>
      <c r="HPP67" s="122"/>
      <c r="HPQ67" s="122"/>
      <c r="HPR67" s="122"/>
      <c r="HPS67" s="122"/>
      <c r="HPT67" s="122"/>
      <c r="HPU67" s="122"/>
      <c r="HPV67" s="122"/>
      <c r="HPW67" s="122"/>
      <c r="HPX67" s="122"/>
      <c r="HPY67" s="122"/>
      <c r="HPZ67" s="122"/>
      <c r="HQA67" s="122"/>
      <c r="HQB67" s="122"/>
      <c r="HQC67" s="122"/>
      <c r="HQD67" s="122"/>
      <c r="HQE67" s="122"/>
      <c r="HQF67" s="122"/>
      <c r="HQG67" s="122"/>
      <c r="HQH67" s="122"/>
      <c r="HQI67" s="122"/>
      <c r="HQJ67" s="122"/>
      <c r="HQK67" s="122"/>
      <c r="HQL67" s="122"/>
      <c r="HQM67" s="122"/>
      <c r="HQN67" s="122"/>
      <c r="HQO67" s="122"/>
      <c r="HQP67" s="122"/>
      <c r="HQQ67" s="122"/>
      <c r="HQR67" s="122"/>
      <c r="HQS67" s="122"/>
      <c r="HQT67" s="122"/>
      <c r="HQU67" s="122"/>
      <c r="HQV67" s="122"/>
      <c r="HQW67" s="122"/>
      <c r="HQX67" s="122"/>
      <c r="HQY67" s="122"/>
      <c r="HQZ67" s="122"/>
      <c r="HRA67" s="122"/>
      <c r="HRB67" s="122"/>
      <c r="HRC67" s="122"/>
      <c r="HRD67" s="122"/>
      <c r="HRE67" s="122"/>
      <c r="HRF67" s="122"/>
      <c r="HRG67" s="122"/>
      <c r="HRH67" s="122"/>
      <c r="HRI67" s="122"/>
      <c r="HRJ67" s="122"/>
      <c r="HRK67" s="122"/>
      <c r="HRL67" s="122"/>
      <c r="HRM67" s="122"/>
      <c r="HRN67" s="122"/>
      <c r="HRO67" s="122"/>
      <c r="HRP67" s="122"/>
      <c r="HRQ67" s="122"/>
      <c r="HRR67" s="122"/>
      <c r="HRS67" s="122"/>
      <c r="HRT67" s="122"/>
      <c r="HRU67" s="122"/>
      <c r="HRV67" s="122"/>
      <c r="HRW67" s="122"/>
      <c r="HRX67" s="122"/>
      <c r="HRY67" s="122"/>
      <c r="HRZ67" s="122"/>
      <c r="HSA67" s="122"/>
      <c r="HSB67" s="122"/>
      <c r="HSC67" s="122"/>
      <c r="HSD67" s="122"/>
      <c r="HSE67" s="122"/>
      <c r="HSF67" s="122"/>
      <c r="HSG67" s="122"/>
      <c r="HSH67" s="122"/>
      <c r="HSI67" s="122"/>
      <c r="HSJ67" s="122"/>
      <c r="HSK67" s="122"/>
      <c r="HSL67" s="122"/>
      <c r="HSM67" s="122"/>
      <c r="HSN67" s="122"/>
      <c r="HSO67" s="122"/>
      <c r="HSP67" s="122"/>
      <c r="HSQ67" s="122"/>
      <c r="HSR67" s="122"/>
      <c r="HSS67" s="122"/>
      <c r="HST67" s="122"/>
      <c r="HSU67" s="122"/>
      <c r="HSV67" s="122"/>
      <c r="HSW67" s="122"/>
      <c r="HSX67" s="122"/>
      <c r="HSY67" s="122"/>
      <c r="HSZ67" s="122"/>
      <c r="HTA67" s="122"/>
      <c r="HTB67" s="122"/>
      <c r="HTC67" s="122"/>
      <c r="HTD67" s="122"/>
      <c r="HTE67" s="122"/>
      <c r="HTF67" s="122"/>
      <c r="HTG67" s="122"/>
      <c r="HTH67" s="122"/>
      <c r="HTI67" s="122"/>
      <c r="HTJ67" s="122"/>
      <c r="HTK67" s="122"/>
      <c r="HTL67" s="122"/>
      <c r="HTM67" s="122"/>
      <c r="HTN67" s="122"/>
      <c r="HTO67" s="122"/>
      <c r="HTP67" s="122"/>
      <c r="HTQ67" s="122"/>
      <c r="HTR67" s="122"/>
      <c r="HTS67" s="122"/>
      <c r="HTT67" s="122"/>
      <c r="HTU67" s="122"/>
      <c r="HTV67" s="122"/>
      <c r="HTW67" s="122"/>
      <c r="HTX67" s="122"/>
      <c r="HTY67" s="122"/>
      <c r="HTZ67" s="122"/>
      <c r="HUA67" s="122"/>
      <c r="HUB67" s="122"/>
      <c r="HUC67" s="122"/>
      <c r="HUD67" s="122"/>
      <c r="HUE67" s="122"/>
      <c r="HUF67" s="122"/>
      <c r="HUG67" s="122"/>
      <c r="HUH67" s="122"/>
      <c r="HUI67" s="122"/>
      <c r="HUJ67" s="122"/>
      <c r="HUK67" s="122"/>
      <c r="HUL67" s="122"/>
      <c r="HUM67" s="122"/>
      <c r="HUN67" s="122"/>
      <c r="HUO67" s="122"/>
      <c r="HUP67" s="122"/>
      <c r="HUQ67" s="122"/>
      <c r="HUR67" s="122"/>
      <c r="HUS67" s="122"/>
      <c r="HUT67" s="122"/>
      <c r="HUU67" s="122"/>
      <c r="HUV67" s="122"/>
      <c r="HUW67" s="122"/>
      <c r="HUX67" s="122"/>
      <c r="HUY67" s="122"/>
      <c r="HUZ67" s="122"/>
      <c r="HVA67" s="122"/>
      <c r="HVB67" s="122"/>
      <c r="HVC67" s="122"/>
      <c r="HVD67" s="122"/>
      <c r="HVE67" s="122"/>
      <c r="HVF67" s="122"/>
      <c r="HVG67" s="122"/>
      <c r="HVH67" s="122"/>
      <c r="HVI67" s="122"/>
      <c r="HVJ67" s="122"/>
      <c r="HVK67" s="122"/>
      <c r="HVL67" s="122"/>
      <c r="HVM67" s="122"/>
      <c r="HVN67" s="122"/>
      <c r="HVO67" s="122"/>
      <c r="HVP67" s="122"/>
      <c r="HVQ67" s="122"/>
      <c r="HVR67" s="122"/>
      <c r="HVS67" s="122"/>
      <c r="HVT67" s="122"/>
      <c r="HVU67" s="122"/>
      <c r="HVV67" s="122"/>
      <c r="HVW67" s="122"/>
      <c r="HVX67" s="122"/>
      <c r="HVY67" s="122"/>
      <c r="HVZ67" s="122"/>
      <c r="HWA67" s="122"/>
      <c r="HWB67" s="122"/>
      <c r="HWC67" s="122"/>
      <c r="HWD67" s="122"/>
      <c r="HWE67" s="122"/>
      <c r="HWF67" s="122"/>
      <c r="HWG67" s="122"/>
      <c r="HWH67" s="122"/>
      <c r="HWI67" s="122"/>
      <c r="HWJ67" s="122"/>
      <c r="HWK67" s="122"/>
      <c r="HWL67" s="122"/>
      <c r="HWM67" s="122"/>
      <c r="HWN67" s="122"/>
      <c r="HWO67" s="122"/>
      <c r="HWP67" s="122"/>
      <c r="HWQ67" s="122"/>
      <c r="HWR67" s="122"/>
      <c r="HWS67" s="122"/>
      <c r="HWT67" s="122"/>
      <c r="HWU67" s="122"/>
      <c r="HWV67" s="122"/>
      <c r="HWW67" s="122"/>
      <c r="HWX67" s="122"/>
      <c r="HWY67" s="122"/>
      <c r="HWZ67" s="122"/>
      <c r="HXA67" s="122"/>
      <c r="HXB67" s="122"/>
      <c r="HXC67" s="122"/>
      <c r="HXD67" s="122"/>
      <c r="HXE67" s="122"/>
      <c r="HXF67" s="122"/>
      <c r="HXG67" s="122"/>
      <c r="HXH67" s="122"/>
      <c r="HXI67" s="122"/>
      <c r="HXJ67" s="122"/>
      <c r="HXK67" s="122"/>
      <c r="HXL67" s="122"/>
      <c r="HXM67" s="122"/>
      <c r="HXN67" s="122"/>
      <c r="HXO67" s="122"/>
      <c r="HXP67" s="122"/>
      <c r="HXQ67" s="122"/>
      <c r="HXR67" s="122"/>
      <c r="HXS67" s="122"/>
      <c r="HXT67" s="122"/>
      <c r="HXU67" s="122"/>
      <c r="HXV67" s="122"/>
      <c r="HXW67" s="122"/>
      <c r="HXX67" s="122"/>
      <c r="HXY67" s="122"/>
      <c r="HXZ67" s="122"/>
      <c r="HYA67" s="122"/>
      <c r="HYB67" s="122"/>
      <c r="HYC67" s="122"/>
      <c r="HYD67" s="122"/>
      <c r="HYE67" s="122"/>
      <c r="HYF67" s="122"/>
      <c r="HYG67" s="122"/>
      <c r="HYH67" s="122"/>
      <c r="HYI67" s="122"/>
      <c r="HYJ67" s="122"/>
      <c r="HYK67" s="122"/>
      <c r="HYL67" s="122"/>
      <c r="HYM67" s="122"/>
      <c r="HYN67" s="122"/>
      <c r="HYO67" s="122"/>
      <c r="HYP67" s="122"/>
      <c r="HYQ67" s="122"/>
      <c r="HYR67" s="122"/>
      <c r="HYS67" s="122"/>
      <c r="HYT67" s="122"/>
      <c r="HYU67" s="122"/>
      <c r="HYV67" s="122"/>
      <c r="HYW67" s="122"/>
      <c r="HYX67" s="122"/>
      <c r="HYY67" s="122"/>
      <c r="HYZ67" s="122"/>
      <c r="HZA67" s="122"/>
      <c r="HZB67" s="122"/>
      <c r="HZC67" s="122"/>
      <c r="HZD67" s="122"/>
      <c r="HZE67" s="122"/>
      <c r="HZF67" s="122"/>
      <c r="HZG67" s="122"/>
      <c r="HZH67" s="122"/>
      <c r="HZI67" s="122"/>
      <c r="HZJ67" s="122"/>
      <c r="HZK67" s="122"/>
      <c r="HZL67" s="122"/>
      <c r="HZM67" s="122"/>
      <c r="HZN67" s="122"/>
      <c r="HZO67" s="122"/>
      <c r="HZP67" s="122"/>
      <c r="HZQ67" s="122"/>
      <c r="HZR67" s="122"/>
      <c r="HZS67" s="122"/>
      <c r="HZT67" s="122"/>
      <c r="HZU67" s="122"/>
      <c r="HZV67" s="122"/>
      <c r="HZW67" s="122"/>
      <c r="HZX67" s="122"/>
      <c r="HZY67" s="122"/>
      <c r="HZZ67" s="122"/>
      <c r="IAA67" s="122"/>
      <c r="IAB67" s="122"/>
      <c r="IAC67" s="122"/>
      <c r="IAD67" s="122"/>
      <c r="IAE67" s="122"/>
      <c r="IAF67" s="122"/>
      <c r="IAG67" s="122"/>
      <c r="IAH67" s="122"/>
      <c r="IAI67" s="122"/>
      <c r="IAJ67" s="122"/>
      <c r="IAK67" s="122"/>
      <c r="IAL67" s="122"/>
      <c r="IAM67" s="122"/>
      <c r="IAN67" s="122"/>
      <c r="IAO67" s="122"/>
      <c r="IAP67" s="122"/>
      <c r="IAQ67" s="122"/>
      <c r="IAR67" s="122"/>
      <c r="IAS67" s="122"/>
      <c r="IAT67" s="122"/>
      <c r="IAU67" s="122"/>
      <c r="IAV67" s="122"/>
      <c r="IAW67" s="122"/>
      <c r="IAX67" s="122"/>
      <c r="IAY67" s="122"/>
      <c r="IAZ67" s="122"/>
      <c r="IBA67" s="122"/>
      <c r="IBB67" s="122"/>
      <c r="IBC67" s="122"/>
      <c r="IBD67" s="122"/>
      <c r="IBE67" s="122"/>
      <c r="IBF67" s="122"/>
      <c r="IBG67" s="122"/>
      <c r="IBH67" s="122"/>
      <c r="IBI67" s="122"/>
      <c r="IBJ67" s="122"/>
      <c r="IBK67" s="122"/>
      <c r="IBL67" s="122"/>
      <c r="IBM67" s="122"/>
      <c r="IBN67" s="122"/>
      <c r="IBO67" s="122"/>
      <c r="IBP67" s="122"/>
      <c r="IBQ67" s="122"/>
      <c r="IBR67" s="122"/>
      <c r="IBS67" s="122"/>
      <c r="IBT67" s="122"/>
      <c r="IBU67" s="122"/>
      <c r="IBV67" s="122"/>
      <c r="IBW67" s="122"/>
      <c r="IBX67" s="122"/>
      <c r="IBY67" s="122"/>
      <c r="IBZ67" s="122"/>
      <c r="ICA67" s="122"/>
      <c r="ICB67" s="122"/>
      <c r="ICC67" s="122"/>
      <c r="ICD67" s="122"/>
      <c r="ICE67" s="122"/>
      <c r="ICF67" s="122"/>
      <c r="ICG67" s="122"/>
      <c r="ICH67" s="122"/>
      <c r="ICI67" s="122"/>
      <c r="ICJ67" s="122"/>
      <c r="ICK67" s="122"/>
      <c r="ICL67" s="122"/>
      <c r="ICM67" s="122"/>
      <c r="ICN67" s="122"/>
      <c r="ICO67" s="122"/>
      <c r="ICP67" s="122"/>
      <c r="ICQ67" s="122"/>
      <c r="ICR67" s="122"/>
      <c r="ICS67" s="122"/>
      <c r="ICT67" s="122"/>
      <c r="ICU67" s="122"/>
      <c r="ICV67" s="122"/>
      <c r="ICW67" s="122"/>
      <c r="ICX67" s="122"/>
      <c r="ICY67" s="122"/>
      <c r="ICZ67" s="122"/>
      <c r="IDA67" s="122"/>
      <c r="IDB67" s="122"/>
      <c r="IDC67" s="122"/>
      <c r="IDD67" s="122"/>
      <c r="IDE67" s="122"/>
      <c r="IDF67" s="122"/>
      <c r="IDG67" s="122"/>
      <c r="IDH67" s="122"/>
      <c r="IDI67" s="122"/>
      <c r="IDJ67" s="122"/>
      <c r="IDK67" s="122"/>
      <c r="IDL67" s="122"/>
      <c r="IDM67" s="122"/>
      <c r="IDN67" s="122"/>
      <c r="IDO67" s="122"/>
      <c r="IDP67" s="122"/>
      <c r="IDQ67" s="122"/>
      <c r="IDR67" s="122"/>
      <c r="IDS67" s="122"/>
      <c r="IDT67" s="122"/>
      <c r="IDU67" s="122"/>
      <c r="IDV67" s="122"/>
      <c r="IDW67" s="122"/>
      <c r="IDX67" s="122"/>
      <c r="IDY67" s="122"/>
      <c r="IDZ67" s="122"/>
      <c r="IEA67" s="122"/>
      <c r="IEB67" s="122"/>
      <c r="IEC67" s="122"/>
      <c r="IED67" s="122"/>
      <c r="IEE67" s="122"/>
      <c r="IEF67" s="122"/>
      <c r="IEG67" s="122"/>
      <c r="IEH67" s="122"/>
      <c r="IEI67" s="122"/>
      <c r="IEJ67" s="122"/>
      <c r="IEK67" s="122"/>
      <c r="IEL67" s="122"/>
      <c r="IEM67" s="122"/>
      <c r="IEN67" s="122"/>
      <c r="IEO67" s="122"/>
      <c r="IEP67" s="122"/>
      <c r="IEQ67" s="122"/>
      <c r="IER67" s="122"/>
      <c r="IES67" s="122"/>
      <c r="IET67" s="122"/>
      <c r="IEU67" s="122"/>
      <c r="IEV67" s="122"/>
      <c r="IEW67" s="122"/>
      <c r="IEX67" s="122"/>
      <c r="IEY67" s="122"/>
      <c r="IEZ67" s="122"/>
      <c r="IFA67" s="122"/>
      <c r="IFB67" s="122"/>
      <c r="IFC67" s="122"/>
      <c r="IFD67" s="122"/>
      <c r="IFE67" s="122"/>
      <c r="IFF67" s="122"/>
      <c r="IFG67" s="122"/>
      <c r="IFH67" s="122"/>
      <c r="IFI67" s="122"/>
      <c r="IFJ67" s="122"/>
      <c r="IFK67" s="122"/>
      <c r="IFL67" s="122"/>
      <c r="IFM67" s="122"/>
      <c r="IFN67" s="122"/>
      <c r="IFO67" s="122"/>
      <c r="IFP67" s="122"/>
      <c r="IFQ67" s="122"/>
      <c r="IFR67" s="122"/>
      <c r="IFS67" s="122"/>
      <c r="IFT67" s="122"/>
      <c r="IFU67" s="122"/>
      <c r="IFV67" s="122"/>
      <c r="IFW67" s="122"/>
      <c r="IFX67" s="122"/>
      <c r="IFY67" s="122"/>
      <c r="IFZ67" s="122"/>
      <c r="IGA67" s="122"/>
      <c r="IGB67" s="122"/>
      <c r="IGC67" s="122"/>
      <c r="IGD67" s="122"/>
      <c r="IGE67" s="122"/>
      <c r="IGF67" s="122"/>
      <c r="IGG67" s="122"/>
      <c r="IGH67" s="122"/>
      <c r="IGI67" s="122"/>
      <c r="IGJ67" s="122"/>
      <c r="IGK67" s="122"/>
      <c r="IGL67" s="122"/>
      <c r="IGM67" s="122"/>
      <c r="IGN67" s="122"/>
      <c r="IGO67" s="122"/>
      <c r="IGP67" s="122"/>
      <c r="IGQ67" s="122"/>
      <c r="IGR67" s="122"/>
      <c r="IGS67" s="122"/>
      <c r="IGT67" s="122"/>
      <c r="IGU67" s="122"/>
      <c r="IGV67" s="122"/>
      <c r="IGW67" s="122"/>
      <c r="IGX67" s="122"/>
      <c r="IGY67" s="122"/>
      <c r="IGZ67" s="122"/>
      <c r="IHA67" s="122"/>
      <c r="IHB67" s="122"/>
      <c r="IHC67" s="122"/>
      <c r="IHD67" s="122"/>
      <c r="IHE67" s="122"/>
      <c r="IHF67" s="122"/>
      <c r="IHG67" s="122"/>
      <c r="IHH67" s="122"/>
      <c r="IHI67" s="122"/>
      <c r="IHJ67" s="122"/>
      <c r="IHK67" s="122"/>
      <c r="IHL67" s="122"/>
      <c r="IHM67" s="122"/>
      <c r="IHN67" s="122"/>
      <c r="IHO67" s="122"/>
      <c r="IHP67" s="122"/>
      <c r="IHQ67" s="122"/>
      <c r="IHR67" s="122"/>
      <c r="IHS67" s="122"/>
      <c r="IHT67" s="122"/>
      <c r="IHU67" s="122"/>
      <c r="IHV67" s="122"/>
      <c r="IHW67" s="122"/>
      <c r="IHX67" s="122"/>
      <c r="IHY67" s="122"/>
      <c r="IHZ67" s="122"/>
      <c r="IIA67" s="122"/>
      <c r="IIB67" s="122"/>
      <c r="IIC67" s="122"/>
      <c r="IID67" s="122"/>
      <c r="IIE67" s="122"/>
      <c r="IIF67" s="122"/>
      <c r="IIG67" s="122"/>
      <c r="IIH67" s="122"/>
      <c r="III67" s="122"/>
      <c r="IIJ67" s="122"/>
      <c r="IIK67" s="122"/>
      <c r="IIL67" s="122"/>
      <c r="IIM67" s="122"/>
      <c r="IIN67" s="122"/>
      <c r="IIO67" s="122"/>
      <c r="IIP67" s="122"/>
      <c r="IIQ67" s="122"/>
      <c r="IIR67" s="122"/>
      <c r="IIS67" s="122"/>
      <c r="IIT67" s="122"/>
      <c r="IIU67" s="122"/>
      <c r="IIV67" s="122"/>
      <c r="IIW67" s="122"/>
      <c r="IIX67" s="122"/>
      <c r="IIY67" s="122"/>
      <c r="IIZ67" s="122"/>
      <c r="IJA67" s="122"/>
      <c r="IJB67" s="122"/>
      <c r="IJC67" s="122"/>
      <c r="IJD67" s="122"/>
      <c r="IJE67" s="122"/>
      <c r="IJF67" s="122"/>
      <c r="IJG67" s="122"/>
      <c r="IJH67" s="122"/>
      <c r="IJI67" s="122"/>
      <c r="IJJ67" s="122"/>
      <c r="IJK67" s="122"/>
      <c r="IJL67" s="122"/>
      <c r="IJM67" s="122"/>
      <c r="IJN67" s="122"/>
      <c r="IJO67" s="122"/>
      <c r="IJP67" s="122"/>
      <c r="IJQ67" s="122"/>
      <c r="IJR67" s="122"/>
      <c r="IJS67" s="122"/>
      <c r="IJT67" s="122"/>
      <c r="IJU67" s="122"/>
      <c r="IJV67" s="122"/>
      <c r="IJW67" s="122"/>
      <c r="IJX67" s="122"/>
      <c r="IJY67" s="122"/>
      <c r="IJZ67" s="122"/>
      <c r="IKA67" s="122"/>
      <c r="IKB67" s="122"/>
      <c r="IKC67" s="122"/>
      <c r="IKD67" s="122"/>
      <c r="IKE67" s="122"/>
      <c r="IKF67" s="122"/>
      <c r="IKG67" s="122"/>
      <c r="IKH67" s="122"/>
      <c r="IKI67" s="122"/>
      <c r="IKJ67" s="122"/>
      <c r="IKK67" s="122"/>
      <c r="IKL67" s="122"/>
      <c r="IKM67" s="122"/>
      <c r="IKN67" s="122"/>
      <c r="IKO67" s="122"/>
      <c r="IKP67" s="122"/>
      <c r="IKQ67" s="122"/>
      <c r="IKR67" s="122"/>
      <c r="IKS67" s="122"/>
      <c r="IKT67" s="122"/>
      <c r="IKU67" s="122"/>
      <c r="IKV67" s="122"/>
      <c r="IKW67" s="122"/>
      <c r="IKX67" s="122"/>
      <c r="IKY67" s="122"/>
      <c r="IKZ67" s="122"/>
      <c r="ILA67" s="122"/>
      <c r="ILB67" s="122"/>
      <c r="ILC67" s="122"/>
      <c r="ILD67" s="122"/>
      <c r="ILE67" s="122"/>
      <c r="ILF67" s="122"/>
      <c r="ILG67" s="122"/>
      <c r="ILH67" s="122"/>
      <c r="ILI67" s="122"/>
      <c r="ILJ67" s="122"/>
      <c r="ILK67" s="122"/>
      <c r="ILL67" s="122"/>
      <c r="ILM67" s="122"/>
      <c r="ILN67" s="122"/>
      <c r="ILO67" s="122"/>
      <c r="ILP67" s="122"/>
      <c r="ILQ67" s="122"/>
      <c r="ILR67" s="122"/>
      <c r="ILS67" s="122"/>
      <c r="ILT67" s="122"/>
      <c r="ILU67" s="122"/>
      <c r="ILV67" s="122"/>
      <c r="ILW67" s="122"/>
      <c r="ILX67" s="122"/>
      <c r="ILY67" s="122"/>
      <c r="ILZ67" s="122"/>
      <c r="IMA67" s="122"/>
      <c r="IMB67" s="122"/>
      <c r="IMC67" s="122"/>
      <c r="IMD67" s="122"/>
      <c r="IME67" s="122"/>
      <c r="IMF67" s="122"/>
      <c r="IMG67" s="122"/>
      <c r="IMH67" s="122"/>
      <c r="IMI67" s="122"/>
      <c r="IMJ67" s="122"/>
      <c r="IMK67" s="122"/>
      <c r="IML67" s="122"/>
      <c r="IMM67" s="122"/>
      <c r="IMN67" s="122"/>
      <c r="IMO67" s="122"/>
      <c r="IMP67" s="122"/>
      <c r="IMQ67" s="122"/>
      <c r="IMR67" s="122"/>
      <c r="IMS67" s="122"/>
      <c r="IMT67" s="122"/>
      <c r="IMU67" s="122"/>
      <c r="IMV67" s="122"/>
      <c r="IMW67" s="122"/>
      <c r="IMX67" s="122"/>
      <c r="IMY67" s="122"/>
      <c r="IMZ67" s="122"/>
      <c r="INA67" s="122"/>
      <c r="INB67" s="122"/>
      <c r="INC67" s="122"/>
      <c r="IND67" s="122"/>
      <c r="INE67" s="122"/>
      <c r="INF67" s="122"/>
      <c r="ING67" s="122"/>
      <c r="INH67" s="122"/>
      <c r="INI67" s="122"/>
      <c r="INJ67" s="122"/>
      <c r="INK67" s="122"/>
      <c r="INL67" s="122"/>
      <c r="INM67" s="122"/>
      <c r="INN67" s="122"/>
      <c r="INO67" s="122"/>
      <c r="INP67" s="122"/>
      <c r="INQ67" s="122"/>
      <c r="INR67" s="122"/>
      <c r="INS67" s="122"/>
      <c r="INT67" s="122"/>
      <c r="INU67" s="122"/>
      <c r="INV67" s="122"/>
      <c r="INW67" s="122"/>
      <c r="INX67" s="122"/>
      <c r="INY67" s="122"/>
      <c r="INZ67" s="122"/>
      <c r="IOA67" s="122"/>
      <c r="IOB67" s="122"/>
      <c r="IOC67" s="122"/>
      <c r="IOD67" s="122"/>
      <c r="IOE67" s="122"/>
      <c r="IOF67" s="122"/>
      <c r="IOG67" s="122"/>
      <c r="IOH67" s="122"/>
      <c r="IOI67" s="122"/>
      <c r="IOJ67" s="122"/>
      <c r="IOK67" s="122"/>
      <c r="IOL67" s="122"/>
      <c r="IOM67" s="122"/>
      <c r="ION67" s="122"/>
      <c r="IOO67" s="122"/>
      <c r="IOP67" s="122"/>
      <c r="IOQ67" s="122"/>
      <c r="IOR67" s="122"/>
      <c r="IOS67" s="122"/>
      <c r="IOT67" s="122"/>
      <c r="IOU67" s="122"/>
      <c r="IOV67" s="122"/>
      <c r="IOW67" s="122"/>
      <c r="IOX67" s="122"/>
      <c r="IOY67" s="122"/>
      <c r="IOZ67" s="122"/>
      <c r="IPA67" s="122"/>
      <c r="IPB67" s="122"/>
      <c r="IPC67" s="122"/>
      <c r="IPD67" s="122"/>
      <c r="IPE67" s="122"/>
      <c r="IPF67" s="122"/>
      <c r="IPG67" s="122"/>
      <c r="IPH67" s="122"/>
      <c r="IPI67" s="122"/>
      <c r="IPJ67" s="122"/>
      <c r="IPK67" s="122"/>
      <c r="IPL67" s="122"/>
      <c r="IPM67" s="122"/>
      <c r="IPN67" s="122"/>
      <c r="IPO67" s="122"/>
      <c r="IPP67" s="122"/>
      <c r="IPQ67" s="122"/>
      <c r="IPR67" s="122"/>
      <c r="IPS67" s="122"/>
      <c r="IPT67" s="122"/>
      <c r="IPU67" s="122"/>
      <c r="IPV67" s="122"/>
      <c r="IPW67" s="122"/>
      <c r="IPX67" s="122"/>
      <c r="IPY67" s="122"/>
      <c r="IPZ67" s="122"/>
      <c r="IQA67" s="122"/>
      <c r="IQB67" s="122"/>
      <c r="IQC67" s="122"/>
      <c r="IQD67" s="122"/>
      <c r="IQE67" s="122"/>
      <c r="IQF67" s="122"/>
      <c r="IQG67" s="122"/>
      <c r="IQH67" s="122"/>
      <c r="IQI67" s="122"/>
      <c r="IQJ67" s="122"/>
      <c r="IQK67" s="122"/>
      <c r="IQL67" s="122"/>
      <c r="IQM67" s="122"/>
      <c r="IQN67" s="122"/>
      <c r="IQO67" s="122"/>
      <c r="IQP67" s="122"/>
      <c r="IQQ67" s="122"/>
      <c r="IQR67" s="122"/>
      <c r="IQS67" s="122"/>
      <c r="IQT67" s="122"/>
      <c r="IQU67" s="122"/>
      <c r="IQV67" s="122"/>
      <c r="IQW67" s="122"/>
      <c r="IQX67" s="122"/>
      <c r="IQY67" s="122"/>
      <c r="IQZ67" s="122"/>
      <c r="IRA67" s="122"/>
      <c r="IRB67" s="122"/>
      <c r="IRC67" s="122"/>
      <c r="IRD67" s="122"/>
      <c r="IRE67" s="122"/>
      <c r="IRF67" s="122"/>
      <c r="IRG67" s="122"/>
      <c r="IRH67" s="122"/>
      <c r="IRI67" s="122"/>
      <c r="IRJ67" s="122"/>
      <c r="IRK67" s="122"/>
      <c r="IRL67" s="122"/>
      <c r="IRM67" s="122"/>
      <c r="IRN67" s="122"/>
      <c r="IRO67" s="122"/>
      <c r="IRP67" s="122"/>
      <c r="IRQ67" s="122"/>
      <c r="IRR67" s="122"/>
      <c r="IRS67" s="122"/>
      <c r="IRT67" s="122"/>
      <c r="IRU67" s="122"/>
      <c r="IRV67" s="122"/>
      <c r="IRW67" s="122"/>
      <c r="IRX67" s="122"/>
      <c r="IRY67" s="122"/>
      <c r="IRZ67" s="122"/>
      <c r="ISA67" s="122"/>
      <c r="ISB67" s="122"/>
      <c r="ISC67" s="122"/>
      <c r="ISD67" s="122"/>
      <c r="ISE67" s="122"/>
      <c r="ISF67" s="122"/>
      <c r="ISG67" s="122"/>
      <c r="ISH67" s="122"/>
      <c r="ISI67" s="122"/>
      <c r="ISJ67" s="122"/>
      <c r="ISK67" s="122"/>
      <c r="ISL67" s="122"/>
      <c r="ISM67" s="122"/>
      <c r="ISN67" s="122"/>
      <c r="ISO67" s="122"/>
      <c r="ISP67" s="122"/>
      <c r="ISQ67" s="122"/>
      <c r="ISR67" s="122"/>
      <c r="ISS67" s="122"/>
      <c r="IST67" s="122"/>
      <c r="ISU67" s="122"/>
      <c r="ISV67" s="122"/>
      <c r="ISW67" s="122"/>
      <c r="ISX67" s="122"/>
      <c r="ISY67" s="122"/>
      <c r="ISZ67" s="122"/>
      <c r="ITA67" s="122"/>
      <c r="ITB67" s="122"/>
      <c r="ITC67" s="122"/>
      <c r="ITD67" s="122"/>
      <c r="ITE67" s="122"/>
      <c r="ITF67" s="122"/>
      <c r="ITG67" s="122"/>
      <c r="ITH67" s="122"/>
      <c r="ITI67" s="122"/>
      <c r="ITJ67" s="122"/>
      <c r="ITK67" s="122"/>
      <c r="ITL67" s="122"/>
      <c r="ITM67" s="122"/>
      <c r="ITN67" s="122"/>
      <c r="ITO67" s="122"/>
      <c r="ITP67" s="122"/>
      <c r="ITQ67" s="122"/>
      <c r="ITR67" s="122"/>
      <c r="ITS67" s="122"/>
      <c r="ITT67" s="122"/>
      <c r="ITU67" s="122"/>
      <c r="ITV67" s="122"/>
      <c r="ITW67" s="122"/>
      <c r="ITX67" s="122"/>
      <c r="ITY67" s="122"/>
      <c r="ITZ67" s="122"/>
      <c r="IUA67" s="122"/>
      <c r="IUB67" s="122"/>
      <c r="IUC67" s="122"/>
      <c r="IUD67" s="122"/>
      <c r="IUE67" s="122"/>
      <c r="IUF67" s="122"/>
      <c r="IUG67" s="122"/>
      <c r="IUH67" s="122"/>
      <c r="IUI67" s="122"/>
      <c r="IUJ67" s="122"/>
      <c r="IUK67" s="122"/>
      <c r="IUL67" s="122"/>
      <c r="IUM67" s="122"/>
      <c r="IUN67" s="122"/>
      <c r="IUO67" s="122"/>
      <c r="IUP67" s="122"/>
      <c r="IUQ67" s="122"/>
      <c r="IUR67" s="122"/>
      <c r="IUS67" s="122"/>
      <c r="IUT67" s="122"/>
      <c r="IUU67" s="122"/>
      <c r="IUV67" s="122"/>
      <c r="IUW67" s="122"/>
      <c r="IUX67" s="122"/>
      <c r="IUY67" s="122"/>
      <c r="IUZ67" s="122"/>
      <c r="IVA67" s="122"/>
      <c r="IVB67" s="122"/>
      <c r="IVC67" s="122"/>
      <c r="IVD67" s="122"/>
      <c r="IVE67" s="122"/>
      <c r="IVF67" s="122"/>
      <c r="IVG67" s="122"/>
      <c r="IVH67" s="122"/>
      <c r="IVI67" s="122"/>
      <c r="IVJ67" s="122"/>
      <c r="IVK67" s="122"/>
      <c r="IVL67" s="122"/>
      <c r="IVM67" s="122"/>
      <c r="IVN67" s="122"/>
      <c r="IVO67" s="122"/>
      <c r="IVP67" s="122"/>
      <c r="IVQ67" s="122"/>
      <c r="IVR67" s="122"/>
      <c r="IVS67" s="122"/>
      <c r="IVT67" s="122"/>
      <c r="IVU67" s="122"/>
      <c r="IVV67" s="122"/>
      <c r="IVW67" s="122"/>
      <c r="IVX67" s="122"/>
      <c r="IVY67" s="122"/>
      <c r="IVZ67" s="122"/>
      <c r="IWA67" s="122"/>
      <c r="IWB67" s="122"/>
      <c r="IWC67" s="122"/>
      <c r="IWD67" s="122"/>
      <c r="IWE67" s="122"/>
      <c r="IWF67" s="122"/>
      <c r="IWG67" s="122"/>
      <c r="IWH67" s="122"/>
      <c r="IWI67" s="122"/>
      <c r="IWJ67" s="122"/>
      <c r="IWK67" s="122"/>
      <c r="IWL67" s="122"/>
      <c r="IWM67" s="122"/>
      <c r="IWN67" s="122"/>
      <c r="IWO67" s="122"/>
      <c r="IWP67" s="122"/>
      <c r="IWQ67" s="122"/>
      <c r="IWR67" s="122"/>
      <c r="IWS67" s="122"/>
      <c r="IWT67" s="122"/>
      <c r="IWU67" s="122"/>
      <c r="IWV67" s="122"/>
      <c r="IWW67" s="122"/>
      <c r="IWX67" s="122"/>
      <c r="IWY67" s="122"/>
      <c r="IWZ67" s="122"/>
      <c r="IXA67" s="122"/>
      <c r="IXB67" s="122"/>
      <c r="IXC67" s="122"/>
      <c r="IXD67" s="122"/>
      <c r="IXE67" s="122"/>
      <c r="IXF67" s="122"/>
      <c r="IXG67" s="122"/>
      <c r="IXH67" s="122"/>
      <c r="IXI67" s="122"/>
      <c r="IXJ67" s="122"/>
      <c r="IXK67" s="122"/>
      <c r="IXL67" s="122"/>
      <c r="IXM67" s="122"/>
      <c r="IXN67" s="122"/>
      <c r="IXO67" s="122"/>
      <c r="IXP67" s="122"/>
      <c r="IXQ67" s="122"/>
      <c r="IXR67" s="122"/>
      <c r="IXS67" s="122"/>
      <c r="IXT67" s="122"/>
      <c r="IXU67" s="122"/>
      <c r="IXV67" s="122"/>
      <c r="IXW67" s="122"/>
      <c r="IXX67" s="122"/>
      <c r="IXY67" s="122"/>
      <c r="IXZ67" s="122"/>
      <c r="IYA67" s="122"/>
      <c r="IYB67" s="122"/>
      <c r="IYC67" s="122"/>
      <c r="IYD67" s="122"/>
      <c r="IYE67" s="122"/>
      <c r="IYF67" s="122"/>
      <c r="IYG67" s="122"/>
      <c r="IYH67" s="122"/>
      <c r="IYI67" s="122"/>
      <c r="IYJ67" s="122"/>
      <c r="IYK67" s="122"/>
      <c r="IYL67" s="122"/>
      <c r="IYM67" s="122"/>
      <c r="IYN67" s="122"/>
      <c r="IYO67" s="122"/>
      <c r="IYP67" s="122"/>
      <c r="IYQ67" s="122"/>
      <c r="IYR67" s="122"/>
      <c r="IYS67" s="122"/>
      <c r="IYT67" s="122"/>
      <c r="IYU67" s="122"/>
      <c r="IYV67" s="122"/>
      <c r="IYW67" s="122"/>
      <c r="IYX67" s="122"/>
      <c r="IYY67" s="122"/>
      <c r="IYZ67" s="122"/>
      <c r="IZA67" s="122"/>
      <c r="IZB67" s="122"/>
      <c r="IZC67" s="122"/>
      <c r="IZD67" s="122"/>
      <c r="IZE67" s="122"/>
      <c r="IZF67" s="122"/>
      <c r="IZG67" s="122"/>
      <c r="IZH67" s="122"/>
      <c r="IZI67" s="122"/>
      <c r="IZJ67" s="122"/>
      <c r="IZK67" s="122"/>
      <c r="IZL67" s="122"/>
      <c r="IZM67" s="122"/>
      <c r="IZN67" s="122"/>
      <c r="IZO67" s="122"/>
      <c r="IZP67" s="122"/>
      <c r="IZQ67" s="122"/>
      <c r="IZR67" s="122"/>
      <c r="IZS67" s="122"/>
      <c r="IZT67" s="122"/>
      <c r="IZU67" s="122"/>
      <c r="IZV67" s="122"/>
      <c r="IZW67" s="122"/>
      <c r="IZX67" s="122"/>
      <c r="IZY67" s="122"/>
      <c r="IZZ67" s="122"/>
      <c r="JAA67" s="122"/>
      <c r="JAB67" s="122"/>
      <c r="JAC67" s="122"/>
      <c r="JAD67" s="122"/>
      <c r="JAE67" s="122"/>
      <c r="JAF67" s="122"/>
      <c r="JAG67" s="122"/>
      <c r="JAH67" s="122"/>
      <c r="JAI67" s="122"/>
      <c r="JAJ67" s="122"/>
      <c r="JAK67" s="122"/>
      <c r="JAL67" s="122"/>
      <c r="JAM67" s="122"/>
      <c r="JAN67" s="122"/>
      <c r="JAO67" s="122"/>
      <c r="JAP67" s="122"/>
      <c r="JAQ67" s="122"/>
      <c r="JAR67" s="122"/>
      <c r="JAS67" s="122"/>
      <c r="JAT67" s="122"/>
      <c r="JAU67" s="122"/>
      <c r="JAV67" s="122"/>
      <c r="JAW67" s="122"/>
      <c r="JAX67" s="122"/>
      <c r="JAY67" s="122"/>
      <c r="JAZ67" s="122"/>
      <c r="JBA67" s="122"/>
      <c r="JBB67" s="122"/>
      <c r="JBC67" s="122"/>
      <c r="JBD67" s="122"/>
      <c r="JBE67" s="122"/>
      <c r="JBF67" s="122"/>
      <c r="JBG67" s="122"/>
      <c r="JBH67" s="122"/>
      <c r="JBI67" s="122"/>
      <c r="JBJ67" s="122"/>
      <c r="JBK67" s="122"/>
      <c r="JBL67" s="122"/>
      <c r="JBM67" s="122"/>
      <c r="JBN67" s="122"/>
      <c r="JBO67" s="122"/>
      <c r="JBP67" s="122"/>
      <c r="JBQ67" s="122"/>
      <c r="JBR67" s="122"/>
      <c r="JBS67" s="122"/>
      <c r="JBT67" s="122"/>
      <c r="JBU67" s="122"/>
      <c r="JBV67" s="122"/>
      <c r="JBW67" s="122"/>
      <c r="JBX67" s="122"/>
      <c r="JBY67" s="122"/>
      <c r="JBZ67" s="122"/>
      <c r="JCA67" s="122"/>
      <c r="JCB67" s="122"/>
      <c r="JCC67" s="122"/>
      <c r="JCD67" s="122"/>
      <c r="JCE67" s="122"/>
      <c r="JCF67" s="122"/>
      <c r="JCG67" s="122"/>
      <c r="JCH67" s="122"/>
      <c r="JCI67" s="122"/>
      <c r="JCJ67" s="122"/>
      <c r="JCK67" s="122"/>
      <c r="JCL67" s="122"/>
      <c r="JCM67" s="122"/>
      <c r="JCN67" s="122"/>
      <c r="JCO67" s="122"/>
      <c r="JCP67" s="122"/>
      <c r="JCQ67" s="122"/>
      <c r="JCR67" s="122"/>
      <c r="JCS67" s="122"/>
      <c r="JCT67" s="122"/>
      <c r="JCU67" s="122"/>
      <c r="JCV67" s="122"/>
      <c r="JCW67" s="122"/>
      <c r="JCX67" s="122"/>
      <c r="JCY67" s="122"/>
      <c r="JCZ67" s="122"/>
      <c r="JDA67" s="122"/>
      <c r="JDB67" s="122"/>
      <c r="JDC67" s="122"/>
      <c r="JDD67" s="122"/>
      <c r="JDE67" s="122"/>
      <c r="JDF67" s="122"/>
      <c r="JDG67" s="122"/>
      <c r="JDH67" s="122"/>
      <c r="JDI67" s="122"/>
      <c r="JDJ67" s="122"/>
      <c r="JDK67" s="122"/>
      <c r="JDL67" s="122"/>
      <c r="JDM67" s="122"/>
      <c r="JDN67" s="122"/>
      <c r="JDO67" s="122"/>
      <c r="JDP67" s="122"/>
      <c r="JDQ67" s="122"/>
      <c r="JDR67" s="122"/>
      <c r="JDS67" s="122"/>
      <c r="JDT67" s="122"/>
      <c r="JDU67" s="122"/>
      <c r="JDV67" s="122"/>
      <c r="JDW67" s="122"/>
      <c r="JDX67" s="122"/>
      <c r="JDY67" s="122"/>
      <c r="JDZ67" s="122"/>
      <c r="JEA67" s="122"/>
      <c r="JEB67" s="122"/>
      <c r="JEC67" s="122"/>
      <c r="JED67" s="122"/>
      <c r="JEE67" s="122"/>
      <c r="JEF67" s="122"/>
      <c r="JEG67" s="122"/>
      <c r="JEH67" s="122"/>
      <c r="JEI67" s="122"/>
      <c r="JEJ67" s="122"/>
      <c r="JEK67" s="122"/>
      <c r="JEL67" s="122"/>
      <c r="JEM67" s="122"/>
      <c r="JEN67" s="122"/>
      <c r="JEO67" s="122"/>
      <c r="JEP67" s="122"/>
      <c r="JEQ67" s="122"/>
      <c r="JER67" s="122"/>
      <c r="JES67" s="122"/>
      <c r="JET67" s="122"/>
      <c r="JEU67" s="122"/>
      <c r="JEV67" s="122"/>
      <c r="JEW67" s="122"/>
      <c r="JEX67" s="122"/>
      <c r="JEY67" s="122"/>
      <c r="JEZ67" s="122"/>
      <c r="JFA67" s="122"/>
      <c r="JFB67" s="122"/>
      <c r="JFC67" s="122"/>
      <c r="JFD67" s="122"/>
      <c r="JFE67" s="122"/>
      <c r="JFF67" s="122"/>
      <c r="JFG67" s="122"/>
      <c r="JFH67" s="122"/>
      <c r="JFI67" s="122"/>
      <c r="JFJ67" s="122"/>
      <c r="JFK67" s="122"/>
      <c r="JFL67" s="122"/>
      <c r="JFM67" s="122"/>
      <c r="JFN67" s="122"/>
      <c r="JFO67" s="122"/>
      <c r="JFP67" s="122"/>
      <c r="JFQ67" s="122"/>
      <c r="JFR67" s="122"/>
      <c r="JFS67" s="122"/>
      <c r="JFT67" s="122"/>
      <c r="JFU67" s="122"/>
      <c r="JFV67" s="122"/>
      <c r="JFW67" s="122"/>
      <c r="JFX67" s="122"/>
      <c r="JFY67" s="122"/>
      <c r="JFZ67" s="122"/>
      <c r="JGA67" s="122"/>
      <c r="JGB67" s="122"/>
      <c r="JGC67" s="122"/>
      <c r="JGD67" s="122"/>
      <c r="JGE67" s="122"/>
      <c r="JGF67" s="122"/>
      <c r="JGG67" s="122"/>
      <c r="JGH67" s="122"/>
      <c r="JGI67" s="122"/>
      <c r="JGJ67" s="122"/>
      <c r="JGK67" s="122"/>
      <c r="JGL67" s="122"/>
      <c r="JGM67" s="122"/>
      <c r="JGN67" s="122"/>
      <c r="JGO67" s="122"/>
      <c r="JGP67" s="122"/>
      <c r="JGQ67" s="122"/>
      <c r="JGR67" s="122"/>
      <c r="JGS67" s="122"/>
      <c r="JGT67" s="122"/>
      <c r="JGU67" s="122"/>
      <c r="JGV67" s="122"/>
      <c r="JGW67" s="122"/>
      <c r="JGX67" s="122"/>
      <c r="JGY67" s="122"/>
      <c r="JGZ67" s="122"/>
      <c r="JHA67" s="122"/>
      <c r="JHB67" s="122"/>
      <c r="JHC67" s="122"/>
      <c r="JHD67" s="122"/>
      <c r="JHE67" s="122"/>
      <c r="JHF67" s="122"/>
      <c r="JHG67" s="122"/>
      <c r="JHH67" s="122"/>
      <c r="JHI67" s="122"/>
      <c r="JHJ67" s="122"/>
      <c r="JHK67" s="122"/>
      <c r="JHL67" s="122"/>
      <c r="JHM67" s="122"/>
      <c r="JHN67" s="122"/>
      <c r="JHO67" s="122"/>
      <c r="JHP67" s="122"/>
      <c r="JHQ67" s="122"/>
      <c r="JHR67" s="122"/>
      <c r="JHS67" s="122"/>
      <c r="JHT67" s="122"/>
      <c r="JHU67" s="122"/>
      <c r="JHV67" s="122"/>
      <c r="JHW67" s="122"/>
      <c r="JHX67" s="122"/>
      <c r="JHY67" s="122"/>
      <c r="JHZ67" s="122"/>
      <c r="JIA67" s="122"/>
      <c r="JIB67" s="122"/>
      <c r="JIC67" s="122"/>
      <c r="JID67" s="122"/>
      <c r="JIE67" s="122"/>
      <c r="JIF67" s="122"/>
      <c r="JIG67" s="122"/>
      <c r="JIH67" s="122"/>
      <c r="JII67" s="122"/>
      <c r="JIJ67" s="122"/>
      <c r="JIK67" s="122"/>
      <c r="JIL67" s="122"/>
      <c r="JIM67" s="122"/>
      <c r="JIN67" s="122"/>
      <c r="JIO67" s="122"/>
      <c r="JIP67" s="122"/>
      <c r="JIQ67" s="122"/>
      <c r="JIR67" s="122"/>
      <c r="JIS67" s="122"/>
      <c r="JIT67" s="122"/>
      <c r="JIU67" s="122"/>
      <c r="JIV67" s="122"/>
      <c r="JIW67" s="122"/>
      <c r="JIX67" s="122"/>
      <c r="JIY67" s="122"/>
      <c r="JIZ67" s="122"/>
      <c r="JJA67" s="122"/>
      <c r="JJB67" s="122"/>
      <c r="JJC67" s="122"/>
      <c r="JJD67" s="122"/>
      <c r="JJE67" s="122"/>
      <c r="JJF67" s="122"/>
      <c r="JJG67" s="122"/>
      <c r="JJH67" s="122"/>
      <c r="JJI67" s="122"/>
      <c r="JJJ67" s="122"/>
      <c r="JJK67" s="122"/>
      <c r="JJL67" s="122"/>
      <c r="JJM67" s="122"/>
      <c r="JJN67" s="122"/>
      <c r="JJO67" s="122"/>
      <c r="JJP67" s="122"/>
      <c r="JJQ67" s="122"/>
      <c r="JJR67" s="122"/>
      <c r="JJS67" s="122"/>
      <c r="JJT67" s="122"/>
      <c r="JJU67" s="122"/>
      <c r="JJV67" s="122"/>
      <c r="JJW67" s="122"/>
      <c r="JJX67" s="122"/>
      <c r="JJY67" s="122"/>
      <c r="JJZ67" s="122"/>
      <c r="JKA67" s="122"/>
      <c r="JKB67" s="122"/>
      <c r="JKC67" s="122"/>
      <c r="JKD67" s="122"/>
      <c r="JKE67" s="122"/>
      <c r="JKF67" s="122"/>
      <c r="JKG67" s="122"/>
      <c r="JKH67" s="122"/>
      <c r="JKI67" s="122"/>
      <c r="JKJ67" s="122"/>
      <c r="JKK67" s="122"/>
      <c r="JKL67" s="122"/>
      <c r="JKM67" s="122"/>
      <c r="JKN67" s="122"/>
      <c r="JKO67" s="122"/>
      <c r="JKP67" s="122"/>
      <c r="JKQ67" s="122"/>
      <c r="JKR67" s="122"/>
      <c r="JKS67" s="122"/>
      <c r="JKT67" s="122"/>
      <c r="JKU67" s="122"/>
      <c r="JKV67" s="122"/>
      <c r="JKW67" s="122"/>
      <c r="JKX67" s="122"/>
      <c r="JKY67" s="122"/>
      <c r="JKZ67" s="122"/>
      <c r="JLA67" s="122"/>
      <c r="JLB67" s="122"/>
      <c r="JLC67" s="122"/>
      <c r="JLD67" s="122"/>
      <c r="JLE67" s="122"/>
      <c r="JLF67" s="122"/>
      <c r="JLG67" s="122"/>
      <c r="JLH67" s="122"/>
      <c r="JLI67" s="122"/>
      <c r="JLJ67" s="122"/>
      <c r="JLK67" s="122"/>
      <c r="JLL67" s="122"/>
      <c r="JLM67" s="122"/>
      <c r="JLN67" s="122"/>
      <c r="JLO67" s="122"/>
      <c r="JLP67" s="122"/>
      <c r="JLQ67" s="122"/>
      <c r="JLR67" s="122"/>
      <c r="JLS67" s="122"/>
      <c r="JLT67" s="122"/>
      <c r="JLU67" s="122"/>
      <c r="JLV67" s="122"/>
      <c r="JLW67" s="122"/>
      <c r="JLX67" s="122"/>
      <c r="JLY67" s="122"/>
      <c r="JLZ67" s="122"/>
      <c r="JMA67" s="122"/>
      <c r="JMB67" s="122"/>
      <c r="JMC67" s="122"/>
      <c r="JMD67" s="122"/>
      <c r="JME67" s="122"/>
      <c r="JMF67" s="122"/>
      <c r="JMG67" s="122"/>
      <c r="JMH67" s="122"/>
      <c r="JMI67" s="122"/>
      <c r="JMJ67" s="122"/>
      <c r="JMK67" s="122"/>
      <c r="JML67" s="122"/>
      <c r="JMM67" s="122"/>
      <c r="JMN67" s="122"/>
      <c r="JMO67" s="122"/>
      <c r="JMP67" s="122"/>
      <c r="JMQ67" s="122"/>
      <c r="JMR67" s="122"/>
      <c r="JMS67" s="122"/>
      <c r="JMT67" s="122"/>
      <c r="JMU67" s="122"/>
      <c r="JMV67" s="122"/>
      <c r="JMW67" s="122"/>
      <c r="JMX67" s="122"/>
      <c r="JMY67" s="122"/>
      <c r="JMZ67" s="122"/>
      <c r="JNA67" s="122"/>
      <c r="JNB67" s="122"/>
      <c r="JNC67" s="122"/>
      <c r="JND67" s="122"/>
      <c r="JNE67" s="122"/>
      <c r="JNF67" s="122"/>
      <c r="JNG67" s="122"/>
      <c r="JNH67" s="122"/>
      <c r="JNI67" s="122"/>
      <c r="JNJ67" s="122"/>
      <c r="JNK67" s="122"/>
      <c r="JNL67" s="122"/>
      <c r="JNM67" s="122"/>
      <c r="JNN67" s="122"/>
      <c r="JNO67" s="122"/>
      <c r="JNP67" s="122"/>
      <c r="JNQ67" s="122"/>
      <c r="JNR67" s="122"/>
      <c r="JNS67" s="122"/>
      <c r="JNT67" s="122"/>
      <c r="JNU67" s="122"/>
      <c r="JNV67" s="122"/>
      <c r="JNW67" s="122"/>
      <c r="JNX67" s="122"/>
      <c r="JNY67" s="122"/>
      <c r="JNZ67" s="122"/>
      <c r="JOA67" s="122"/>
      <c r="JOB67" s="122"/>
      <c r="JOC67" s="122"/>
      <c r="JOD67" s="122"/>
      <c r="JOE67" s="122"/>
      <c r="JOF67" s="122"/>
      <c r="JOG67" s="122"/>
      <c r="JOH67" s="122"/>
      <c r="JOI67" s="122"/>
      <c r="JOJ67" s="122"/>
      <c r="JOK67" s="122"/>
      <c r="JOL67" s="122"/>
      <c r="JOM67" s="122"/>
      <c r="JON67" s="122"/>
      <c r="JOO67" s="122"/>
      <c r="JOP67" s="122"/>
      <c r="JOQ67" s="122"/>
      <c r="JOR67" s="122"/>
      <c r="JOS67" s="122"/>
      <c r="JOT67" s="122"/>
      <c r="JOU67" s="122"/>
      <c r="JOV67" s="122"/>
      <c r="JOW67" s="122"/>
      <c r="JOX67" s="122"/>
      <c r="JOY67" s="122"/>
      <c r="JOZ67" s="122"/>
      <c r="JPA67" s="122"/>
      <c r="JPB67" s="122"/>
      <c r="JPC67" s="122"/>
      <c r="JPD67" s="122"/>
      <c r="JPE67" s="122"/>
      <c r="JPF67" s="122"/>
      <c r="JPG67" s="122"/>
      <c r="JPH67" s="122"/>
      <c r="JPI67" s="122"/>
      <c r="JPJ67" s="122"/>
      <c r="JPK67" s="122"/>
      <c r="JPL67" s="122"/>
      <c r="JPM67" s="122"/>
      <c r="JPN67" s="122"/>
      <c r="JPO67" s="122"/>
      <c r="JPP67" s="122"/>
      <c r="JPQ67" s="122"/>
      <c r="JPR67" s="122"/>
      <c r="JPS67" s="122"/>
      <c r="JPT67" s="122"/>
      <c r="JPU67" s="122"/>
      <c r="JPV67" s="122"/>
      <c r="JPW67" s="122"/>
      <c r="JPX67" s="122"/>
      <c r="JPY67" s="122"/>
      <c r="JPZ67" s="122"/>
      <c r="JQA67" s="122"/>
      <c r="JQB67" s="122"/>
      <c r="JQC67" s="122"/>
      <c r="JQD67" s="122"/>
      <c r="JQE67" s="122"/>
      <c r="JQF67" s="122"/>
      <c r="JQG67" s="122"/>
      <c r="JQH67" s="122"/>
      <c r="JQI67" s="122"/>
      <c r="JQJ67" s="122"/>
      <c r="JQK67" s="122"/>
      <c r="JQL67" s="122"/>
      <c r="JQM67" s="122"/>
      <c r="JQN67" s="122"/>
      <c r="JQO67" s="122"/>
      <c r="JQP67" s="122"/>
      <c r="JQQ67" s="122"/>
      <c r="JQR67" s="122"/>
      <c r="JQS67" s="122"/>
      <c r="JQT67" s="122"/>
      <c r="JQU67" s="122"/>
      <c r="JQV67" s="122"/>
      <c r="JQW67" s="122"/>
      <c r="JQX67" s="122"/>
      <c r="JQY67" s="122"/>
      <c r="JQZ67" s="122"/>
      <c r="JRA67" s="122"/>
      <c r="JRB67" s="122"/>
      <c r="JRC67" s="122"/>
      <c r="JRD67" s="122"/>
      <c r="JRE67" s="122"/>
      <c r="JRF67" s="122"/>
      <c r="JRG67" s="122"/>
      <c r="JRH67" s="122"/>
      <c r="JRI67" s="122"/>
      <c r="JRJ67" s="122"/>
      <c r="JRK67" s="122"/>
      <c r="JRL67" s="122"/>
      <c r="JRM67" s="122"/>
      <c r="JRN67" s="122"/>
      <c r="JRO67" s="122"/>
      <c r="JRP67" s="122"/>
      <c r="JRQ67" s="122"/>
      <c r="JRR67" s="122"/>
      <c r="JRS67" s="122"/>
      <c r="JRT67" s="122"/>
      <c r="JRU67" s="122"/>
      <c r="JRV67" s="122"/>
      <c r="JRW67" s="122"/>
      <c r="JRX67" s="122"/>
      <c r="JRY67" s="122"/>
      <c r="JRZ67" s="122"/>
      <c r="JSA67" s="122"/>
      <c r="JSB67" s="122"/>
      <c r="JSC67" s="122"/>
      <c r="JSD67" s="122"/>
      <c r="JSE67" s="122"/>
      <c r="JSF67" s="122"/>
      <c r="JSG67" s="122"/>
      <c r="JSH67" s="122"/>
      <c r="JSI67" s="122"/>
      <c r="JSJ67" s="122"/>
      <c r="JSK67" s="122"/>
      <c r="JSL67" s="122"/>
      <c r="JSM67" s="122"/>
      <c r="JSN67" s="122"/>
      <c r="JSO67" s="122"/>
      <c r="JSP67" s="122"/>
      <c r="JSQ67" s="122"/>
      <c r="JSR67" s="122"/>
      <c r="JSS67" s="122"/>
      <c r="JST67" s="122"/>
      <c r="JSU67" s="122"/>
      <c r="JSV67" s="122"/>
      <c r="JSW67" s="122"/>
      <c r="JSX67" s="122"/>
      <c r="JSY67" s="122"/>
      <c r="JSZ67" s="122"/>
      <c r="JTA67" s="122"/>
      <c r="JTB67" s="122"/>
      <c r="JTC67" s="122"/>
      <c r="JTD67" s="122"/>
      <c r="JTE67" s="122"/>
      <c r="JTF67" s="122"/>
      <c r="JTG67" s="122"/>
      <c r="JTH67" s="122"/>
      <c r="JTI67" s="122"/>
      <c r="JTJ67" s="122"/>
      <c r="JTK67" s="122"/>
      <c r="JTL67" s="122"/>
      <c r="JTM67" s="122"/>
      <c r="JTN67" s="122"/>
      <c r="JTO67" s="122"/>
      <c r="JTP67" s="122"/>
      <c r="JTQ67" s="122"/>
      <c r="JTR67" s="122"/>
      <c r="JTS67" s="122"/>
      <c r="JTT67" s="122"/>
      <c r="JTU67" s="122"/>
      <c r="JTV67" s="122"/>
      <c r="JTW67" s="122"/>
      <c r="JTX67" s="122"/>
      <c r="JTY67" s="122"/>
      <c r="JTZ67" s="122"/>
      <c r="JUA67" s="122"/>
      <c r="JUB67" s="122"/>
      <c r="JUC67" s="122"/>
      <c r="JUD67" s="122"/>
      <c r="JUE67" s="122"/>
      <c r="JUF67" s="122"/>
      <c r="JUG67" s="122"/>
      <c r="JUH67" s="122"/>
      <c r="JUI67" s="122"/>
      <c r="JUJ67" s="122"/>
      <c r="JUK67" s="122"/>
      <c r="JUL67" s="122"/>
      <c r="JUM67" s="122"/>
      <c r="JUN67" s="122"/>
      <c r="JUO67" s="122"/>
      <c r="JUP67" s="122"/>
      <c r="JUQ67" s="122"/>
      <c r="JUR67" s="122"/>
      <c r="JUS67" s="122"/>
      <c r="JUT67" s="122"/>
      <c r="JUU67" s="122"/>
      <c r="JUV67" s="122"/>
      <c r="JUW67" s="122"/>
      <c r="JUX67" s="122"/>
      <c r="JUY67" s="122"/>
      <c r="JUZ67" s="122"/>
      <c r="JVA67" s="122"/>
      <c r="JVB67" s="122"/>
      <c r="JVC67" s="122"/>
      <c r="JVD67" s="122"/>
      <c r="JVE67" s="122"/>
      <c r="JVF67" s="122"/>
      <c r="JVG67" s="122"/>
      <c r="JVH67" s="122"/>
      <c r="JVI67" s="122"/>
      <c r="JVJ67" s="122"/>
      <c r="JVK67" s="122"/>
      <c r="JVL67" s="122"/>
      <c r="JVM67" s="122"/>
      <c r="JVN67" s="122"/>
      <c r="JVO67" s="122"/>
      <c r="JVP67" s="122"/>
      <c r="JVQ67" s="122"/>
      <c r="JVR67" s="122"/>
      <c r="JVS67" s="122"/>
      <c r="JVT67" s="122"/>
      <c r="JVU67" s="122"/>
      <c r="JVV67" s="122"/>
      <c r="JVW67" s="122"/>
      <c r="JVX67" s="122"/>
      <c r="JVY67" s="122"/>
      <c r="JVZ67" s="122"/>
      <c r="JWA67" s="122"/>
      <c r="JWB67" s="122"/>
      <c r="JWC67" s="122"/>
      <c r="JWD67" s="122"/>
      <c r="JWE67" s="122"/>
      <c r="JWF67" s="122"/>
      <c r="JWG67" s="122"/>
      <c r="JWH67" s="122"/>
      <c r="JWI67" s="122"/>
      <c r="JWJ67" s="122"/>
      <c r="JWK67" s="122"/>
      <c r="JWL67" s="122"/>
      <c r="JWM67" s="122"/>
      <c r="JWN67" s="122"/>
      <c r="JWO67" s="122"/>
      <c r="JWP67" s="122"/>
      <c r="JWQ67" s="122"/>
      <c r="JWR67" s="122"/>
      <c r="JWS67" s="122"/>
      <c r="JWT67" s="122"/>
      <c r="JWU67" s="122"/>
      <c r="JWV67" s="122"/>
      <c r="JWW67" s="122"/>
      <c r="JWX67" s="122"/>
      <c r="JWY67" s="122"/>
      <c r="JWZ67" s="122"/>
      <c r="JXA67" s="122"/>
      <c r="JXB67" s="122"/>
      <c r="JXC67" s="122"/>
      <c r="JXD67" s="122"/>
      <c r="JXE67" s="122"/>
      <c r="JXF67" s="122"/>
      <c r="JXG67" s="122"/>
      <c r="JXH67" s="122"/>
      <c r="JXI67" s="122"/>
      <c r="JXJ67" s="122"/>
      <c r="JXK67" s="122"/>
      <c r="JXL67" s="122"/>
      <c r="JXM67" s="122"/>
      <c r="JXN67" s="122"/>
      <c r="JXO67" s="122"/>
      <c r="JXP67" s="122"/>
      <c r="JXQ67" s="122"/>
      <c r="JXR67" s="122"/>
      <c r="JXS67" s="122"/>
      <c r="JXT67" s="122"/>
      <c r="JXU67" s="122"/>
      <c r="JXV67" s="122"/>
      <c r="JXW67" s="122"/>
      <c r="JXX67" s="122"/>
      <c r="JXY67" s="122"/>
      <c r="JXZ67" s="122"/>
      <c r="JYA67" s="122"/>
      <c r="JYB67" s="122"/>
      <c r="JYC67" s="122"/>
      <c r="JYD67" s="122"/>
      <c r="JYE67" s="122"/>
      <c r="JYF67" s="122"/>
      <c r="JYG67" s="122"/>
      <c r="JYH67" s="122"/>
      <c r="JYI67" s="122"/>
      <c r="JYJ67" s="122"/>
      <c r="JYK67" s="122"/>
      <c r="JYL67" s="122"/>
      <c r="JYM67" s="122"/>
      <c r="JYN67" s="122"/>
      <c r="JYO67" s="122"/>
      <c r="JYP67" s="122"/>
      <c r="JYQ67" s="122"/>
      <c r="JYR67" s="122"/>
      <c r="JYS67" s="122"/>
      <c r="JYT67" s="122"/>
      <c r="JYU67" s="122"/>
      <c r="JYV67" s="122"/>
      <c r="JYW67" s="122"/>
      <c r="JYX67" s="122"/>
      <c r="JYY67" s="122"/>
      <c r="JYZ67" s="122"/>
      <c r="JZA67" s="122"/>
      <c r="JZB67" s="122"/>
      <c r="JZC67" s="122"/>
      <c r="JZD67" s="122"/>
      <c r="JZE67" s="122"/>
      <c r="JZF67" s="122"/>
      <c r="JZG67" s="122"/>
      <c r="JZH67" s="122"/>
      <c r="JZI67" s="122"/>
      <c r="JZJ67" s="122"/>
      <c r="JZK67" s="122"/>
      <c r="JZL67" s="122"/>
      <c r="JZM67" s="122"/>
      <c r="JZN67" s="122"/>
      <c r="JZO67" s="122"/>
      <c r="JZP67" s="122"/>
      <c r="JZQ67" s="122"/>
      <c r="JZR67" s="122"/>
      <c r="JZS67" s="122"/>
      <c r="JZT67" s="122"/>
      <c r="JZU67" s="122"/>
      <c r="JZV67" s="122"/>
      <c r="JZW67" s="122"/>
      <c r="JZX67" s="122"/>
      <c r="JZY67" s="122"/>
      <c r="JZZ67" s="122"/>
      <c r="KAA67" s="122"/>
      <c r="KAB67" s="122"/>
      <c r="KAC67" s="122"/>
      <c r="KAD67" s="122"/>
      <c r="KAE67" s="122"/>
      <c r="KAF67" s="122"/>
      <c r="KAG67" s="122"/>
      <c r="KAH67" s="122"/>
      <c r="KAI67" s="122"/>
      <c r="KAJ67" s="122"/>
      <c r="KAK67" s="122"/>
      <c r="KAL67" s="122"/>
      <c r="KAM67" s="122"/>
      <c r="KAN67" s="122"/>
      <c r="KAO67" s="122"/>
      <c r="KAP67" s="122"/>
      <c r="KAQ67" s="122"/>
      <c r="KAR67" s="122"/>
      <c r="KAS67" s="122"/>
      <c r="KAT67" s="122"/>
      <c r="KAU67" s="122"/>
      <c r="KAV67" s="122"/>
      <c r="KAW67" s="122"/>
      <c r="KAX67" s="122"/>
      <c r="KAY67" s="122"/>
      <c r="KAZ67" s="122"/>
      <c r="KBA67" s="122"/>
      <c r="KBB67" s="122"/>
      <c r="KBC67" s="122"/>
      <c r="KBD67" s="122"/>
      <c r="KBE67" s="122"/>
      <c r="KBF67" s="122"/>
      <c r="KBG67" s="122"/>
      <c r="KBH67" s="122"/>
      <c r="KBI67" s="122"/>
      <c r="KBJ67" s="122"/>
      <c r="KBK67" s="122"/>
      <c r="KBL67" s="122"/>
      <c r="KBM67" s="122"/>
      <c r="KBN67" s="122"/>
      <c r="KBO67" s="122"/>
      <c r="KBP67" s="122"/>
      <c r="KBQ67" s="122"/>
      <c r="KBR67" s="122"/>
      <c r="KBS67" s="122"/>
      <c r="KBT67" s="122"/>
      <c r="KBU67" s="122"/>
      <c r="KBV67" s="122"/>
      <c r="KBW67" s="122"/>
      <c r="KBX67" s="122"/>
      <c r="KBY67" s="122"/>
      <c r="KBZ67" s="122"/>
      <c r="KCA67" s="122"/>
      <c r="KCB67" s="122"/>
      <c r="KCC67" s="122"/>
      <c r="KCD67" s="122"/>
      <c r="KCE67" s="122"/>
      <c r="KCF67" s="122"/>
      <c r="KCG67" s="122"/>
      <c r="KCH67" s="122"/>
      <c r="KCI67" s="122"/>
      <c r="KCJ67" s="122"/>
      <c r="KCK67" s="122"/>
      <c r="KCL67" s="122"/>
      <c r="KCM67" s="122"/>
      <c r="KCN67" s="122"/>
      <c r="KCO67" s="122"/>
      <c r="KCP67" s="122"/>
      <c r="KCQ67" s="122"/>
      <c r="KCR67" s="122"/>
      <c r="KCS67" s="122"/>
      <c r="KCT67" s="122"/>
      <c r="KCU67" s="122"/>
      <c r="KCV67" s="122"/>
      <c r="KCW67" s="122"/>
      <c r="KCX67" s="122"/>
      <c r="KCY67" s="122"/>
      <c r="KCZ67" s="122"/>
      <c r="KDA67" s="122"/>
      <c r="KDB67" s="122"/>
      <c r="KDC67" s="122"/>
      <c r="KDD67" s="122"/>
      <c r="KDE67" s="122"/>
      <c r="KDF67" s="122"/>
      <c r="KDG67" s="122"/>
      <c r="KDH67" s="122"/>
      <c r="KDI67" s="122"/>
      <c r="KDJ67" s="122"/>
      <c r="KDK67" s="122"/>
      <c r="KDL67" s="122"/>
      <c r="KDM67" s="122"/>
      <c r="KDN67" s="122"/>
      <c r="KDO67" s="122"/>
      <c r="KDP67" s="122"/>
      <c r="KDQ67" s="122"/>
      <c r="KDR67" s="122"/>
      <c r="KDS67" s="122"/>
      <c r="KDT67" s="122"/>
      <c r="KDU67" s="122"/>
      <c r="KDV67" s="122"/>
      <c r="KDW67" s="122"/>
      <c r="KDX67" s="122"/>
      <c r="KDY67" s="122"/>
      <c r="KDZ67" s="122"/>
      <c r="KEA67" s="122"/>
      <c r="KEB67" s="122"/>
      <c r="KEC67" s="122"/>
      <c r="KED67" s="122"/>
      <c r="KEE67" s="122"/>
      <c r="KEF67" s="122"/>
      <c r="KEG67" s="122"/>
      <c r="KEH67" s="122"/>
      <c r="KEI67" s="122"/>
      <c r="KEJ67" s="122"/>
      <c r="KEK67" s="122"/>
      <c r="KEL67" s="122"/>
      <c r="KEM67" s="122"/>
      <c r="KEN67" s="122"/>
      <c r="KEO67" s="122"/>
      <c r="KEP67" s="122"/>
      <c r="KEQ67" s="122"/>
      <c r="KER67" s="122"/>
      <c r="KES67" s="122"/>
      <c r="KET67" s="122"/>
      <c r="KEU67" s="122"/>
      <c r="KEV67" s="122"/>
      <c r="KEW67" s="122"/>
      <c r="KEX67" s="122"/>
      <c r="KEY67" s="122"/>
      <c r="KEZ67" s="122"/>
      <c r="KFA67" s="122"/>
      <c r="KFB67" s="122"/>
      <c r="KFC67" s="122"/>
      <c r="KFD67" s="122"/>
      <c r="KFE67" s="122"/>
      <c r="KFF67" s="122"/>
      <c r="KFG67" s="122"/>
      <c r="KFH67" s="122"/>
      <c r="KFI67" s="122"/>
      <c r="KFJ67" s="122"/>
      <c r="KFK67" s="122"/>
      <c r="KFL67" s="122"/>
      <c r="KFM67" s="122"/>
      <c r="KFN67" s="122"/>
      <c r="KFO67" s="122"/>
      <c r="KFP67" s="122"/>
      <c r="KFQ67" s="122"/>
      <c r="KFR67" s="122"/>
      <c r="KFS67" s="122"/>
      <c r="KFT67" s="122"/>
      <c r="KFU67" s="122"/>
      <c r="KFV67" s="122"/>
      <c r="KFW67" s="122"/>
      <c r="KFX67" s="122"/>
      <c r="KFY67" s="122"/>
      <c r="KFZ67" s="122"/>
      <c r="KGA67" s="122"/>
      <c r="KGB67" s="122"/>
      <c r="KGC67" s="122"/>
      <c r="KGD67" s="122"/>
      <c r="KGE67" s="122"/>
      <c r="KGF67" s="122"/>
      <c r="KGG67" s="122"/>
      <c r="KGH67" s="122"/>
      <c r="KGI67" s="122"/>
      <c r="KGJ67" s="122"/>
      <c r="KGK67" s="122"/>
      <c r="KGL67" s="122"/>
      <c r="KGM67" s="122"/>
      <c r="KGN67" s="122"/>
      <c r="KGO67" s="122"/>
      <c r="KGP67" s="122"/>
      <c r="KGQ67" s="122"/>
      <c r="KGR67" s="122"/>
      <c r="KGS67" s="122"/>
      <c r="KGT67" s="122"/>
      <c r="KGU67" s="122"/>
      <c r="KGV67" s="122"/>
      <c r="KGW67" s="122"/>
      <c r="KGX67" s="122"/>
      <c r="KGY67" s="122"/>
      <c r="KGZ67" s="122"/>
      <c r="KHA67" s="122"/>
      <c r="KHB67" s="122"/>
      <c r="KHC67" s="122"/>
      <c r="KHD67" s="122"/>
      <c r="KHE67" s="122"/>
      <c r="KHF67" s="122"/>
      <c r="KHG67" s="122"/>
      <c r="KHH67" s="122"/>
      <c r="KHI67" s="122"/>
      <c r="KHJ67" s="122"/>
      <c r="KHK67" s="122"/>
      <c r="KHL67" s="122"/>
      <c r="KHM67" s="122"/>
      <c r="KHN67" s="122"/>
      <c r="KHO67" s="122"/>
      <c r="KHP67" s="122"/>
      <c r="KHQ67" s="122"/>
      <c r="KHR67" s="122"/>
      <c r="KHS67" s="122"/>
      <c r="KHT67" s="122"/>
      <c r="KHU67" s="122"/>
      <c r="KHV67" s="122"/>
      <c r="KHW67" s="122"/>
      <c r="KHX67" s="122"/>
      <c r="KHY67" s="122"/>
      <c r="KHZ67" s="122"/>
      <c r="KIA67" s="122"/>
      <c r="KIB67" s="122"/>
      <c r="KIC67" s="122"/>
      <c r="KID67" s="122"/>
      <c r="KIE67" s="122"/>
      <c r="KIF67" s="122"/>
      <c r="KIG67" s="122"/>
      <c r="KIH67" s="122"/>
      <c r="KII67" s="122"/>
      <c r="KIJ67" s="122"/>
      <c r="KIK67" s="122"/>
      <c r="KIL67" s="122"/>
      <c r="KIM67" s="122"/>
      <c r="KIN67" s="122"/>
      <c r="KIO67" s="122"/>
      <c r="KIP67" s="122"/>
      <c r="KIQ67" s="122"/>
      <c r="KIR67" s="122"/>
      <c r="KIS67" s="122"/>
      <c r="KIT67" s="122"/>
      <c r="KIU67" s="122"/>
      <c r="KIV67" s="122"/>
      <c r="KIW67" s="122"/>
      <c r="KIX67" s="122"/>
      <c r="KIY67" s="122"/>
      <c r="KIZ67" s="122"/>
      <c r="KJA67" s="122"/>
      <c r="KJB67" s="122"/>
      <c r="KJC67" s="122"/>
      <c r="KJD67" s="122"/>
      <c r="KJE67" s="122"/>
      <c r="KJF67" s="122"/>
      <c r="KJG67" s="122"/>
      <c r="KJH67" s="122"/>
      <c r="KJI67" s="122"/>
      <c r="KJJ67" s="122"/>
      <c r="KJK67" s="122"/>
      <c r="KJL67" s="122"/>
      <c r="KJM67" s="122"/>
      <c r="KJN67" s="122"/>
      <c r="KJO67" s="122"/>
      <c r="KJP67" s="122"/>
      <c r="KJQ67" s="122"/>
      <c r="KJR67" s="122"/>
      <c r="KJS67" s="122"/>
      <c r="KJT67" s="122"/>
      <c r="KJU67" s="122"/>
      <c r="KJV67" s="122"/>
      <c r="KJW67" s="122"/>
      <c r="KJX67" s="122"/>
      <c r="KJY67" s="122"/>
      <c r="KJZ67" s="122"/>
      <c r="KKA67" s="122"/>
      <c r="KKB67" s="122"/>
      <c r="KKC67" s="122"/>
      <c r="KKD67" s="122"/>
      <c r="KKE67" s="122"/>
      <c r="KKF67" s="122"/>
      <c r="KKG67" s="122"/>
      <c r="KKH67" s="122"/>
      <c r="KKI67" s="122"/>
      <c r="KKJ67" s="122"/>
      <c r="KKK67" s="122"/>
      <c r="KKL67" s="122"/>
      <c r="KKM67" s="122"/>
      <c r="KKN67" s="122"/>
      <c r="KKO67" s="122"/>
      <c r="KKP67" s="122"/>
      <c r="KKQ67" s="122"/>
      <c r="KKR67" s="122"/>
      <c r="KKS67" s="122"/>
      <c r="KKT67" s="122"/>
      <c r="KKU67" s="122"/>
      <c r="KKV67" s="122"/>
      <c r="KKW67" s="122"/>
      <c r="KKX67" s="122"/>
      <c r="KKY67" s="122"/>
      <c r="KKZ67" s="122"/>
      <c r="KLA67" s="122"/>
      <c r="KLB67" s="122"/>
      <c r="KLC67" s="122"/>
      <c r="KLD67" s="122"/>
      <c r="KLE67" s="122"/>
      <c r="KLF67" s="122"/>
      <c r="KLG67" s="122"/>
      <c r="KLH67" s="122"/>
      <c r="KLI67" s="122"/>
      <c r="KLJ67" s="122"/>
      <c r="KLK67" s="122"/>
      <c r="KLL67" s="122"/>
      <c r="KLM67" s="122"/>
      <c r="KLN67" s="122"/>
      <c r="KLO67" s="122"/>
      <c r="KLP67" s="122"/>
      <c r="KLQ67" s="122"/>
      <c r="KLR67" s="122"/>
      <c r="KLS67" s="122"/>
      <c r="KLT67" s="122"/>
      <c r="KLU67" s="122"/>
      <c r="KLV67" s="122"/>
      <c r="KLW67" s="122"/>
      <c r="KLX67" s="122"/>
      <c r="KLY67" s="122"/>
      <c r="KLZ67" s="122"/>
      <c r="KMA67" s="122"/>
      <c r="KMB67" s="122"/>
      <c r="KMC67" s="122"/>
      <c r="KMD67" s="122"/>
      <c r="KME67" s="122"/>
      <c r="KMF67" s="122"/>
      <c r="KMG67" s="122"/>
      <c r="KMH67" s="122"/>
      <c r="KMI67" s="122"/>
      <c r="KMJ67" s="122"/>
      <c r="KMK67" s="122"/>
      <c r="KML67" s="122"/>
      <c r="KMM67" s="122"/>
      <c r="KMN67" s="122"/>
      <c r="KMO67" s="122"/>
      <c r="KMP67" s="122"/>
      <c r="KMQ67" s="122"/>
      <c r="KMR67" s="122"/>
      <c r="KMS67" s="122"/>
      <c r="KMT67" s="122"/>
      <c r="KMU67" s="122"/>
      <c r="KMV67" s="122"/>
      <c r="KMW67" s="122"/>
      <c r="KMX67" s="122"/>
      <c r="KMY67" s="122"/>
      <c r="KMZ67" s="122"/>
      <c r="KNA67" s="122"/>
      <c r="KNB67" s="122"/>
      <c r="KNC67" s="122"/>
      <c r="KND67" s="122"/>
      <c r="KNE67" s="122"/>
      <c r="KNF67" s="122"/>
      <c r="KNG67" s="122"/>
      <c r="KNH67" s="122"/>
      <c r="KNI67" s="122"/>
      <c r="KNJ67" s="122"/>
      <c r="KNK67" s="122"/>
      <c r="KNL67" s="122"/>
      <c r="KNM67" s="122"/>
      <c r="KNN67" s="122"/>
      <c r="KNO67" s="122"/>
      <c r="KNP67" s="122"/>
      <c r="KNQ67" s="122"/>
      <c r="KNR67" s="122"/>
      <c r="KNS67" s="122"/>
      <c r="KNT67" s="122"/>
      <c r="KNU67" s="122"/>
      <c r="KNV67" s="122"/>
      <c r="KNW67" s="122"/>
      <c r="KNX67" s="122"/>
      <c r="KNY67" s="122"/>
      <c r="KNZ67" s="122"/>
      <c r="KOA67" s="122"/>
      <c r="KOB67" s="122"/>
      <c r="KOC67" s="122"/>
      <c r="KOD67" s="122"/>
      <c r="KOE67" s="122"/>
      <c r="KOF67" s="122"/>
      <c r="KOG67" s="122"/>
      <c r="KOH67" s="122"/>
      <c r="KOI67" s="122"/>
      <c r="KOJ67" s="122"/>
      <c r="KOK67" s="122"/>
      <c r="KOL67" s="122"/>
      <c r="KOM67" s="122"/>
      <c r="KON67" s="122"/>
      <c r="KOO67" s="122"/>
      <c r="KOP67" s="122"/>
      <c r="KOQ67" s="122"/>
      <c r="KOR67" s="122"/>
      <c r="KOS67" s="122"/>
      <c r="KOT67" s="122"/>
      <c r="KOU67" s="122"/>
      <c r="KOV67" s="122"/>
      <c r="KOW67" s="122"/>
      <c r="KOX67" s="122"/>
      <c r="KOY67" s="122"/>
      <c r="KOZ67" s="122"/>
      <c r="KPA67" s="122"/>
      <c r="KPB67" s="122"/>
      <c r="KPC67" s="122"/>
      <c r="KPD67" s="122"/>
      <c r="KPE67" s="122"/>
      <c r="KPF67" s="122"/>
      <c r="KPG67" s="122"/>
      <c r="KPH67" s="122"/>
      <c r="KPI67" s="122"/>
      <c r="KPJ67" s="122"/>
      <c r="KPK67" s="122"/>
      <c r="KPL67" s="122"/>
      <c r="KPM67" s="122"/>
      <c r="KPN67" s="122"/>
      <c r="KPO67" s="122"/>
      <c r="KPP67" s="122"/>
      <c r="KPQ67" s="122"/>
      <c r="KPR67" s="122"/>
      <c r="KPS67" s="122"/>
      <c r="KPT67" s="122"/>
      <c r="KPU67" s="122"/>
      <c r="KPV67" s="122"/>
      <c r="KPW67" s="122"/>
      <c r="KPX67" s="122"/>
      <c r="KPY67" s="122"/>
      <c r="KPZ67" s="122"/>
      <c r="KQA67" s="122"/>
      <c r="KQB67" s="122"/>
      <c r="KQC67" s="122"/>
      <c r="KQD67" s="122"/>
      <c r="KQE67" s="122"/>
      <c r="KQF67" s="122"/>
      <c r="KQG67" s="122"/>
      <c r="KQH67" s="122"/>
      <c r="KQI67" s="122"/>
      <c r="KQJ67" s="122"/>
      <c r="KQK67" s="122"/>
      <c r="KQL67" s="122"/>
      <c r="KQM67" s="122"/>
      <c r="KQN67" s="122"/>
      <c r="KQO67" s="122"/>
      <c r="KQP67" s="122"/>
      <c r="KQQ67" s="122"/>
      <c r="KQR67" s="122"/>
      <c r="KQS67" s="122"/>
      <c r="KQT67" s="122"/>
      <c r="KQU67" s="122"/>
      <c r="KQV67" s="122"/>
      <c r="KQW67" s="122"/>
      <c r="KQX67" s="122"/>
      <c r="KQY67" s="122"/>
      <c r="KQZ67" s="122"/>
      <c r="KRA67" s="122"/>
      <c r="KRB67" s="122"/>
      <c r="KRC67" s="122"/>
      <c r="KRD67" s="122"/>
      <c r="KRE67" s="122"/>
      <c r="KRF67" s="122"/>
      <c r="KRG67" s="122"/>
      <c r="KRH67" s="122"/>
      <c r="KRI67" s="122"/>
      <c r="KRJ67" s="122"/>
      <c r="KRK67" s="122"/>
      <c r="KRL67" s="122"/>
      <c r="KRM67" s="122"/>
      <c r="KRN67" s="122"/>
      <c r="KRO67" s="122"/>
      <c r="KRP67" s="122"/>
      <c r="KRQ67" s="122"/>
      <c r="KRR67" s="122"/>
      <c r="KRS67" s="122"/>
      <c r="KRT67" s="122"/>
      <c r="KRU67" s="122"/>
      <c r="KRV67" s="122"/>
      <c r="KRW67" s="122"/>
      <c r="KRX67" s="122"/>
      <c r="KRY67" s="122"/>
      <c r="KRZ67" s="122"/>
      <c r="KSA67" s="122"/>
      <c r="KSB67" s="122"/>
      <c r="KSC67" s="122"/>
      <c r="KSD67" s="122"/>
      <c r="KSE67" s="122"/>
      <c r="KSF67" s="122"/>
      <c r="KSG67" s="122"/>
      <c r="KSH67" s="122"/>
      <c r="KSI67" s="122"/>
      <c r="KSJ67" s="122"/>
      <c r="KSK67" s="122"/>
      <c r="KSL67" s="122"/>
      <c r="KSM67" s="122"/>
      <c r="KSN67" s="122"/>
      <c r="KSO67" s="122"/>
      <c r="KSP67" s="122"/>
      <c r="KSQ67" s="122"/>
      <c r="KSR67" s="122"/>
      <c r="KSS67" s="122"/>
      <c r="KST67" s="122"/>
      <c r="KSU67" s="122"/>
      <c r="KSV67" s="122"/>
      <c r="KSW67" s="122"/>
      <c r="KSX67" s="122"/>
      <c r="KSY67" s="122"/>
      <c r="KSZ67" s="122"/>
      <c r="KTA67" s="122"/>
      <c r="KTB67" s="122"/>
      <c r="KTC67" s="122"/>
      <c r="KTD67" s="122"/>
      <c r="KTE67" s="122"/>
      <c r="KTF67" s="122"/>
      <c r="KTG67" s="122"/>
      <c r="KTH67" s="122"/>
      <c r="KTI67" s="122"/>
      <c r="KTJ67" s="122"/>
      <c r="KTK67" s="122"/>
      <c r="KTL67" s="122"/>
      <c r="KTM67" s="122"/>
      <c r="KTN67" s="122"/>
      <c r="KTO67" s="122"/>
      <c r="KTP67" s="122"/>
      <c r="KTQ67" s="122"/>
      <c r="KTR67" s="122"/>
      <c r="KTS67" s="122"/>
      <c r="KTT67" s="122"/>
      <c r="KTU67" s="122"/>
      <c r="KTV67" s="122"/>
      <c r="KTW67" s="122"/>
      <c r="KTX67" s="122"/>
      <c r="KTY67" s="122"/>
      <c r="KTZ67" s="122"/>
      <c r="KUA67" s="122"/>
      <c r="KUB67" s="122"/>
      <c r="KUC67" s="122"/>
      <c r="KUD67" s="122"/>
      <c r="KUE67" s="122"/>
      <c r="KUF67" s="122"/>
      <c r="KUG67" s="122"/>
      <c r="KUH67" s="122"/>
      <c r="KUI67" s="122"/>
      <c r="KUJ67" s="122"/>
      <c r="KUK67" s="122"/>
      <c r="KUL67" s="122"/>
      <c r="KUM67" s="122"/>
      <c r="KUN67" s="122"/>
      <c r="KUO67" s="122"/>
      <c r="KUP67" s="122"/>
      <c r="KUQ67" s="122"/>
      <c r="KUR67" s="122"/>
      <c r="KUS67" s="122"/>
      <c r="KUT67" s="122"/>
      <c r="KUU67" s="122"/>
      <c r="KUV67" s="122"/>
      <c r="KUW67" s="122"/>
      <c r="KUX67" s="122"/>
      <c r="KUY67" s="122"/>
      <c r="KUZ67" s="122"/>
      <c r="KVA67" s="122"/>
      <c r="KVB67" s="122"/>
      <c r="KVC67" s="122"/>
      <c r="KVD67" s="122"/>
      <c r="KVE67" s="122"/>
      <c r="KVF67" s="122"/>
      <c r="KVG67" s="122"/>
      <c r="KVH67" s="122"/>
      <c r="KVI67" s="122"/>
      <c r="KVJ67" s="122"/>
      <c r="KVK67" s="122"/>
      <c r="KVL67" s="122"/>
      <c r="KVM67" s="122"/>
      <c r="KVN67" s="122"/>
      <c r="KVO67" s="122"/>
      <c r="KVP67" s="122"/>
      <c r="KVQ67" s="122"/>
      <c r="KVR67" s="122"/>
      <c r="KVS67" s="122"/>
      <c r="KVT67" s="122"/>
      <c r="KVU67" s="122"/>
      <c r="KVV67" s="122"/>
      <c r="KVW67" s="122"/>
      <c r="KVX67" s="122"/>
      <c r="KVY67" s="122"/>
      <c r="KVZ67" s="122"/>
      <c r="KWA67" s="122"/>
      <c r="KWB67" s="122"/>
      <c r="KWC67" s="122"/>
      <c r="KWD67" s="122"/>
      <c r="KWE67" s="122"/>
      <c r="KWF67" s="122"/>
      <c r="KWG67" s="122"/>
      <c r="KWH67" s="122"/>
      <c r="KWI67" s="122"/>
      <c r="KWJ67" s="122"/>
      <c r="KWK67" s="122"/>
      <c r="KWL67" s="122"/>
      <c r="KWM67" s="122"/>
      <c r="KWN67" s="122"/>
      <c r="KWO67" s="122"/>
      <c r="KWP67" s="122"/>
      <c r="KWQ67" s="122"/>
      <c r="KWR67" s="122"/>
      <c r="KWS67" s="122"/>
      <c r="KWT67" s="122"/>
      <c r="KWU67" s="122"/>
      <c r="KWV67" s="122"/>
      <c r="KWW67" s="122"/>
      <c r="KWX67" s="122"/>
      <c r="KWY67" s="122"/>
      <c r="KWZ67" s="122"/>
      <c r="KXA67" s="122"/>
      <c r="KXB67" s="122"/>
      <c r="KXC67" s="122"/>
      <c r="KXD67" s="122"/>
      <c r="KXE67" s="122"/>
      <c r="KXF67" s="122"/>
      <c r="KXG67" s="122"/>
      <c r="KXH67" s="122"/>
      <c r="KXI67" s="122"/>
      <c r="KXJ67" s="122"/>
      <c r="KXK67" s="122"/>
      <c r="KXL67" s="122"/>
      <c r="KXM67" s="122"/>
      <c r="KXN67" s="122"/>
      <c r="KXO67" s="122"/>
      <c r="KXP67" s="122"/>
      <c r="KXQ67" s="122"/>
      <c r="KXR67" s="122"/>
      <c r="KXS67" s="122"/>
      <c r="KXT67" s="122"/>
      <c r="KXU67" s="122"/>
      <c r="KXV67" s="122"/>
      <c r="KXW67" s="122"/>
      <c r="KXX67" s="122"/>
      <c r="KXY67" s="122"/>
      <c r="KXZ67" s="122"/>
      <c r="KYA67" s="122"/>
      <c r="KYB67" s="122"/>
      <c r="KYC67" s="122"/>
      <c r="KYD67" s="122"/>
      <c r="KYE67" s="122"/>
      <c r="KYF67" s="122"/>
      <c r="KYG67" s="122"/>
      <c r="KYH67" s="122"/>
      <c r="KYI67" s="122"/>
      <c r="KYJ67" s="122"/>
      <c r="KYK67" s="122"/>
      <c r="KYL67" s="122"/>
      <c r="KYM67" s="122"/>
      <c r="KYN67" s="122"/>
      <c r="KYO67" s="122"/>
      <c r="KYP67" s="122"/>
      <c r="KYQ67" s="122"/>
      <c r="KYR67" s="122"/>
      <c r="KYS67" s="122"/>
      <c r="KYT67" s="122"/>
      <c r="KYU67" s="122"/>
      <c r="KYV67" s="122"/>
      <c r="KYW67" s="122"/>
      <c r="KYX67" s="122"/>
      <c r="KYY67" s="122"/>
      <c r="KYZ67" s="122"/>
      <c r="KZA67" s="122"/>
      <c r="KZB67" s="122"/>
      <c r="KZC67" s="122"/>
      <c r="KZD67" s="122"/>
      <c r="KZE67" s="122"/>
      <c r="KZF67" s="122"/>
      <c r="KZG67" s="122"/>
      <c r="KZH67" s="122"/>
      <c r="KZI67" s="122"/>
      <c r="KZJ67" s="122"/>
      <c r="KZK67" s="122"/>
      <c r="KZL67" s="122"/>
      <c r="KZM67" s="122"/>
      <c r="KZN67" s="122"/>
      <c r="KZO67" s="122"/>
      <c r="KZP67" s="122"/>
      <c r="KZQ67" s="122"/>
      <c r="KZR67" s="122"/>
      <c r="KZS67" s="122"/>
      <c r="KZT67" s="122"/>
      <c r="KZU67" s="122"/>
      <c r="KZV67" s="122"/>
      <c r="KZW67" s="122"/>
      <c r="KZX67" s="122"/>
      <c r="KZY67" s="122"/>
      <c r="KZZ67" s="122"/>
      <c r="LAA67" s="122"/>
      <c r="LAB67" s="122"/>
      <c r="LAC67" s="122"/>
      <c r="LAD67" s="122"/>
      <c r="LAE67" s="122"/>
      <c r="LAF67" s="122"/>
      <c r="LAG67" s="122"/>
      <c r="LAH67" s="122"/>
      <c r="LAI67" s="122"/>
      <c r="LAJ67" s="122"/>
      <c r="LAK67" s="122"/>
      <c r="LAL67" s="122"/>
      <c r="LAM67" s="122"/>
      <c r="LAN67" s="122"/>
      <c r="LAO67" s="122"/>
      <c r="LAP67" s="122"/>
      <c r="LAQ67" s="122"/>
      <c r="LAR67" s="122"/>
      <c r="LAS67" s="122"/>
      <c r="LAT67" s="122"/>
      <c r="LAU67" s="122"/>
      <c r="LAV67" s="122"/>
      <c r="LAW67" s="122"/>
      <c r="LAX67" s="122"/>
      <c r="LAY67" s="122"/>
      <c r="LAZ67" s="122"/>
      <c r="LBA67" s="122"/>
      <c r="LBB67" s="122"/>
      <c r="LBC67" s="122"/>
      <c r="LBD67" s="122"/>
      <c r="LBE67" s="122"/>
      <c r="LBF67" s="122"/>
      <c r="LBG67" s="122"/>
      <c r="LBH67" s="122"/>
      <c r="LBI67" s="122"/>
      <c r="LBJ67" s="122"/>
      <c r="LBK67" s="122"/>
      <c r="LBL67" s="122"/>
      <c r="LBM67" s="122"/>
      <c r="LBN67" s="122"/>
      <c r="LBO67" s="122"/>
      <c r="LBP67" s="122"/>
      <c r="LBQ67" s="122"/>
      <c r="LBR67" s="122"/>
      <c r="LBS67" s="122"/>
      <c r="LBT67" s="122"/>
      <c r="LBU67" s="122"/>
      <c r="LBV67" s="122"/>
      <c r="LBW67" s="122"/>
      <c r="LBX67" s="122"/>
      <c r="LBY67" s="122"/>
      <c r="LBZ67" s="122"/>
      <c r="LCA67" s="122"/>
      <c r="LCB67" s="122"/>
      <c r="LCC67" s="122"/>
      <c r="LCD67" s="122"/>
      <c r="LCE67" s="122"/>
      <c r="LCF67" s="122"/>
      <c r="LCG67" s="122"/>
      <c r="LCH67" s="122"/>
      <c r="LCI67" s="122"/>
      <c r="LCJ67" s="122"/>
      <c r="LCK67" s="122"/>
      <c r="LCL67" s="122"/>
      <c r="LCM67" s="122"/>
      <c r="LCN67" s="122"/>
      <c r="LCO67" s="122"/>
      <c r="LCP67" s="122"/>
      <c r="LCQ67" s="122"/>
      <c r="LCR67" s="122"/>
      <c r="LCS67" s="122"/>
      <c r="LCT67" s="122"/>
      <c r="LCU67" s="122"/>
      <c r="LCV67" s="122"/>
      <c r="LCW67" s="122"/>
      <c r="LCX67" s="122"/>
      <c r="LCY67" s="122"/>
      <c r="LCZ67" s="122"/>
      <c r="LDA67" s="122"/>
      <c r="LDB67" s="122"/>
      <c r="LDC67" s="122"/>
      <c r="LDD67" s="122"/>
      <c r="LDE67" s="122"/>
      <c r="LDF67" s="122"/>
      <c r="LDG67" s="122"/>
      <c r="LDH67" s="122"/>
      <c r="LDI67" s="122"/>
      <c r="LDJ67" s="122"/>
      <c r="LDK67" s="122"/>
      <c r="LDL67" s="122"/>
      <c r="LDM67" s="122"/>
      <c r="LDN67" s="122"/>
      <c r="LDO67" s="122"/>
      <c r="LDP67" s="122"/>
      <c r="LDQ67" s="122"/>
      <c r="LDR67" s="122"/>
      <c r="LDS67" s="122"/>
      <c r="LDT67" s="122"/>
      <c r="LDU67" s="122"/>
      <c r="LDV67" s="122"/>
      <c r="LDW67" s="122"/>
      <c r="LDX67" s="122"/>
      <c r="LDY67" s="122"/>
      <c r="LDZ67" s="122"/>
      <c r="LEA67" s="122"/>
      <c r="LEB67" s="122"/>
      <c r="LEC67" s="122"/>
      <c r="LED67" s="122"/>
      <c r="LEE67" s="122"/>
      <c r="LEF67" s="122"/>
      <c r="LEG67" s="122"/>
      <c r="LEH67" s="122"/>
      <c r="LEI67" s="122"/>
      <c r="LEJ67" s="122"/>
      <c r="LEK67" s="122"/>
      <c r="LEL67" s="122"/>
      <c r="LEM67" s="122"/>
      <c r="LEN67" s="122"/>
      <c r="LEO67" s="122"/>
      <c r="LEP67" s="122"/>
      <c r="LEQ67" s="122"/>
      <c r="LER67" s="122"/>
      <c r="LES67" s="122"/>
      <c r="LET67" s="122"/>
      <c r="LEU67" s="122"/>
      <c r="LEV67" s="122"/>
      <c r="LEW67" s="122"/>
      <c r="LEX67" s="122"/>
      <c r="LEY67" s="122"/>
      <c r="LEZ67" s="122"/>
      <c r="LFA67" s="122"/>
      <c r="LFB67" s="122"/>
      <c r="LFC67" s="122"/>
      <c r="LFD67" s="122"/>
      <c r="LFE67" s="122"/>
      <c r="LFF67" s="122"/>
      <c r="LFG67" s="122"/>
      <c r="LFH67" s="122"/>
      <c r="LFI67" s="122"/>
      <c r="LFJ67" s="122"/>
      <c r="LFK67" s="122"/>
      <c r="LFL67" s="122"/>
      <c r="LFM67" s="122"/>
      <c r="LFN67" s="122"/>
      <c r="LFO67" s="122"/>
      <c r="LFP67" s="122"/>
      <c r="LFQ67" s="122"/>
      <c r="LFR67" s="122"/>
      <c r="LFS67" s="122"/>
      <c r="LFT67" s="122"/>
      <c r="LFU67" s="122"/>
      <c r="LFV67" s="122"/>
      <c r="LFW67" s="122"/>
      <c r="LFX67" s="122"/>
      <c r="LFY67" s="122"/>
      <c r="LFZ67" s="122"/>
      <c r="LGA67" s="122"/>
      <c r="LGB67" s="122"/>
      <c r="LGC67" s="122"/>
      <c r="LGD67" s="122"/>
      <c r="LGE67" s="122"/>
      <c r="LGF67" s="122"/>
      <c r="LGG67" s="122"/>
      <c r="LGH67" s="122"/>
      <c r="LGI67" s="122"/>
      <c r="LGJ67" s="122"/>
      <c r="LGK67" s="122"/>
      <c r="LGL67" s="122"/>
      <c r="LGM67" s="122"/>
      <c r="LGN67" s="122"/>
      <c r="LGO67" s="122"/>
      <c r="LGP67" s="122"/>
      <c r="LGQ67" s="122"/>
      <c r="LGR67" s="122"/>
      <c r="LGS67" s="122"/>
      <c r="LGT67" s="122"/>
      <c r="LGU67" s="122"/>
      <c r="LGV67" s="122"/>
      <c r="LGW67" s="122"/>
      <c r="LGX67" s="122"/>
      <c r="LGY67" s="122"/>
      <c r="LGZ67" s="122"/>
      <c r="LHA67" s="122"/>
      <c r="LHB67" s="122"/>
      <c r="LHC67" s="122"/>
      <c r="LHD67" s="122"/>
      <c r="LHE67" s="122"/>
      <c r="LHF67" s="122"/>
      <c r="LHG67" s="122"/>
      <c r="LHH67" s="122"/>
      <c r="LHI67" s="122"/>
      <c r="LHJ67" s="122"/>
      <c r="LHK67" s="122"/>
      <c r="LHL67" s="122"/>
      <c r="LHM67" s="122"/>
      <c r="LHN67" s="122"/>
      <c r="LHO67" s="122"/>
      <c r="LHP67" s="122"/>
      <c r="LHQ67" s="122"/>
      <c r="LHR67" s="122"/>
      <c r="LHS67" s="122"/>
      <c r="LHT67" s="122"/>
      <c r="LHU67" s="122"/>
      <c r="LHV67" s="122"/>
      <c r="LHW67" s="122"/>
      <c r="LHX67" s="122"/>
      <c r="LHY67" s="122"/>
      <c r="LHZ67" s="122"/>
      <c r="LIA67" s="122"/>
      <c r="LIB67" s="122"/>
      <c r="LIC67" s="122"/>
      <c r="LID67" s="122"/>
      <c r="LIE67" s="122"/>
      <c r="LIF67" s="122"/>
      <c r="LIG67" s="122"/>
      <c r="LIH67" s="122"/>
      <c r="LII67" s="122"/>
      <c r="LIJ67" s="122"/>
      <c r="LIK67" s="122"/>
      <c r="LIL67" s="122"/>
      <c r="LIM67" s="122"/>
      <c r="LIN67" s="122"/>
      <c r="LIO67" s="122"/>
      <c r="LIP67" s="122"/>
      <c r="LIQ67" s="122"/>
      <c r="LIR67" s="122"/>
      <c r="LIS67" s="122"/>
      <c r="LIT67" s="122"/>
      <c r="LIU67" s="122"/>
      <c r="LIV67" s="122"/>
      <c r="LIW67" s="122"/>
      <c r="LIX67" s="122"/>
      <c r="LIY67" s="122"/>
      <c r="LIZ67" s="122"/>
      <c r="LJA67" s="122"/>
      <c r="LJB67" s="122"/>
      <c r="LJC67" s="122"/>
      <c r="LJD67" s="122"/>
      <c r="LJE67" s="122"/>
      <c r="LJF67" s="122"/>
      <c r="LJG67" s="122"/>
      <c r="LJH67" s="122"/>
      <c r="LJI67" s="122"/>
      <c r="LJJ67" s="122"/>
      <c r="LJK67" s="122"/>
      <c r="LJL67" s="122"/>
      <c r="LJM67" s="122"/>
      <c r="LJN67" s="122"/>
      <c r="LJO67" s="122"/>
      <c r="LJP67" s="122"/>
      <c r="LJQ67" s="122"/>
      <c r="LJR67" s="122"/>
      <c r="LJS67" s="122"/>
      <c r="LJT67" s="122"/>
      <c r="LJU67" s="122"/>
      <c r="LJV67" s="122"/>
      <c r="LJW67" s="122"/>
      <c r="LJX67" s="122"/>
      <c r="LJY67" s="122"/>
      <c r="LJZ67" s="122"/>
      <c r="LKA67" s="122"/>
      <c r="LKB67" s="122"/>
      <c r="LKC67" s="122"/>
      <c r="LKD67" s="122"/>
      <c r="LKE67" s="122"/>
      <c r="LKF67" s="122"/>
      <c r="LKG67" s="122"/>
      <c r="LKH67" s="122"/>
      <c r="LKI67" s="122"/>
      <c r="LKJ67" s="122"/>
      <c r="LKK67" s="122"/>
      <c r="LKL67" s="122"/>
      <c r="LKM67" s="122"/>
      <c r="LKN67" s="122"/>
      <c r="LKO67" s="122"/>
      <c r="LKP67" s="122"/>
      <c r="LKQ67" s="122"/>
      <c r="LKR67" s="122"/>
      <c r="LKS67" s="122"/>
      <c r="LKT67" s="122"/>
      <c r="LKU67" s="122"/>
      <c r="LKV67" s="122"/>
      <c r="LKW67" s="122"/>
      <c r="LKX67" s="122"/>
      <c r="LKY67" s="122"/>
      <c r="LKZ67" s="122"/>
      <c r="LLA67" s="122"/>
      <c r="LLB67" s="122"/>
      <c r="LLC67" s="122"/>
      <c r="LLD67" s="122"/>
      <c r="LLE67" s="122"/>
      <c r="LLF67" s="122"/>
      <c r="LLG67" s="122"/>
      <c r="LLH67" s="122"/>
      <c r="LLI67" s="122"/>
      <c r="LLJ67" s="122"/>
      <c r="LLK67" s="122"/>
      <c r="LLL67" s="122"/>
      <c r="LLM67" s="122"/>
      <c r="LLN67" s="122"/>
      <c r="LLO67" s="122"/>
      <c r="LLP67" s="122"/>
      <c r="LLQ67" s="122"/>
      <c r="LLR67" s="122"/>
      <c r="LLS67" s="122"/>
      <c r="LLT67" s="122"/>
      <c r="LLU67" s="122"/>
      <c r="LLV67" s="122"/>
      <c r="LLW67" s="122"/>
      <c r="LLX67" s="122"/>
      <c r="LLY67" s="122"/>
      <c r="LLZ67" s="122"/>
      <c r="LMA67" s="122"/>
      <c r="LMB67" s="122"/>
      <c r="LMC67" s="122"/>
      <c r="LMD67" s="122"/>
      <c r="LME67" s="122"/>
      <c r="LMF67" s="122"/>
      <c r="LMG67" s="122"/>
      <c r="LMH67" s="122"/>
      <c r="LMI67" s="122"/>
      <c r="LMJ67" s="122"/>
      <c r="LMK67" s="122"/>
      <c r="LML67" s="122"/>
      <c r="LMM67" s="122"/>
      <c r="LMN67" s="122"/>
      <c r="LMO67" s="122"/>
      <c r="LMP67" s="122"/>
      <c r="LMQ67" s="122"/>
      <c r="LMR67" s="122"/>
      <c r="LMS67" s="122"/>
      <c r="LMT67" s="122"/>
      <c r="LMU67" s="122"/>
      <c r="LMV67" s="122"/>
      <c r="LMW67" s="122"/>
      <c r="LMX67" s="122"/>
      <c r="LMY67" s="122"/>
      <c r="LMZ67" s="122"/>
      <c r="LNA67" s="122"/>
      <c r="LNB67" s="122"/>
      <c r="LNC67" s="122"/>
      <c r="LND67" s="122"/>
      <c r="LNE67" s="122"/>
      <c r="LNF67" s="122"/>
      <c r="LNG67" s="122"/>
      <c r="LNH67" s="122"/>
      <c r="LNI67" s="122"/>
      <c r="LNJ67" s="122"/>
      <c r="LNK67" s="122"/>
      <c r="LNL67" s="122"/>
      <c r="LNM67" s="122"/>
      <c r="LNN67" s="122"/>
      <c r="LNO67" s="122"/>
      <c r="LNP67" s="122"/>
      <c r="LNQ67" s="122"/>
      <c r="LNR67" s="122"/>
      <c r="LNS67" s="122"/>
      <c r="LNT67" s="122"/>
      <c r="LNU67" s="122"/>
      <c r="LNV67" s="122"/>
      <c r="LNW67" s="122"/>
      <c r="LNX67" s="122"/>
      <c r="LNY67" s="122"/>
      <c r="LNZ67" s="122"/>
      <c r="LOA67" s="122"/>
      <c r="LOB67" s="122"/>
      <c r="LOC67" s="122"/>
      <c r="LOD67" s="122"/>
      <c r="LOE67" s="122"/>
      <c r="LOF67" s="122"/>
      <c r="LOG67" s="122"/>
      <c r="LOH67" s="122"/>
      <c r="LOI67" s="122"/>
      <c r="LOJ67" s="122"/>
      <c r="LOK67" s="122"/>
      <c r="LOL67" s="122"/>
      <c r="LOM67" s="122"/>
      <c r="LON67" s="122"/>
      <c r="LOO67" s="122"/>
      <c r="LOP67" s="122"/>
      <c r="LOQ67" s="122"/>
      <c r="LOR67" s="122"/>
      <c r="LOS67" s="122"/>
      <c r="LOT67" s="122"/>
      <c r="LOU67" s="122"/>
      <c r="LOV67" s="122"/>
      <c r="LOW67" s="122"/>
      <c r="LOX67" s="122"/>
      <c r="LOY67" s="122"/>
      <c r="LOZ67" s="122"/>
      <c r="LPA67" s="122"/>
      <c r="LPB67" s="122"/>
      <c r="LPC67" s="122"/>
      <c r="LPD67" s="122"/>
      <c r="LPE67" s="122"/>
      <c r="LPF67" s="122"/>
      <c r="LPG67" s="122"/>
      <c r="LPH67" s="122"/>
      <c r="LPI67" s="122"/>
      <c r="LPJ67" s="122"/>
      <c r="LPK67" s="122"/>
      <c r="LPL67" s="122"/>
      <c r="LPM67" s="122"/>
      <c r="LPN67" s="122"/>
      <c r="LPO67" s="122"/>
      <c r="LPP67" s="122"/>
      <c r="LPQ67" s="122"/>
      <c r="LPR67" s="122"/>
      <c r="LPS67" s="122"/>
      <c r="LPT67" s="122"/>
      <c r="LPU67" s="122"/>
      <c r="LPV67" s="122"/>
      <c r="LPW67" s="122"/>
      <c r="LPX67" s="122"/>
      <c r="LPY67" s="122"/>
      <c r="LPZ67" s="122"/>
      <c r="LQA67" s="122"/>
      <c r="LQB67" s="122"/>
      <c r="LQC67" s="122"/>
      <c r="LQD67" s="122"/>
      <c r="LQE67" s="122"/>
      <c r="LQF67" s="122"/>
      <c r="LQG67" s="122"/>
      <c r="LQH67" s="122"/>
      <c r="LQI67" s="122"/>
      <c r="LQJ67" s="122"/>
      <c r="LQK67" s="122"/>
      <c r="LQL67" s="122"/>
      <c r="LQM67" s="122"/>
      <c r="LQN67" s="122"/>
      <c r="LQO67" s="122"/>
      <c r="LQP67" s="122"/>
      <c r="LQQ67" s="122"/>
      <c r="LQR67" s="122"/>
      <c r="LQS67" s="122"/>
      <c r="LQT67" s="122"/>
      <c r="LQU67" s="122"/>
      <c r="LQV67" s="122"/>
      <c r="LQW67" s="122"/>
      <c r="LQX67" s="122"/>
      <c r="LQY67" s="122"/>
      <c r="LQZ67" s="122"/>
      <c r="LRA67" s="122"/>
      <c r="LRB67" s="122"/>
      <c r="LRC67" s="122"/>
      <c r="LRD67" s="122"/>
      <c r="LRE67" s="122"/>
      <c r="LRF67" s="122"/>
      <c r="LRG67" s="122"/>
      <c r="LRH67" s="122"/>
      <c r="LRI67" s="122"/>
      <c r="LRJ67" s="122"/>
      <c r="LRK67" s="122"/>
      <c r="LRL67" s="122"/>
      <c r="LRM67" s="122"/>
      <c r="LRN67" s="122"/>
      <c r="LRO67" s="122"/>
      <c r="LRP67" s="122"/>
      <c r="LRQ67" s="122"/>
      <c r="LRR67" s="122"/>
      <c r="LRS67" s="122"/>
      <c r="LRT67" s="122"/>
      <c r="LRU67" s="122"/>
      <c r="LRV67" s="122"/>
      <c r="LRW67" s="122"/>
      <c r="LRX67" s="122"/>
      <c r="LRY67" s="122"/>
      <c r="LRZ67" s="122"/>
      <c r="LSA67" s="122"/>
      <c r="LSB67" s="122"/>
      <c r="LSC67" s="122"/>
      <c r="LSD67" s="122"/>
      <c r="LSE67" s="122"/>
      <c r="LSF67" s="122"/>
      <c r="LSG67" s="122"/>
      <c r="LSH67" s="122"/>
      <c r="LSI67" s="122"/>
      <c r="LSJ67" s="122"/>
      <c r="LSK67" s="122"/>
      <c r="LSL67" s="122"/>
      <c r="LSM67" s="122"/>
      <c r="LSN67" s="122"/>
      <c r="LSO67" s="122"/>
      <c r="LSP67" s="122"/>
      <c r="LSQ67" s="122"/>
      <c r="LSR67" s="122"/>
      <c r="LSS67" s="122"/>
      <c r="LST67" s="122"/>
      <c r="LSU67" s="122"/>
      <c r="LSV67" s="122"/>
      <c r="LSW67" s="122"/>
      <c r="LSX67" s="122"/>
      <c r="LSY67" s="122"/>
      <c r="LSZ67" s="122"/>
      <c r="LTA67" s="122"/>
      <c r="LTB67" s="122"/>
      <c r="LTC67" s="122"/>
      <c r="LTD67" s="122"/>
      <c r="LTE67" s="122"/>
      <c r="LTF67" s="122"/>
      <c r="LTG67" s="122"/>
      <c r="LTH67" s="122"/>
      <c r="LTI67" s="122"/>
      <c r="LTJ67" s="122"/>
      <c r="LTK67" s="122"/>
      <c r="LTL67" s="122"/>
      <c r="LTM67" s="122"/>
      <c r="LTN67" s="122"/>
      <c r="LTO67" s="122"/>
      <c r="LTP67" s="122"/>
      <c r="LTQ67" s="122"/>
      <c r="LTR67" s="122"/>
      <c r="LTS67" s="122"/>
      <c r="LTT67" s="122"/>
      <c r="LTU67" s="122"/>
      <c r="LTV67" s="122"/>
      <c r="LTW67" s="122"/>
      <c r="LTX67" s="122"/>
      <c r="LTY67" s="122"/>
      <c r="LTZ67" s="122"/>
      <c r="LUA67" s="122"/>
      <c r="LUB67" s="122"/>
      <c r="LUC67" s="122"/>
      <c r="LUD67" s="122"/>
      <c r="LUE67" s="122"/>
      <c r="LUF67" s="122"/>
      <c r="LUG67" s="122"/>
      <c r="LUH67" s="122"/>
      <c r="LUI67" s="122"/>
      <c r="LUJ67" s="122"/>
      <c r="LUK67" s="122"/>
      <c r="LUL67" s="122"/>
      <c r="LUM67" s="122"/>
      <c r="LUN67" s="122"/>
      <c r="LUO67" s="122"/>
      <c r="LUP67" s="122"/>
      <c r="LUQ67" s="122"/>
      <c r="LUR67" s="122"/>
      <c r="LUS67" s="122"/>
      <c r="LUT67" s="122"/>
      <c r="LUU67" s="122"/>
      <c r="LUV67" s="122"/>
      <c r="LUW67" s="122"/>
      <c r="LUX67" s="122"/>
      <c r="LUY67" s="122"/>
      <c r="LUZ67" s="122"/>
      <c r="LVA67" s="122"/>
      <c r="LVB67" s="122"/>
      <c r="LVC67" s="122"/>
      <c r="LVD67" s="122"/>
      <c r="LVE67" s="122"/>
      <c r="LVF67" s="122"/>
      <c r="LVG67" s="122"/>
      <c r="LVH67" s="122"/>
      <c r="LVI67" s="122"/>
      <c r="LVJ67" s="122"/>
      <c r="LVK67" s="122"/>
      <c r="LVL67" s="122"/>
      <c r="LVM67" s="122"/>
      <c r="LVN67" s="122"/>
      <c r="LVO67" s="122"/>
      <c r="LVP67" s="122"/>
      <c r="LVQ67" s="122"/>
      <c r="LVR67" s="122"/>
      <c r="LVS67" s="122"/>
      <c r="LVT67" s="122"/>
      <c r="LVU67" s="122"/>
      <c r="LVV67" s="122"/>
      <c r="LVW67" s="122"/>
      <c r="LVX67" s="122"/>
      <c r="LVY67" s="122"/>
      <c r="LVZ67" s="122"/>
      <c r="LWA67" s="122"/>
      <c r="LWB67" s="122"/>
      <c r="LWC67" s="122"/>
      <c r="LWD67" s="122"/>
      <c r="LWE67" s="122"/>
      <c r="LWF67" s="122"/>
      <c r="LWG67" s="122"/>
      <c r="LWH67" s="122"/>
      <c r="LWI67" s="122"/>
      <c r="LWJ67" s="122"/>
      <c r="LWK67" s="122"/>
      <c r="LWL67" s="122"/>
      <c r="LWM67" s="122"/>
      <c r="LWN67" s="122"/>
      <c r="LWO67" s="122"/>
      <c r="LWP67" s="122"/>
      <c r="LWQ67" s="122"/>
      <c r="LWR67" s="122"/>
      <c r="LWS67" s="122"/>
      <c r="LWT67" s="122"/>
      <c r="LWU67" s="122"/>
      <c r="LWV67" s="122"/>
      <c r="LWW67" s="122"/>
      <c r="LWX67" s="122"/>
      <c r="LWY67" s="122"/>
      <c r="LWZ67" s="122"/>
      <c r="LXA67" s="122"/>
      <c r="LXB67" s="122"/>
      <c r="LXC67" s="122"/>
      <c r="LXD67" s="122"/>
      <c r="LXE67" s="122"/>
      <c r="LXF67" s="122"/>
      <c r="LXG67" s="122"/>
      <c r="LXH67" s="122"/>
      <c r="LXI67" s="122"/>
      <c r="LXJ67" s="122"/>
      <c r="LXK67" s="122"/>
      <c r="LXL67" s="122"/>
      <c r="LXM67" s="122"/>
      <c r="LXN67" s="122"/>
      <c r="LXO67" s="122"/>
      <c r="LXP67" s="122"/>
      <c r="LXQ67" s="122"/>
      <c r="LXR67" s="122"/>
      <c r="LXS67" s="122"/>
      <c r="LXT67" s="122"/>
      <c r="LXU67" s="122"/>
      <c r="LXV67" s="122"/>
      <c r="LXW67" s="122"/>
      <c r="LXX67" s="122"/>
      <c r="LXY67" s="122"/>
      <c r="LXZ67" s="122"/>
      <c r="LYA67" s="122"/>
      <c r="LYB67" s="122"/>
      <c r="LYC67" s="122"/>
      <c r="LYD67" s="122"/>
      <c r="LYE67" s="122"/>
      <c r="LYF67" s="122"/>
      <c r="LYG67" s="122"/>
      <c r="LYH67" s="122"/>
      <c r="LYI67" s="122"/>
      <c r="LYJ67" s="122"/>
      <c r="LYK67" s="122"/>
      <c r="LYL67" s="122"/>
      <c r="LYM67" s="122"/>
      <c r="LYN67" s="122"/>
      <c r="LYO67" s="122"/>
      <c r="LYP67" s="122"/>
      <c r="LYQ67" s="122"/>
      <c r="LYR67" s="122"/>
      <c r="LYS67" s="122"/>
      <c r="LYT67" s="122"/>
      <c r="LYU67" s="122"/>
      <c r="LYV67" s="122"/>
      <c r="LYW67" s="122"/>
      <c r="LYX67" s="122"/>
      <c r="LYY67" s="122"/>
      <c r="LYZ67" s="122"/>
      <c r="LZA67" s="122"/>
      <c r="LZB67" s="122"/>
      <c r="LZC67" s="122"/>
      <c r="LZD67" s="122"/>
      <c r="LZE67" s="122"/>
      <c r="LZF67" s="122"/>
      <c r="LZG67" s="122"/>
      <c r="LZH67" s="122"/>
      <c r="LZI67" s="122"/>
      <c r="LZJ67" s="122"/>
      <c r="LZK67" s="122"/>
      <c r="LZL67" s="122"/>
      <c r="LZM67" s="122"/>
      <c r="LZN67" s="122"/>
      <c r="LZO67" s="122"/>
      <c r="LZP67" s="122"/>
      <c r="LZQ67" s="122"/>
      <c r="LZR67" s="122"/>
      <c r="LZS67" s="122"/>
      <c r="LZT67" s="122"/>
      <c r="LZU67" s="122"/>
      <c r="LZV67" s="122"/>
      <c r="LZW67" s="122"/>
      <c r="LZX67" s="122"/>
      <c r="LZY67" s="122"/>
      <c r="LZZ67" s="122"/>
      <c r="MAA67" s="122"/>
      <c r="MAB67" s="122"/>
      <c r="MAC67" s="122"/>
      <c r="MAD67" s="122"/>
      <c r="MAE67" s="122"/>
      <c r="MAF67" s="122"/>
      <c r="MAG67" s="122"/>
      <c r="MAH67" s="122"/>
      <c r="MAI67" s="122"/>
      <c r="MAJ67" s="122"/>
      <c r="MAK67" s="122"/>
      <c r="MAL67" s="122"/>
      <c r="MAM67" s="122"/>
      <c r="MAN67" s="122"/>
      <c r="MAO67" s="122"/>
      <c r="MAP67" s="122"/>
      <c r="MAQ67" s="122"/>
      <c r="MAR67" s="122"/>
      <c r="MAS67" s="122"/>
      <c r="MAT67" s="122"/>
      <c r="MAU67" s="122"/>
      <c r="MAV67" s="122"/>
      <c r="MAW67" s="122"/>
      <c r="MAX67" s="122"/>
      <c r="MAY67" s="122"/>
      <c r="MAZ67" s="122"/>
      <c r="MBA67" s="122"/>
      <c r="MBB67" s="122"/>
      <c r="MBC67" s="122"/>
      <c r="MBD67" s="122"/>
      <c r="MBE67" s="122"/>
      <c r="MBF67" s="122"/>
      <c r="MBG67" s="122"/>
      <c r="MBH67" s="122"/>
      <c r="MBI67" s="122"/>
      <c r="MBJ67" s="122"/>
      <c r="MBK67" s="122"/>
      <c r="MBL67" s="122"/>
      <c r="MBM67" s="122"/>
      <c r="MBN67" s="122"/>
      <c r="MBO67" s="122"/>
      <c r="MBP67" s="122"/>
      <c r="MBQ67" s="122"/>
      <c r="MBR67" s="122"/>
      <c r="MBS67" s="122"/>
      <c r="MBT67" s="122"/>
      <c r="MBU67" s="122"/>
      <c r="MBV67" s="122"/>
      <c r="MBW67" s="122"/>
      <c r="MBX67" s="122"/>
      <c r="MBY67" s="122"/>
      <c r="MBZ67" s="122"/>
      <c r="MCA67" s="122"/>
      <c r="MCB67" s="122"/>
      <c r="MCC67" s="122"/>
      <c r="MCD67" s="122"/>
      <c r="MCE67" s="122"/>
      <c r="MCF67" s="122"/>
      <c r="MCG67" s="122"/>
      <c r="MCH67" s="122"/>
      <c r="MCI67" s="122"/>
      <c r="MCJ67" s="122"/>
      <c r="MCK67" s="122"/>
      <c r="MCL67" s="122"/>
      <c r="MCM67" s="122"/>
      <c r="MCN67" s="122"/>
      <c r="MCO67" s="122"/>
      <c r="MCP67" s="122"/>
      <c r="MCQ67" s="122"/>
      <c r="MCR67" s="122"/>
      <c r="MCS67" s="122"/>
      <c r="MCT67" s="122"/>
      <c r="MCU67" s="122"/>
      <c r="MCV67" s="122"/>
      <c r="MCW67" s="122"/>
      <c r="MCX67" s="122"/>
      <c r="MCY67" s="122"/>
      <c r="MCZ67" s="122"/>
      <c r="MDA67" s="122"/>
      <c r="MDB67" s="122"/>
      <c r="MDC67" s="122"/>
      <c r="MDD67" s="122"/>
      <c r="MDE67" s="122"/>
      <c r="MDF67" s="122"/>
      <c r="MDG67" s="122"/>
      <c r="MDH67" s="122"/>
      <c r="MDI67" s="122"/>
      <c r="MDJ67" s="122"/>
      <c r="MDK67" s="122"/>
      <c r="MDL67" s="122"/>
      <c r="MDM67" s="122"/>
      <c r="MDN67" s="122"/>
      <c r="MDO67" s="122"/>
      <c r="MDP67" s="122"/>
      <c r="MDQ67" s="122"/>
      <c r="MDR67" s="122"/>
      <c r="MDS67" s="122"/>
      <c r="MDT67" s="122"/>
      <c r="MDU67" s="122"/>
      <c r="MDV67" s="122"/>
      <c r="MDW67" s="122"/>
      <c r="MDX67" s="122"/>
      <c r="MDY67" s="122"/>
      <c r="MDZ67" s="122"/>
      <c r="MEA67" s="122"/>
      <c r="MEB67" s="122"/>
      <c r="MEC67" s="122"/>
      <c r="MED67" s="122"/>
      <c r="MEE67" s="122"/>
      <c r="MEF67" s="122"/>
      <c r="MEG67" s="122"/>
      <c r="MEH67" s="122"/>
      <c r="MEI67" s="122"/>
      <c r="MEJ67" s="122"/>
      <c r="MEK67" s="122"/>
      <c r="MEL67" s="122"/>
      <c r="MEM67" s="122"/>
      <c r="MEN67" s="122"/>
      <c r="MEO67" s="122"/>
      <c r="MEP67" s="122"/>
      <c r="MEQ67" s="122"/>
      <c r="MER67" s="122"/>
      <c r="MES67" s="122"/>
      <c r="MET67" s="122"/>
      <c r="MEU67" s="122"/>
      <c r="MEV67" s="122"/>
      <c r="MEW67" s="122"/>
      <c r="MEX67" s="122"/>
      <c r="MEY67" s="122"/>
      <c r="MEZ67" s="122"/>
      <c r="MFA67" s="122"/>
      <c r="MFB67" s="122"/>
      <c r="MFC67" s="122"/>
      <c r="MFD67" s="122"/>
      <c r="MFE67" s="122"/>
      <c r="MFF67" s="122"/>
      <c r="MFG67" s="122"/>
      <c r="MFH67" s="122"/>
      <c r="MFI67" s="122"/>
      <c r="MFJ67" s="122"/>
      <c r="MFK67" s="122"/>
      <c r="MFL67" s="122"/>
      <c r="MFM67" s="122"/>
      <c r="MFN67" s="122"/>
      <c r="MFO67" s="122"/>
      <c r="MFP67" s="122"/>
      <c r="MFQ67" s="122"/>
      <c r="MFR67" s="122"/>
      <c r="MFS67" s="122"/>
      <c r="MFT67" s="122"/>
      <c r="MFU67" s="122"/>
      <c r="MFV67" s="122"/>
      <c r="MFW67" s="122"/>
      <c r="MFX67" s="122"/>
      <c r="MFY67" s="122"/>
      <c r="MFZ67" s="122"/>
      <c r="MGA67" s="122"/>
      <c r="MGB67" s="122"/>
      <c r="MGC67" s="122"/>
      <c r="MGD67" s="122"/>
      <c r="MGE67" s="122"/>
      <c r="MGF67" s="122"/>
      <c r="MGG67" s="122"/>
      <c r="MGH67" s="122"/>
      <c r="MGI67" s="122"/>
      <c r="MGJ67" s="122"/>
      <c r="MGK67" s="122"/>
      <c r="MGL67" s="122"/>
      <c r="MGM67" s="122"/>
      <c r="MGN67" s="122"/>
      <c r="MGO67" s="122"/>
      <c r="MGP67" s="122"/>
      <c r="MGQ67" s="122"/>
      <c r="MGR67" s="122"/>
      <c r="MGS67" s="122"/>
      <c r="MGT67" s="122"/>
      <c r="MGU67" s="122"/>
      <c r="MGV67" s="122"/>
      <c r="MGW67" s="122"/>
      <c r="MGX67" s="122"/>
      <c r="MGY67" s="122"/>
      <c r="MGZ67" s="122"/>
      <c r="MHA67" s="122"/>
      <c r="MHB67" s="122"/>
      <c r="MHC67" s="122"/>
      <c r="MHD67" s="122"/>
      <c r="MHE67" s="122"/>
      <c r="MHF67" s="122"/>
      <c r="MHG67" s="122"/>
      <c r="MHH67" s="122"/>
      <c r="MHI67" s="122"/>
      <c r="MHJ67" s="122"/>
      <c r="MHK67" s="122"/>
      <c r="MHL67" s="122"/>
      <c r="MHM67" s="122"/>
      <c r="MHN67" s="122"/>
      <c r="MHO67" s="122"/>
      <c r="MHP67" s="122"/>
      <c r="MHQ67" s="122"/>
      <c r="MHR67" s="122"/>
      <c r="MHS67" s="122"/>
      <c r="MHT67" s="122"/>
      <c r="MHU67" s="122"/>
      <c r="MHV67" s="122"/>
      <c r="MHW67" s="122"/>
      <c r="MHX67" s="122"/>
      <c r="MHY67" s="122"/>
      <c r="MHZ67" s="122"/>
      <c r="MIA67" s="122"/>
      <c r="MIB67" s="122"/>
      <c r="MIC67" s="122"/>
      <c r="MID67" s="122"/>
      <c r="MIE67" s="122"/>
      <c r="MIF67" s="122"/>
      <c r="MIG67" s="122"/>
      <c r="MIH67" s="122"/>
      <c r="MII67" s="122"/>
      <c r="MIJ67" s="122"/>
      <c r="MIK67" s="122"/>
      <c r="MIL67" s="122"/>
      <c r="MIM67" s="122"/>
      <c r="MIN67" s="122"/>
      <c r="MIO67" s="122"/>
      <c r="MIP67" s="122"/>
      <c r="MIQ67" s="122"/>
      <c r="MIR67" s="122"/>
      <c r="MIS67" s="122"/>
      <c r="MIT67" s="122"/>
      <c r="MIU67" s="122"/>
      <c r="MIV67" s="122"/>
      <c r="MIW67" s="122"/>
      <c r="MIX67" s="122"/>
      <c r="MIY67" s="122"/>
      <c r="MIZ67" s="122"/>
      <c r="MJA67" s="122"/>
      <c r="MJB67" s="122"/>
      <c r="MJC67" s="122"/>
      <c r="MJD67" s="122"/>
      <c r="MJE67" s="122"/>
      <c r="MJF67" s="122"/>
      <c r="MJG67" s="122"/>
      <c r="MJH67" s="122"/>
      <c r="MJI67" s="122"/>
      <c r="MJJ67" s="122"/>
      <c r="MJK67" s="122"/>
      <c r="MJL67" s="122"/>
      <c r="MJM67" s="122"/>
      <c r="MJN67" s="122"/>
      <c r="MJO67" s="122"/>
      <c r="MJP67" s="122"/>
      <c r="MJQ67" s="122"/>
      <c r="MJR67" s="122"/>
      <c r="MJS67" s="122"/>
      <c r="MJT67" s="122"/>
      <c r="MJU67" s="122"/>
      <c r="MJV67" s="122"/>
      <c r="MJW67" s="122"/>
      <c r="MJX67" s="122"/>
      <c r="MJY67" s="122"/>
      <c r="MJZ67" s="122"/>
      <c r="MKA67" s="122"/>
      <c r="MKB67" s="122"/>
      <c r="MKC67" s="122"/>
      <c r="MKD67" s="122"/>
      <c r="MKE67" s="122"/>
      <c r="MKF67" s="122"/>
      <c r="MKG67" s="122"/>
      <c r="MKH67" s="122"/>
      <c r="MKI67" s="122"/>
      <c r="MKJ67" s="122"/>
      <c r="MKK67" s="122"/>
      <c r="MKL67" s="122"/>
      <c r="MKM67" s="122"/>
      <c r="MKN67" s="122"/>
      <c r="MKO67" s="122"/>
      <c r="MKP67" s="122"/>
      <c r="MKQ67" s="122"/>
      <c r="MKR67" s="122"/>
      <c r="MKS67" s="122"/>
      <c r="MKT67" s="122"/>
      <c r="MKU67" s="122"/>
      <c r="MKV67" s="122"/>
      <c r="MKW67" s="122"/>
      <c r="MKX67" s="122"/>
      <c r="MKY67" s="122"/>
      <c r="MKZ67" s="122"/>
      <c r="MLA67" s="122"/>
      <c r="MLB67" s="122"/>
      <c r="MLC67" s="122"/>
      <c r="MLD67" s="122"/>
      <c r="MLE67" s="122"/>
      <c r="MLF67" s="122"/>
      <c r="MLG67" s="122"/>
      <c r="MLH67" s="122"/>
      <c r="MLI67" s="122"/>
      <c r="MLJ67" s="122"/>
      <c r="MLK67" s="122"/>
      <c r="MLL67" s="122"/>
      <c r="MLM67" s="122"/>
      <c r="MLN67" s="122"/>
      <c r="MLO67" s="122"/>
      <c r="MLP67" s="122"/>
      <c r="MLQ67" s="122"/>
      <c r="MLR67" s="122"/>
      <c r="MLS67" s="122"/>
      <c r="MLT67" s="122"/>
      <c r="MLU67" s="122"/>
      <c r="MLV67" s="122"/>
      <c r="MLW67" s="122"/>
      <c r="MLX67" s="122"/>
      <c r="MLY67" s="122"/>
      <c r="MLZ67" s="122"/>
      <c r="MMA67" s="122"/>
      <c r="MMB67" s="122"/>
      <c r="MMC67" s="122"/>
      <c r="MMD67" s="122"/>
      <c r="MME67" s="122"/>
      <c r="MMF67" s="122"/>
      <c r="MMG67" s="122"/>
      <c r="MMH67" s="122"/>
      <c r="MMI67" s="122"/>
      <c r="MMJ67" s="122"/>
      <c r="MMK67" s="122"/>
      <c r="MML67" s="122"/>
      <c r="MMM67" s="122"/>
      <c r="MMN67" s="122"/>
      <c r="MMO67" s="122"/>
      <c r="MMP67" s="122"/>
      <c r="MMQ67" s="122"/>
      <c r="MMR67" s="122"/>
      <c r="MMS67" s="122"/>
      <c r="MMT67" s="122"/>
      <c r="MMU67" s="122"/>
      <c r="MMV67" s="122"/>
      <c r="MMW67" s="122"/>
      <c r="MMX67" s="122"/>
      <c r="MMY67" s="122"/>
      <c r="MMZ67" s="122"/>
      <c r="MNA67" s="122"/>
      <c r="MNB67" s="122"/>
      <c r="MNC67" s="122"/>
      <c r="MND67" s="122"/>
      <c r="MNE67" s="122"/>
      <c r="MNF67" s="122"/>
      <c r="MNG67" s="122"/>
      <c r="MNH67" s="122"/>
      <c r="MNI67" s="122"/>
      <c r="MNJ67" s="122"/>
      <c r="MNK67" s="122"/>
      <c r="MNL67" s="122"/>
      <c r="MNM67" s="122"/>
      <c r="MNN67" s="122"/>
      <c r="MNO67" s="122"/>
      <c r="MNP67" s="122"/>
      <c r="MNQ67" s="122"/>
      <c r="MNR67" s="122"/>
      <c r="MNS67" s="122"/>
      <c r="MNT67" s="122"/>
      <c r="MNU67" s="122"/>
      <c r="MNV67" s="122"/>
      <c r="MNW67" s="122"/>
      <c r="MNX67" s="122"/>
      <c r="MNY67" s="122"/>
      <c r="MNZ67" s="122"/>
      <c r="MOA67" s="122"/>
      <c r="MOB67" s="122"/>
      <c r="MOC67" s="122"/>
      <c r="MOD67" s="122"/>
      <c r="MOE67" s="122"/>
      <c r="MOF67" s="122"/>
      <c r="MOG67" s="122"/>
      <c r="MOH67" s="122"/>
      <c r="MOI67" s="122"/>
      <c r="MOJ67" s="122"/>
      <c r="MOK67" s="122"/>
      <c r="MOL67" s="122"/>
      <c r="MOM67" s="122"/>
      <c r="MON67" s="122"/>
      <c r="MOO67" s="122"/>
      <c r="MOP67" s="122"/>
      <c r="MOQ67" s="122"/>
      <c r="MOR67" s="122"/>
      <c r="MOS67" s="122"/>
      <c r="MOT67" s="122"/>
      <c r="MOU67" s="122"/>
      <c r="MOV67" s="122"/>
      <c r="MOW67" s="122"/>
      <c r="MOX67" s="122"/>
      <c r="MOY67" s="122"/>
      <c r="MOZ67" s="122"/>
      <c r="MPA67" s="122"/>
      <c r="MPB67" s="122"/>
      <c r="MPC67" s="122"/>
      <c r="MPD67" s="122"/>
      <c r="MPE67" s="122"/>
      <c r="MPF67" s="122"/>
      <c r="MPG67" s="122"/>
      <c r="MPH67" s="122"/>
      <c r="MPI67" s="122"/>
      <c r="MPJ67" s="122"/>
      <c r="MPK67" s="122"/>
      <c r="MPL67" s="122"/>
      <c r="MPM67" s="122"/>
      <c r="MPN67" s="122"/>
      <c r="MPO67" s="122"/>
      <c r="MPP67" s="122"/>
      <c r="MPQ67" s="122"/>
      <c r="MPR67" s="122"/>
      <c r="MPS67" s="122"/>
      <c r="MPT67" s="122"/>
      <c r="MPU67" s="122"/>
      <c r="MPV67" s="122"/>
      <c r="MPW67" s="122"/>
      <c r="MPX67" s="122"/>
      <c r="MPY67" s="122"/>
      <c r="MPZ67" s="122"/>
      <c r="MQA67" s="122"/>
      <c r="MQB67" s="122"/>
      <c r="MQC67" s="122"/>
      <c r="MQD67" s="122"/>
      <c r="MQE67" s="122"/>
      <c r="MQF67" s="122"/>
      <c r="MQG67" s="122"/>
      <c r="MQH67" s="122"/>
      <c r="MQI67" s="122"/>
      <c r="MQJ67" s="122"/>
      <c r="MQK67" s="122"/>
      <c r="MQL67" s="122"/>
      <c r="MQM67" s="122"/>
      <c r="MQN67" s="122"/>
      <c r="MQO67" s="122"/>
      <c r="MQP67" s="122"/>
      <c r="MQQ67" s="122"/>
      <c r="MQR67" s="122"/>
      <c r="MQS67" s="122"/>
      <c r="MQT67" s="122"/>
      <c r="MQU67" s="122"/>
      <c r="MQV67" s="122"/>
      <c r="MQW67" s="122"/>
      <c r="MQX67" s="122"/>
      <c r="MQY67" s="122"/>
      <c r="MQZ67" s="122"/>
      <c r="MRA67" s="122"/>
      <c r="MRB67" s="122"/>
      <c r="MRC67" s="122"/>
      <c r="MRD67" s="122"/>
      <c r="MRE67" s="122"/>
      <c r="MRF67" s="122"/>
      <c r="MRG67" s="122"/>
      <c r="MRH67" s="122"/>
      <c r="MRI67" s="122"/>
      <c r="MRJ67" s="122"/>
      <c r="MRK67" s="122"/>
      <c r="MRL67" s="122"/>
      <c r="MRM67" s="122"/>
      <c r="MRN67" s="122"/>
      <c r="MRO67" s="122"/>
      <c r="MRP67" s="122"/>
      <c r="MRQ67" s="122"/>
      <c r="MRR67" s="122"/>
      <c r="MRS67" s="122"/>
      <c r="MRT67" s="122"/>
      <c r="MRU67" s="122"/>
      <c r="MRV67" s="122"/>
      <c r="MRW67" s="122"/>
      <c r="MRX67" s="122"/>
      <c r="MRY67" s="122"/>
      <c r="MRZ67" s="122"/>
      <c r="MSA67" s="122"/>
      <c r="MSB67" s="122"/>
      <c r="MSC67" s="122"/>
      <c r="MSD67" s="122"/>
      <c r="MSE67" s="122"/>
      <c r="MSF67" s="122"/>
      <c r="MSG67" s="122"/>
      <c r="MSH67" s="122"/>
      <c r="MSI67" s="122"/>
      <c r="MSJ67" s="122"/>
      <c r="MSK67" s="122"/>
      <c r="MSL67" s="122"/>
      <c r="MSM67" s="122"/>
      <c r="MSN67" s="122"/>
      <c r="MSO67" s="122"/>
      <c r="MSP67" s="122"/>
      <c r="MSQ67" s="122"/>
      <c r="MSR67" s="122"/>
      <c r="MSS67" s="122"/>
      <c r="MST67" s="122"/>
      <c r="MSU67" s="122"/>
      <c r="MSV67" s="122"/>
      <c r="MSW67" s="122"/>
      <c r="MSX67" s="122"/>
      <c r="MSY67" s="122"/>
      <c r="MSZ67" s="122"/>
      <c r="MTA67" s="122"/>
      <c r="MTB67" s="122"/>
      <c r="MTC67" s="122"/>
      <c r="MTD67" s="122"/>
      <c r="MTE67" s="122"/>
      <c r="MTF67" s="122"/>
      <c r="MTG67" s="122"/>
      <c r="MTH67" s="122"/>
      <c r="MTI67" s="122"/>
      <c r="MTJ67" s="122"/>
      <c r="MTK67" s="122"/>
      <c r="MTL67" s="122"/>
      <c r="MTM67" s="122"/>
      <c r="MTN67" s="122"/>
      <c r="MTO67" s="122"/>
      <c r="MTP67" s="122"/>
      <c r="MTQ67" s="122"/>
      <c r="MTR67" s="122"/>
      <c r="MTS67" s="122"/>
      <c r="MTT67" s="122"/>
      <c r="MTU67" s="122"/>
      <c r="MTV67" s="122"/>
      <c r="MTW67" s="122"/>
      <c r="MTX67" s="122"/>
      <c r="MTY67" s="122"/>
      <c r="MTZ67" s="122"/>
      <c r="MUA67" s="122"/>
      <c r="MUB67" s="122"/>
      <c r="MUC67" s="122"/>
      <c r="MUD67" s="122"/>
      <c r="MUE67" s="122"/>
      <c r="MUF67" s="122"/>
      <c r="MUG67" s="122"/>
      <c r="MUH67" s="122"/>
      <c r="MUI67" s="122"/>
      <c r="MUJ67" s="122"/>
      <c r="MUK67" s="122"/>
      <c r="MUL67" s="122"/>
      <c r="MUM67" s="122"/>
      <c r="MUN67" s="122"/>
      <c r="MUO67" s="122"/>
      <c r="MUP67" s="122"/>
      <c r="MUQ67" s="122"/>
      <c r="MUR67" s="122"/>
      <c r="MUS67" s="122"/>
      <c r="MUT67" s="122"/>
      <c r="MUU67" s="122"/>
      <c r="MUV67" s="122"/>
      <c r="MUW67" s="122"/>
      <c r="MUX67" s="122"/>
      <c r="MUY67" s="122"/>
      <c r="MUZ67" s="122"/>
      <c r="MVA67" s="122"/>
      <c r="MVB67" s="122"/>
      <c r="MVC67" s="122"/>
      <c r="MVD67" s="122"/>
      <c r="MVE67" s="122"/>
      <c r="MVF67" s="122"/>
      <c r="MVG67" s="122"/>
      <c r="MVH67" s="122"/>
      <c r="MVI67" s="122"/>
      <c r="MVJ67" s="122"/>
      <c r="MVK67" s="122"/>
      <c r="MVL67" s="122"/>
      <c r="MVM67" s="122"/>
      <c r="MVN67" s="122"/>
      <c r="MVO67" s="122"/>
      <c r="MVP67" s="122"/>
      <c r="MVQ67" s="122"/>
      <c r="MVR67" s="122"/>
      <c r="MVS67" s="122"/>
      <c r="MVT67" s="122"/>
      <c r="MVU67" s="122"/>
      <c r="MVV67" s="122"/>
      <c r="MVW67" s="122"/>
      <c r="MVX67" s="122"/>
      <c r="MVY67" s="122"/>
      <c r="MVZ67" s="122"/>
      <c r="MWA67" s="122"/>
      <c r="MWB67" s="122"/>
      <c r="MWC67" s="122"/>
      <c r="MWD67" s="122"/>
      <c r="MWE67" s="122"/>
      <c r="MWF67" s="122"/>
      <c r="MWG67" s="122"/>
      <c r="MWH67" s="122"/>
      <c r="MWI67" s="122"/>
      <c r="MWJ67" s="122"/>
      <c r="MWK67" s="122"/>
      <c r="MWL67" s="122"/>
      <c r="MWM67" s="122"/>
      <c r="MWN67" s="122"/>
      <c r="MWO67" s="122"/>
      <c r="MWP67" s="122"/>
      <c r="MWQ67" s="122"/>
      <c r="MWR67" s="122"/>
      <c r="MWS67" s="122"/>
      <c r="MWT67" s="122"/>
      <c r="MWU67" s="122"/>
      <c r="MWV67" s="122"/>
      <c r="MWW67" s="122"/>
      <c r="MWX67" s="122"/>
      <c r="MWY67" s="122"/>
      <c r="MWZ67" s="122"/>
      <c r="MXA67" s="122"/>
      <c r="MXB67" s="122"/>
      <c r="MXC67" s="122"/>
      <c r="MXD67" s="122"/>
      <c r="MXE67" s="122"/>
      <c r="MXF67" s="122"/>
      <c r="MXG67" s="122"/>
      <c r="MXH67" s="122"/>
      <c r="MXI67" s="122"/>
      <c r="MXJ67" s="122"/>
      <c r="MXK67" s="122"/>
      <c r="MXL67" s="122"/>
      <c r="MXM67" s="122"/>
      <c r="MXN67" s="122"/>
      <c r="MXO67" s="122"/>
      <c r="MXP67" s="122"/>
      <c r="MXQ67" s="122"/>
      <c r="MXR67" s="122"/>
      <c r="MXS67" s="122"/>
      <c r="MXT67" s="122"/>
      <c r="MXU67" s="122"/>
      <c r="MXV67" s="122"/>
      <c r="MXW67" s="122"/>
      <c r="MXX67" s="122"/>
      <c r="MXY67" s="122"/>
      <c r="MXZ67" s="122"/>
      <c r="MYA67" s="122"/>
      <c r="MYB67" s="122"/>
      <c r="MYC67" s="122"/>
      <c r="MYD67" s="122"/>
      <c r="MYE67" s="122"/>
      <c r="MYF67" s="122"/>
      <c r="MYG67" s="122"/>
      <c r="MYH67" s="122"/>
      <c r="MYI67" s="122"/>
      <c r="MYJ67" s="122"/>
      <c r="MYK67" s="122"/>
      <c r="MYL67" s="122"/>
      <c r="MYM67" s="122"/>
      <c r="MYN67" s="122"/>
      <c r="MYO67" s="122"/>
      <c r="MYP67" s="122"/>
      <c r="MYQ67" s="122"/>
      <c r="MYR67" s="122"/>
      <c r="MYS67" s="122"/>
      <c r="MYT67" s="122"/>
      <c r="MYU67" s="122"/>
      <c r="MYV67" s="122"/>
      <c r="MYW67" s="122"/>
      <c r="MYX67" s="122"/>
      <c r="MYY67" s="122"/>
      <c r="MYZ67" s="122"/>
      <c r="MZA67" s="122"/>
      <c r="MZB67" s="122"/>
      <c r="MZC67" s="122"/>
      <c r="MZD67" s="122"/>
      <c r="MZE67" s="122"/>
      <c r="MZF67" s="122"/>
      <c r="MZG67" s="122"/>
      <c r="MZH67" s="122"/>
      <c r="MZI67" s="122"/>
      <c r="MZJ67" s="122"/>
      <c r="MZK67" s="122"/>
      <c r="MZL67" s="122"/>
      <c r="MZM67" s="122"/>
      <c r="MZN67" s="122"/>
      <c r="MZO67" s="122"/>
      <c r="MZP67" s="122"/>
      <c r="MZQ67" s="122"/>
      <c r="MZR67" s="122"/>
      <c r="MZS67" s="122"/>
      <c r="MZT67" s="122"/>
      <c r="MZU67" s="122"/>
      <c r="MZV67" s="122"/>
      <c r="MZW67" s="122"/>
      <c r="MZX67" s="122"/>
      <c r="MZY67" s="122"/>
      <c r="MZZ67" s="122"/>
      <c r="NAA67" s="122"/>
      <c r="NAB67" s="122"/>
      <c r="NAC67" s="122"/>
      <c r="NAD67" s="122"/>
      <c r="NAE67" s="122"/>
      <c r="NAF67" s="122"/>
      <c r="NAG67" s="122"/>
      <c r="NAH67" s="122"/>
      <c r="NAI67" s="122"/>
      <c r="NAJ67" s="122"/>
      <c r="NAK67" s="122"/>
      <c r="NAL67" s="122"/>
      <c r="NAM67" s="122"/>
      <c r="NAN67" s="122"/>
      <c r="NAO67" s="122"/>
      <c r="NAP67" s="122"/>
      <c r="NAQ67" s="122"/>
      <c r="NAR67" s="122"/>
      <c r="NAS67" s="122"/>
      <c r="NAT67" s="122"/>
      <c r="NAU67" s="122"/>
      <c r="NAV67" s="122"/>
      <c r="NAW67" s="122"/>
      <c r="NAX67" s="122"/>
      <c r="NAY67" s="122"/>
      <c r="NAZ67" s="122"/>
      <c r="NBA67" s="122"/>
      <c r="NBB67" s="122"/>
      <c r="NBC67" s="122"/>
      <c r="NBD67" s="122"/>
      <c r="NBE67" s="122"/>
      <c r="NBF67" s="122"/>
      <c r="NBG67" s="122"/>
      <c r="NBH67" s="122"/>
      <c r="NBI67" s="122"/>
      <c r="NBJ67" s="122"/>
      <c r="NBK67" s="122"/>
      <c r="NBL67" s="122"/>
      <c r="NBM67" s="122"/>
      <c r="NBN67" s="122"/>
      <c r="NBO67" s="122"/>
      <c r="NBP67" s="122"/>
      <c r="NBQ67" s="122"/>
      <c r="NBR67" s="122"/>
      <c r="NBS67" s="122"/>
      <c r="NBT67" s="122"/>
      <c r="NBU67" s="122"/>
      <c r="NBV67" s="122"/>
      <c r="NBW67" s="122"/>
      <c r="NBX67" s="122"/>
      <c r="NBY67" s="122"/>
      <c r="NBZ67" s="122"/>
      <c r="NCA67" s="122"/>
      <c r="NCB67" s="122"/>
      <c r="NCC67" s="122"/>
      <c r="NCD67" s="122"/>
      <c r="NCE67" s="122"/>
      <c r="NCF67" s="122"/>
      <c r="NCG67" s="122"/>
      <c r="NCH67" s="122"/>
      <c r="NCI67" s="122"/>
      <c r="NCJ67" s="122"/>
      <c r="NCK67" s="122"/>
      <c r="NCL67" s="122"/>
      <c r="NCM67" s="122"/>
      <c r="NCN67" s="122"/>
      <c r="NCO67" s="122"/>
      <c r="NCP67" s="122"/>
      <c r="NCQ67" s="122"/>
      <c r="NCR67" s="122"/>
      <c r="NCS67" s="122"/>
      <c r="NCT67" s="122"/>
      <c r="NCU67" s="122"/>
      <c r="NCV67" s="122"/>
      <c r="NCW67" s="122"/>
      <c r="NCX67" s="122"/>
      <c r="NCY67" s="122"/>
      <c r="NCZ67" s="122"/>
      <c r="NDA67" s="122"/>
      <c r="NDB67" s="122"/>
      <c r="NDC67" s="122"/>
      <c r="NDD67" s="122"/>
      <c r="NDE67" s="122"/>
      <c r="NDF67" s="122"/>
      <c r="NDG67" s="122"/>
      <c r="NDH67" s="122"/>
      <c r="NDI67" s="122"/>
      <c r="NDJ67" s="122"/>
      <c r="NDK67" s="122"/>
      <c r="NDL67" s="122"/>
      <c r="NDM67" s="122"/>
      <c r="NDN67" s="122"/>
      <c r="NDO67" s="122"/>
      <c r="NDP67" s="122"/>
      <c r="NDQ67" s="122"/>
      <c r="NDR67" s="122"/>
      <c r="NDS67" s="122"/>
      <c r="NDT67" s="122"/>
      <c r="NDU67" s="122"/>
      <c r="NDV67" s="122"/>
      <c r="NDW67" s="122"/>
      <c r="NDX67" s="122"/>
      <c r="NDY67" s="122"/>
      <c r="NDZ67" s="122"/>
      <c r="NEA67" s="122"/>
      <c r="NEB67" s="122"/>
      <c r="NEC67" s="122"/>
      <c r="NED67" s="122"/>
      <c r="NEE67" s="122"/>
      <c r="NEF67" s="122"/>
      <c r="NEG67" s="122"/>
      <c r="NEH67" s="122"/>
      <c r="NEI67" s="122"/>
      <c r="NEJ67" s="122"/>
      <c r="NEK67" s="122"/>
      <c r="NEL67" s="122"/>
      <c r="NEM67" s="122"/>
      <c r="NEN67" s="122"/>
      <c r="NEO67" s="122"/>
      <c r="NEP67" s="122"/>
      <c r="NEQ67" s="122"/>
      <c r="NER67" s="122"/>
      <c r="NES67" s="122"/>
      <c r="NET67" s="122"/>
      <c r="NEU67" s="122"/>
      <c r="NEV67" s="122"/>
      <c r="NEW67" s="122"/>
      <c r="NEX67" s="122"/>
      <c r="NEY67" s="122"/>
      <c r="NEZ67" s="122"/>
      <c r="NFA67" s="122"/>
      <c r="NFB67" s="122"/>
      <c r="NFC67" s="122"/>
      <c r="NFD67" s="122"/>
      <c r="NFE67" s="122"/>
      <c r="NFF67" s="122"/>
      <c r="NFG67" s="122"/>
      <c r="NFH67" s="122"/>
      <c r="NFI67" s="122"/>
      <c r="NFJ67" s="122"/>
      <c r="NFK67" s="122"/>
      <c r="NFL67" s="122"/>
      <c r="NFM67" s="122"/>
      <c r="NFN67" s="122"/>
      <c r="NFO67" s="122"/>
      <c r="NFP67" s="122"/>
      <c r="NFQ67" s="122"/>
      <c r="NFR67" s="122"/>
      <c r="NFS67" s="122"/>
      <c r="NFT67" s="122"/>
      <c r="NFU67" s="122"/>
      <c r="NFV67" s="122"/>
      <c r="NFW67" s="122"/>
      <c r="NFX67" s="122"/>
      <c r="NFY67" s="122"/>
      <c r="NFZ67" s="122"/>
      <c r="NGA67" s="122"/>
      <c r="NGB67" s="122"/>
      <c r="NGC67" s="122"/>
      <c r="NGD67" s="122"/>
      <c r="NGE67" s="122"/>
      <c r="NGF67" s="122"/>
      <c r="NGG67" s="122"/>
      <c r="NGH67" s="122"/>
      <c r="NGI67" s="122"/>
      <c r="NGJ67" s="122"/>
      <c r="NGK67" s="122"/>
      <c r="NGL67" s="122"/>
      <c r="NGM67" s="122"/>
      <c r="NGN67" s="122"/>
      <c r="NGO67" s="122"/>
      <c r="NGP67" s="122"/>
      <c r="NGQ67" s="122"/>
      <c r="NGR67" s="122"/>
      <c r="NGS67" s="122"/>
      <c r="NGT67" s="122"/>
      <c r="NGU67" s="122"/>
      <c r="NGV67" s="122"/>
      <c r="NGW67" s="122"/>
      <c r="NGX67" s="122"/>
      <c r="NGY67" s="122"/>
      <c r="NGZ67" s="122"/>
      <c r="NHA67" s="122"/>
      <c r="NHB67" s="122"/>
      <c r="NHC67" s="122"/>
      <c r="NHD67" s="122"/>
      <c r="NHE67" s="122"/>
      <c r="NHF67" s="122"/>
      <c r="NHG67" s="122"/>
      <c r="NHH67" s="122"/>
      <c r="NHI67" s="122"/>
      <c r="NHJ67" s="122"/>
      <c r="NHK67" s="122"/>
      <c r="NHL67" s="122"/>
      <c r="NHM67" s="122"/>
      <c r="NHN67" s="122"/>
      <c r="NHO67" s="122"/>
      <c r="NHP67" s="122"/>
      <c r="NHQ67" s="122"/>
      <c r="NHR67" s="122"/>
      <c r="NHS67" s="122"/>
      <c r="NHT67" s="122"/>
      <c r="NHU67" s="122"/>
      <c r="NHV67" s="122"/>
      <c r="NHW67" s="122"/>
      <c r="NHX67" s="122"/>
      <c r="NHY67" s="122"/>
      <c r="NHZ67" s="122"/>
      <c r="NIA67" s="122"/>
      <c r="NIB67" s="122"/>
      <c r="NIC67" s="122"/>
      <c r="NID67" s="122"/>
      <c r="NIE67" s="122"/>
      <c r="NIF67" s="122"/>
      <c r="NIG67" s="122"/>
      <c r="NIH67" s="122"/>
      <c r="NII67" s="122"/>
      <c r="NIJ67" s="122"/>
      <c r="NIK67" s="122"/>
      <c r="NIL67" s="122"/>
      <c r="NIM67" s="122"/>
      <c r="NIN67" s="122"/>
      <c r="NIO67" s="122"/>
      <c r="NIP67" s="122"/>
      <c r="NIQ67" s="122"/>
      <c r="NIR67" s="122"/>
      <c r="NIS67" s="122"/>
      <c r="NIT67" s="122"/>
      <c r="NIU67" s="122"/>
      <c r="NIV67" s="122"/>
      <c r="NIW67" s="122"/>
      <c r="NIX67" s="122"/>
      <c r="NIY67" s="122"/>
      <c r="NIZ67" s="122"/>
      <c r="NJA67" s="122"/>
      <c r="NJB67" s="122"/>
      <c r="NJC67" s="122"/>
      <c r="NJD67" s="122"/>
      <c r="NJE67" s="122"/>
      <c r="NJF67" s="122"/>
      <c r="NJG67" s="122"/>
      <c r="NJH67" s="122"/>
      <c r="NJI67" s="122"/>
      <c r="NJJ67" s="122"/>
      <c r="NJK67" s="122"/>
      <c r="NJL67" s="122"/>
      <c r="NJM67" s="122"/>
      <c r="NJN67" s="122"/>
      <c r="NJO67" s="122"/>
      <c r="NJP67" s="122"/>
      <c r="NJQ67" s="122"/>
      <c r="NJR67" s="122"/>
      <c r="NJS67" s="122"/>
      <c r="NJT67" s="122"/>
      <c r="NJU67" s="122"/>
      <c r="NJV67" s="122"/>
      <c r="NJW67" s="122"/>
      <c r="NJX67" s="122"/>
      <c r="NJY67" s="122"/>
      <c r="NJZ67" s="122"/>
      <c r="NKA67" s="122"/>
      <c r="NKB67" s="122"/>
      <c r="NKC67" s="122"/>
      <c r="NKD67" s="122"/>
      <c r="NKE67" s="122"/>
      <c r="NKF67" s="122"/>
      <c r="NKG67" s="122"/>
      <c r="NKH67" s="122"/>
      <c r="NKI67" s="122"/>
      <c r="NKJ67" s="122"/>
      <c r="NKK67" s="122"/>
      <c r="NKL67" s="122"/>
      <c r="NKM67" s="122"/>
      <c r="NKN67" s="122"/>
      <c r="NKO67" s="122"/>
      <c r="NKP67" s="122"/>
      <c r="NKQ67" s="122"/>
      <c r="NKR67" s="122"/>
      <c r="NKS67" s="122"/>
      <c r="NKT67" s="122"/>
      <c r="NKU67" s="122"/>
      <c r="NKV67" s="122"/>
      <c r="NKW67" s="122"/>
      <c r="NKX67" s="122"/>
      <c r="NKY67" s="122"/>
      <c r="NKZ67" s="122"/>
      <c r="NLA67" s="122"/>
      <c r="NLB67" s="122"/>
      <c r="NLC67" s="122"/>
      <c r="NLD67" s="122"/>
      <c r="NLE67" s="122"/>
      <c r="NLF67" s="122"/>
      <c r="NLG67" s="122"/>
      <c r="NLH67" s="122"/>
      <c r="NLI67" s="122"/>
      <c r="NLJ67" s="122"/>
      <c r="NLK67" s="122"/>
      <c r="NLL67" s="122"/>
      <c r="NLM67" s="122"/>
      <c r="NLN67" s="122"/>
      <c r="NLO67" s="122"/>
      <c r="NLP67" s="122"/>
      <c r="NLQ67" s="122"/>
      <c r="NLR67" s="122"/>
      <c r="NLS67" s="122"/>
      <c r="NLT67" s="122"/>
      <c r="NLU67" s="122"/>
      <c r="NLV67" s="122"/>
      <c r="NLW67" s="122"/>
      <c r="NLX67" s="122"/>
      <c r="NLY67" s="122"/>
      <c r="NLZ67" s="122"/>
      <c r="NMA67" s="122"/>
      <c r="NMB67" s="122"/>
      <c r="NMC67" s="122"/>
      <c r="NMD67" s="122"/>
      <c r="NME67" s="122"/>
      <c r="NMF67" s="122"/>
      <c r="NMG67" s="122"/>
      <c r="NMH67" s="122"/>
      <c r="NMI67" s="122"/>
      <c r="NMJ67" s="122"/>
      <c r="NMK67" s="122"/>
      <c r="NML67" s="122"/>
      <c r="NMM67" s="122"/>
      <c r="NMN67" s="122"/>
      <c r="NMO67" s="122"/>
      <c r="NMP67" s="122"/>
      <c r="NMQ67" s="122"/>
      <c r="NMR67" s="122"/>
      <c r="NMS67" s="122"/>
      <c r="NMT67" s="122"/>
      <c r="NMU67" s="122"/>
      <c r="NMV67" s="122"/>
      <c r="NMW67" s="122"/>
      <c r="NMX67" s="122"/>
      <c r="NMY67" s="122"/>
      <c r="NMZ67" s="122"/>
      <c r="NNA67" s="122"/>
      <c r="NNB67" s="122"/>
      <c r="NNC67" s="122"/>
      <c r="NND67" s="122"/>
      <c r="NNE67" s="122"/>
      <c r="NNF67" s="122"/>
      <c r="NNG67" s="122"/>
      <c r="NNH67" s="122"/>
      <c r="NNI67" s="122"/>
      <c r="NNJ67" s="122"/>
      <c r="NNK67" s="122"/>
      <c r="NNL67" s="122"/>
      <c r="NNM67" s="122"/>
      <c r="NNN67" s="122"/>
      <c r="NNO67" s="122"/>
      <c r="NNP67" s="122"/>
      <c r="NNQ67" s="122"/>
      <c r="NNR67" s="122"/>
      <c r="NNS67" s="122"/>
      <c r="NNT67" s="122"/>
      <c r="NNU67" s="122"/>
      <c r="NNV67" s="122"/>
      <c r="NNW67" s="122"/>
      <c r="NNX67" s="122"/>
      <c r="NNY67" s="122"/>
      <c r="NNZ67" s="122"/>
      <c r="NOA67" s="122"/>
      <c r="NOB67" s="122"/>
      <c r="NOC67" s="122"/>
      <c r="NOD67" s="122"/>
      <c r="NOE67" s="122"/>
      <c r="NOF67" s="122"/>
      <c r="NOG67" s="122"/>
      <c r="NOH67" s="122"/>
      <c r="NOI67" s="122"/>
      <c r="NOJ67" s="122"/>
      <c r="NOK67" s="122"/>
      <c r="NOL67" s="122"/>
      <c r="NOM67" s="122"/>
      <c r="NON67" s="122"/>
      <c r="NOO67" s="122"/>
      <c r="NOP67" s="122"/>
      <c r="NOQ67" s="122"/>
      <c r="NOR67" s="122"/>
      <c r="NOS67" s="122"/>
      <c r="NOT67" s="122"/>
      <c r="NOU67" s="122"/>
      <c r="NOV67" s="122"/>
      <c r="NOW67" s="122"/>
      <c r="NOX67" s="122"/>
      <c r="NOY67" s="122"/>
      <c r="NOZ67" s="122"/>
      <c r="NPA67" s="122"/>
      <c r="NPB67" s="122"/>
      <c r="NPC67" s="122"/>
      <c r="NPD67" s="122"/>
      <c r="NPE67" s="122"/>
      <c r="NPF67" s="122"/>
      <c r="NPG67" s="122"/>
      <c r="NPH67" s="122"/>
      <c r="NPI67" s="122"/>
      <c r="NPJ67" s="122"/>
      <c r="NPK67" s="122"/>
      <c r="NPL67" s="122"/>
      <c r="NPM67" s="122"/>
      <c r="NPN67" s="122"/>
      <c r="NPO67" s="122"/>
      <c r="NPP67" s="122"/>
      <c r="NPQ67" s="122"/>
      <c r="NPR67" s="122"/>
      <c r="NPS67" s="122"/>
      <c r="NPT67" s="122"/>
      <c r="NPU67" s="122"/>
      <c r="NPV67" s="122"/>
      <c r="NPW67" s="122"/>
      <c r="NPX67" s="122"/>
      <c r="NPY67" s="122"/>
      <c r="NPZ67" s="122"/>
      <c r="NQA67" s="122"/>
      <c r="NQB67" s="122"/>
      <c r="NQC67" s="122"/>
      <c r="NQD67" s="122"/>
      <c r="NQE67" s="122"/>
      <c r="NQF67" s="122"/>
      <c r="NQG67" s="122"/>
      <c r="NQH67" s="122"/>
      <c r="NQI67" s="122"/>
      <c r="NQJ67" s="122"/>
      <c r="NQK67" s="122"/>
      <c r="NQL67" s="122"/>
      <c r="NQM67" s="122"/>
      <c r="NQN67" s="122"/>
      <c r="NQO67" s="122"/>
      <c r="NQP67" s="122"/>
      <c r="NQQ67" s="122"/>
      <c r="NQR67" s="122"/>
      <c r="NQS67" s="122"/>
      <c r="NQT67" s="122"/>
      <c r="NQU67" s="122"/>
      <c r="NQV67" s="122"/>
      <c r="NQW67" s="122"/>
      <c r="NQX67" s="122"/>
      <c r="NQY67" s="122"/>
      <c r="NQZ67" s="122"/>
      <c r="NRA67" s="122"/>
      <c r="NRB67" s="122"/>
      <c r="NRC67" s="122"/>
      <c r="NRD67" s="122"/>
      <c r="NRE67" s="122"/>
      <c r="NRF67" s="122"/>
      <c r="NRG67" s="122"/>
      <c r="NRH67" s="122"/>
      <c r="NRI67" s="122"/>
      <c r="NRJ67" s="122"/>
      <c r="NRK67" s="122"/>
      <c r="NRL67" s="122"/>
      <c r="NRM67" s="122"/>
      <c r="NRN67" s="122"/>
      <c r="NRO67" s="122"/>
      <c r="NRP67" s="122"/>
      <c r="NRQ67" s="122"/>
      <c r="NRR67" s="122"/>
      <c r="NRS67" s="122"/>
      <c r="NRT67" s="122"/>
      <c r="NRU67" s="122"/>
      <c r="NRV67" s="122"/>
      <c r="NRW67" s="122"/>
      <c r="NRX67" s="122"/>
      <c r="NRY67" s="122"/>
      <c r="NRZ67" s="122"/>
      <c r="NSA67" s="122"/>
      <c r="NSB67" s="122"/>
      <c r="NSC67" s="122"/>
      <c r="NSD67" s="122"/>
      <c r="NSE67" s="122"/>
      <c r="NSF67" s="122"/>
      <c r="NSG67" s="122"/>
      <c r="NSH67" s="122"/>
      <c r="NSI67" s="122"/>
      <c r="NSJ67" s="122"/>
      <c r="NSK67" s="122"/>
      <c r="NSL67" s="122"/>
      <c r="NSM67" s="122"/>
      <c r="NSN67" s="122"/>
      <c r="NSO67" s="122"/>
      <c r="NSP67" s="122"/>
      <c r="NSQ67" s="122"/>
      <c r="NSR67" s="122"/>
      <c r="NSS67" s="122"/>
      <c r="NST67" s="122"/>
      <c r="NSU67" s="122"/>
      <c r="NSV67" s="122"/>
      <c r="NSW67" s="122"/>
      <c r="NSX67" s="122"/>
      <c r="NSY67" s="122"/>
      <c r="NSZ67" s="122"/>
      <c r="NTA67" s="122"/>
      <c r="NTB67" s="122"/>
      <c r="NTC67" s="122"/>
      <c r="NTD67" s="122"/>
      <c r="NTE67" s="122"/>
      <c r="NTF67" s="122"/>
      <c r="NTG67" s="122"/>
      <c r="NTH67" s="122"/>
      <c r="NTI67" s="122"/>
      <c r="NTJ67" s="122"/>
      <c r="NTK67" s="122"/>
      <c r="NTL67" s="122"/>
      <c r="NTM67" s="122"/>
      <c r="NTN67" s="122"/>
      <c r="NTO67" s="122"/>
      <c r="NTP67" s="122"/>
      <c r="NTQ67" s="122"/>
      <c r="NTR67" s="122"/>
      <c r="NTS67" s="122"/>
      <c r="NTT67" s="122"/>
      <c r="NTU67" s="122"/>
      <c r="NTV67" s="122"/>
      <c r="NTW67" s="122"/>
      <c r="NTX67" s="122"/>
      <c r="NTY67" s="122"/>
      <c r="NTZ67" s="122"/>
      <c r="NUA67" s="122"/>
      <c r="NUB67" s="122"/>
      <c r="NUC67" s="122"/>
      <c r="NUD67" s="122"/>
      <c r="NUE67" s="122"/>
      <c r="NUF67" s="122"/>
      <c r="NUG67" s="122"/>
      <c r="NUH67" s="122"/>
      <c r="NUI67" s="122"/>
      <c r="NUJ67" s="122"/>
      <c r="NUK67" s="122"/>
      <c r="NUL67" s="122"/>
      <c r="NUM67" s="122"/>
      <c r="NUN67" s="122"/>
      <c r="NUO67" s="122"/>
      <c r="NUP67" s="122"/>
      <c r="NUQ67" s="122"/>
      <c r="NUR67" s="122"/>
      <c r="NUS67" s="122"/>
      <c r="NUT67" s="122"/>
      <c r="NUU67" s="122"/>
      <c r="NUV67" s="122"/>
      <c r="NUW67" s="122"/>
      <c r="NUX67" s="122"/>
      <c r="NUY67" s="122"/>
      <c r="NUZ67" s="122"/>
      <c r="NVA67" s="122"/>
      <c r="NVB67" s="122"/>
      <c r="NVC67" s="122"/>
      <c r="NVD67" s="122"/>
      <c r="NVE67" s="122"/>
      <c r="NVF67" s="122"/>
      <c r="NVG67" s="122"/>
      <c r="NVH67" s="122"/>
      <c r="NVI67" s="122"/>
      <c r="NVJ67" s="122"/>
      <c r="NVK67" s="122"/>
      <c r="NVL67" s="122"/>
      <c r="NVM67" s="122"/>
      <c r="NVN67" s="122"/>
      <c r="NVO67" s="122"/>
      <c r="NVP67" s="122"/>
      <c r="NVQ67" s="122"/>
      <c r="NVR67" s="122"/>
      <c r="NVS67" s="122"/>
      <c r="NVT67" s="122"/>
      <c r="NVU67" s="122"/>
      <c r="NVV67" s="122"/>
      <c r="NVW67" s="122"/>
      <c r="NVX67" s="122"/>
      <c r="NVY67" s="122"/>
      <c r="NVZ67" s="122"/>
      <c r="NWA67" s="122"/>
      <c r="NWB67" s="122"/>
      <c r="NWC67" s="122"/>
      <c r="NWD67" s="122"/>
      <c r="NWE67" s="122"/>
      <c r="NWF67" s="122"/>
      <c r="NWG67" s="122"/>
      <c r="NWH67" s="122"/>
      <c r="NWI67" s="122"/>
      <c r="NWJ67" s="122"/>
      <c r="NWK67" s="122"/>
      <c r="NWL67" s="122"/>
      <c r="NWM67" s="122"/>
      <c r="NWN67" s="122"/>
      <c r="NWO67" s="122"/>
      <c r="NWP67" s="122"/>
      <c r="NWQ67" s="122"/>
      <c r="NWR67" s="122"/>
      <c r="NWS67" s="122"/>
      <c r="NWT67" s="122"/>
      <c r="NWU67" s="122"/>
      <c r="NWV67" s="122"/>
      <c r="NWW67" s="122"/>
      <c r="NWX67" s="122"/>
      <c r="NWY67" s="122"/>
      <c r="NWZ67" s="122"/>
      <c r="NXA67" s="122"/>
      <c r="NXB67" s="122"/>
      <c r="NXC67" s="122"/>
      <c r="NXD67" s="122"/>
      <c r="NXE67" s="122"/>
      <c r="NXF67" s="122"/>
      <c r="NXG67" s="122"/>
      <c r="NXH67" s="122"/>
      <c r="NXI67" s="122"/>
      <c r="NXJ67" s="122"/>
      <c r="NXK67" s="122"/>
      <c r="NXL67" s="122"/>
      <c r="NXM67" s="122"/>
      <c r="NXN67" s="122"/>
      <c r="NXO67" s="122"/>
      <c r="NXP67" s="122"/>
      <c r="NXQ67" s="122"/>
      <c r="NXR67" s="122"/>
      <c r="NXS67" s="122"/>
      <c r="NXT67" s="122"/>
      <c r="NXU67" s="122"/>
      <c r="NXV67" s="122"/>
      <c r="NXW67" s="122"/>
      <c r="NXX67" s="122"/>
      <c r="NXY67" s="122"/>
      <c r="NXZ67" s="122"/>
      <c r="NYA67" s="122"/>
      <c r="NYB67" s="122"/>
      <c r="NYC67" s="122"/>
      <c r="NYD67" s="122"/>
      <c r="NYE67" s="122"/>
      <c r="NYF67" s="122"/>
      <c r="NYG67" s="122"/>
      <c r="NYH67" s="122"/>
      <c r="NYI67" s="122"/>
      <c r="NYJ67" s="122"/>
      <c r="NYK67" s="122"/>
      <c r="NYL67" s="122"/>
      <c r="NYM67" s="122"/>
      <c r="NYN67" s="122"/>
      <c r="NYO67" s="122"/>
      <c r="NYP67" s="122"/>
      <c r="NYQ67" s="122"/>
      <c r="NYR67" s="122"/>
      <c r="NYS67" s="122"/>
      <c r="NYT67" s="122"/>
      <c r="NYU67" s="122"/>
      <c r="NYV67" s="122"/>
      <c r="NYW67" s="122"/>
      <c r="NYX67" s="122"/>
      <c r="NYY67" s="122"/>
      <c r="NYZ67" s="122"/>
      <c r="NZA67" s="122"/>
      <c r="NZB67" s="122"/>
      <c r="NZC67" s="122"/>
      <c r="NZD67" s="122"/>
      <c r="NZE67" s="122"/>
      <c r="NZF67" s="122"/>
      <c r="NZG67" s="122"/>
      <c r="NZH67" s="122"/>
      <c r="NZI67" s="122"/>
      <c r="NZJ67" s="122"/>
      <c r="NZK67" s="122"/>
      <c r="NZL67" s="122"/>
      <c r="NZM67" s="122"/>
      <c r="NZN67" s="122"/>
      <c r="NZO67" s="122"/>
      <c r="NZP67" s="122"/>
      <c r="NZQ67" s="122"/>
      <c r="NZR67" s="122"/>
      <c r="NZS67" s="122"/>
      <c r="NZT67" s="122"/>
      <c r="NZU67" s="122"/>
      <c r="NZV67" s="122"/>
      <c r="NZW67" s="122"/>
      <c r="NZX67" s="122"/>
      <c r="NZY67" s="122"/>
      <c r="NZZ67" s="122"/>
      <c r="OAA67" s="122"/>
      <c r="OAB67" s="122"/>
      <c r="OAC67" s="122"/>
      <c r="OAD67" s="122"/>
      <c r="OAE67" s="122"/>
      <c r="OAF67" s="122"/>
      <c r="OAG67" s="122"/>
      <c r="OAH67" s="122"/>
      <c r="OAI67" s="122"/>
      <c r="OAJ67" s="122"/>
      <c r="OAK67" s="122"/>
      <c r="OAL67" s="122"/>
      <c r="OAM67" s="122"/>
      <c r="OAN67" s="122"/>
      <c r="OAO67" s="122"/>
      <c r="OAP67" s="122"/>
      <c r="OAQ67" s="122"/>
      <c r="OAR67" s="122"/>
      <c r="OAS67" s="122"/>
      <c r="OAT67" s="122"/>
      <c r="OAU67" s="122"/>
      <c r="OAV67" s="122"/>
      <c r="OAW67" s="122"/>
      <c r="OAX67" s="122"/>
      <c r="OAY67" s="122"/>
      <c r="OAZ67" s="122"/>
      <c r="OBA67" s="122"/>
      <c r="OBB67" s="122"/>
      <c r="OBC67" s="122"/>
      <c r="OBD67" s="122"/>
      <c r="OBE67" s="122"/>
      <c r="OBF67" s="122"/>
      <c r="OBG67" s="122"/>
      <c r="OBH67" s="122"/>
      <c r="OBI67" s="122"/>
      <c r="OBJ67" s="122"/>
      <c r="OBK67" s="122"/>
      <c r="OBL67" s="122"/>
      <c r="OBM67" s="122"/>
      <c r="OBN67" s="122"/>
      <c r="OBO67" s="122"/>
      <c r="OBP67" s="122"/>
      <c r="OBQ67" s="122"/>
      <c r="OBR67" s="122"/>
      <c r="OBS67" s="122"/>
      <c r="OBT67" s="122"/>
      <c r="OBU67" s="122"/>
      <c r="OBV67" s="122"/>
      <c r="OBW67" s="122"/>
      <c r="OBX67" s="122"/>
      <c r="OBY67" s="122"/>
      <c r="OBZ67" s="122"/>
      <c r="OCA67" s="122"/>
      <c r="OCB67" s="122"/>
      <c r="OCC67" s="122"/>
      <c r="OCD67" s="122"/>
      <c r="OCE67" s="122"/>
      <c r="OCF67" s="122"/>
      <c r="OCG67" s="122"/>
      <c r="OCH67" s="122"/>
      <c r="OCI67" s="122"/>
      <c r="OCJ67" s="122"/>
      <c r="OCK67" s="122"/>
      <c r="OCL67" s="122"/>
      <c r="OCM67" s="122"/>
      <c r="OCN67" s="122"/>
      <c r="OCO67" s="122"/>
      <c r="OCP67" s="122"/>
      <c r="OCQ67" s="122"/>
      <c r="OCR67" s="122"/>
      <c r="OCS67" s="122"/>
      <c r="OCT67" s="122"/>
      <c r="OCU67" s="122"/>
      <c r="OCV67" s="122"/>
      <c r="OCW67" s="122"/>
      <c r="OCX67" s="122"/>
      <c r="OCY67" s="122"/>
      <c r="OCZ67" s="122"/>
      <c r="ODA67" s="122"/>
      <c r="ODB67" s="122"/>
      <c r="ODC67" s="122"/>
      <c r="ODD67" s="122"/>
      <c r="ODE67" s="122"/>
      <c r="ODF67" s="122"/>
      <c r="ODG67" s="122"/>
      <c r="ODH67" s="122"/>
      <c r="ODI67" s="122"/>
      <c r="ODJ67" s="122"/>
      <c r="ODK67" s="122"/>
      <c r="ODL67" s="122"/>
      <c r="ODM67" s="122"/>
      <c r="ODN67" s="122"/>
      <c r="ODO67" s="122"/>
      <c r="ODP67" s="122"/>
      <c r="ODQ67" s="122"/>
      <c r="ODR67" s="122"/>
      <c r="ODS67" s="122"/>
      <c r="ODT67" s="122"/>
      <c r="ODU67" s="122"/>
      <c r="ODV67" s="122"/>
      <c r="ODW67" s="122"/>
      <c r="ODX67" s="122"/>
      <c r="ODY67" s="122"/>
      <c r="ODZ67" s="122"/>
      <c r="OEA67" s="122"/>
      <c r="OEB67" s="122"/>
      <c r="OEC67" s="122"/>
      <c r="OED67" s="122"/>
      <c r="OEE67" s="122"/>
      <c r="OEF67" s="122"/>
      <c r="OEG67" s="122"/>
      <c r="OEH67" s="122"/>
      <c r="OEI67" s="122"/>
      <c r="OEJ67" s="122"/>
      <c r="OEK67" s="122"/>
      <c r="OEL67" s="122"/>
      <c r="OEM67" s="122"/>
      <c r="OEN67" s="122"/>
      <c r="OEO67" s="122"/>
      <c r="OEP67" s="122"/>
      <c r="OEQ67" s="122"/>
      <c r="OER67" s="122"/>
      <c r="OES67" s="122"/>
      <c r="OET67" s="122"/>
      <c r="OEU67" s="122"/>
      <c r="OEV67" s="122"/>
      <c r="OEW67" s="122"/>
      <c r="OEX67" s="122"/>
      <c r="OEY67" s="122"/>
      <c r="OEZ67" s="122"/>
      <c r="OFA67" s="122"/>
      <c r="OFB67" s="122"/>
      <c r="OFC67" s="122"/>
      <c r="OFD67" s="122"/>
      <c r="OFE67" s="122"/>
      <c r="OFF67" s="122"/>
      <c r="OFG67" s="122"/>
      <c r="OFH67" s="122"/>
      <c r="OFI67" s="122"/>
      <c r="OFJ67" s="122"/>
      <c r="OFK67" s="122"/>
      <c r="OFL67" s="122"/>
      <c r="OFM67" s="122"/>
      <c r="OFN67" s="122"/>
      <c r="OFO67" s="122"/>
      <c r="OFP67" s="122"/>
      <c r="OFQ67" s="122"/>
      <c r="OFR67" s="122"/>
      <c r="OFS67" s="122"/>
      <c r="OFT67" s="122"/>
      <c r="OFU67" s="122"/>
      <c r="OFV67" s="122"/>
      <c r="OFW67" s="122"/>
      <c r="OFX67" s="122"/>
      <c r="OFY67" s="122"/>
      <c r="OFZ67" s="122"/>
      <c r="OGA67" s="122"/>
      <c r="OGB67" s="122"/>
      <c r="OGC67" s="122"/>
      <c r="OGD67" s="122"/>
      <c r="OGE67" s="122"/>
      <c r="OGF67" s="122"/>
      <c r="OGG67" s="122"/>
      <c r="OGH67" s="122"/>
      <c r="OGI67" s="122"/>
      <c r="OGJ67" s="122"/>
      <c r="OGK67" s="122"/>
      <c r="OGL67" s="122"/>
      <c r="OGM67" s="122"/>
      <c r="OGN67" s="122"/>
      <c r="OGO67" s="122"/>
      <c r="OGP67" s="122"/>
      <c r="OGQ67" s="122"/>
      <c r="OGR67" s="122"/>
      <c r="OGS67" s="122"/>
      <c r="OGT67" s="122"/>
      <c r="OGU67" s="122"/>
      <c r="OGV67" s="122"/>
      <c r="OGW67" s="122"/>
      <c r="OGX67" s="122"/>
      <c r="OGY67" s="122"/>
      <c r="OGZ67" s="122"/>
      <c r="OHA67" s="122"/>
      <c r="OHB67" s="122"/>
      <c r="OHC67" s="122"/>
      <c r="OHD67" s="122"/>
      <c r="OHE67" s="122"/>
      <c r="OHF67" s="122"/>
      <c r="OHG67" s="122"/>
      <c r="OHH67" s="122"/>
      <c r="OHI67" s="122"/>
      <c r="OHJ67" s="122"/>
      <c r="OHK67" s="122"/>
      <c r="OHL67" s="122"/>
      <c r="OHM67" s="122"/>
      <c r="OHN67" s="122"/>
      <c r="OHO67" s="122"/>
      <c r="OHP67" s="122"/>
      <c r="OHQ67" s="122"/>
      <c r="OHR67" s="122"/>
      <c r="OHS67" s="122"/>
      <c r="OHT67" s="122"/>
      <c r="OHU67" s="122"/>
      <c r="OHV67" s="122"/>
      <c r="OHW67" s="122"/>
      <c r="OHX67" s="122"/>
      <c r="OHY67" s="122"/>
      <c r="OHZ67" s="122"/>
      <c r="OIA67" s="122"/>
      <c r="OIB67" s="122"/>
      <c r="OIC67" s="122"/>
      <c r="OID67" s="122"/>
      <c r="OIE67" s="122"/>
      <c r="OIF67" s="122"/>
      <c r="OIG67" s="122"/>
      <c r="OIH67" s="122"/>
      <c r="OII67" s="122"/>
      <c r="OIJ67" s="122"/>
      <c r="OIK67" s="122"/>
      <c r="OIL67" s="122"/>
      <c r="OIM67" s="122"/>
      <c r="OIN67" s="122"/>
      <c r="OIO67" s="122"/>
      <c r="OIP67" s="122"/>
      <c r="OIQ67" s="122"/>
      <c r="OIR67" s="122"/>
      <c r="OIS67" s="122"/>
      <c r="OIT67" s="122"/>
      <c r="OIU67" s="122"/>
      <c r="OIV67" s="122"/>
      <c r="OIW67" s="122"/>
      <c r="OIX67" s="122"/>
      <c r="OIY67" s="122"/>
      <c r="OIZ67" s="122"/>
      <c r="OJA67" s="122"/>
      <c r="OJB67" s="122"/>
      <c r="OJC67" s="122"/>
      <c r="OJD67" s="122"/>
      <c r="OJE67" s="122"/>
      <c r="OJF67" s="122"/>
      <c r="OJG67" s="122"/>
      <c r="OJH67" s="122"/>
      <c r="OJI67" s="122"/>
      <c r="OJJ67" s="122"/>
      <c r="OJK67" s="122"/>
      <c r="OJL67" s="122"/>
      <c r="OJM67" s="122"/>
      <c r="OJN67" s="122"/>
      <c r="OJO67" s="122"/>
      <c r="OJP67" s="122"/>
      <c r="OJQ67" s="122"/>
      <c r="OJR67" s="122"/>
      <c r="OJS67" s="122"/>
      <c r="OJT67" s="122"/>
      <c r="OJU67" s="122"/>
      <c r="OJV67" s="122"/>
      <c r="OJW67" s="122"/>
      <c r="OJX67" s="122"/>
      <c r="OJY67" s="122"/>
      <c r="OJZ67" s="122"/>
      <c r="OKA67" s="122"/>
      <c r="OKB67" s="122"/>
      <c r="OKC67" s="122"/>
      <c r="OKD67" s="122"/>
      <c r="OKE67" s="122"/>
      <c r="OKF67" s="122"/>
      <c r="OKG67" s="122"/>
      <c r="OKH67" s="122"/>
      <c r="OKI67" s="122"/>
      <c r="OKJ67" s="122"/>
      <c r="OKK67" s="122"/>
      <c r="OKL67" s="122"/>
      <c r="OKM67" s="122"/>
      <c r="OKN67" s="122"/>
      <c r="OKO67" s="122"/>
      <c r="OKP67" s="122"/>
      <c r="OKQ67" s="122"/>
      <c r="OKR67" s="122"/>
      <c r="OKS67" s="122"/>
      <c r="OKT67" s="122"/>
      <c r="OKU67" s="122"/>
      <c r="OKV67" s="122"/>
      <c r="OKW67" s="122"/>
      <c r="OKX67" s="122"/>
      <c r="OKY67" s="122"/>
      <c r="OKZ67" s="122"/>
      <c r="OLA67" s="122"/>
      <c r="OLB67" s="122"/>
      <c r="OLC67" s="122"/>
      <c r="OLD67" s="122"/>
      <c r="OLE67" s="122"/>
      <c r="OLF67" s="122"/>
      <c r="OLG67" s="122"/>
      <c r="OLH67" s="122"/>
      <c r="OLI67" s="122"/>
      <c r="OLJ67" s="122"/>
      <c r="OLK67" s="122"/>
      <c r="OLL67" s="122"/>
      <c r="OLM67" s="122"/>
      <c r="OLN67" s="122"/>
      <c r="OLO67" s="122"/>
      <c r="OLP67" s="122"/>
      <c r="OLQ67" s="122"/>
      <c r="OLR67" s="122"/>
      <c r="OLS67" s="122"/>
      <c r="OLT67" s="122"/>
      <c r="OLU67" s="122"/>
      <c r="OLV67" s="122"/>
      <c r="OLW67" s="122"/>
      <c r="OLX67" s="122"/>
      <c r="OLY67" s="122"/>
      <c r="OLZ67" s="122"/>
      <c r="OMA67" s="122"/>
      <c r="OMB67" s="122"/>
      <c r="OMC67" s="122"/>
      <c r="OMD67" s="122"/>
      <c r="OME67" s="122"/>
      <c r="OMF67" s="122"/>
      <c r="OMG67" s="122"/>
      <c r="OMH67" s="122"/>
      <c r="OMI67" s="122"/>
      <c r="OMJ67" s="122"/>
      <c r="OMK67" s="122"/>
      <c r="OML67" s="122"/>
      <c r="OMM67" s="122"/>
      <c r="OMN67" s="122"/>
      <c r="OMO67" s="122"/>
      <c r="OMP67" s="122"/>
      <c r="OMQ67" s="122"/>
      <c r="OMR67" s="122"/>
      <c r="OMS67" s="122"/>
      <c r="OMT67" s="122"/>
      <c r="OMU67" s="122"/>
      <c r="OMV67" s="122"/>
      <c r="OMW67" s="122"/>
      <c r="OMX67" s="122"/>
      <c r="OMY67" s="122"/>
      <c r="OMZ67" s="122"/>
      <c r="ONA67" s="122"/>
      <c r="ONB67" s="122"/>
      <c r="ONC67" s="122"/>
      <c r="OND67" s="122"/>
      <c r="ONE67" s="122"/>
      <c r="ONF67" s="122"/>
      <c r="ONG67" s="122"/>
      <c r="ONH67" s="122"/>
      <c r="ONI67" s="122"/>
      <c r="ONJ67" s="122"/>
      <c r="ONK67" s="122"/>
      <c r="ONL67" s="122"/>
      <c r="ONM67" s="122"/>
      <c r="ONN67" s="122"/>
      <c r="ONO67" s="122"/>
      <c r="ONP67" s="122"/>
      <c r="ONQ67" s="122"/>
      <c r="ONR67" s="122"/>
      <c r="ONS67" s="122"/>
      <c r="ONT67" s="122"/>
      <c r="ONU67" s="122"/>
      <c r="ONV67" s="122"/>
      <c r="ONW67" s="122"/>
      <c r="ONX67" s="122"/>
      <c r="ONY67" s="122"/>
      <c r="ONZ67" s="122"/>
      <c r="OOA67" s="122"/>
      <c r="OOB67" s="122"/>
      <c r="OOC67" s="122"/>
      <c r="OOD67" s="122"/>
      <c r="OOE67" s="122"/>
      <c r="OOF67" s="122"/>
      <c r="OOG67" s="122"/>
      <c r="OOH67" s="122"/>
      <c r="OOI67" s="122"/>
      <c r="OOJ67" s="122"/>
      <c r="OOK67" s="122"/>
      <c r="OOL67" s="122"/>
      <c r="OOM67" s="122"/>
      <c r="OON67" s="122"/>
      <c r="OOO67" s="122"/>
      <c r="OOP67" s="122"/>
      <c r="OOQ67" s="122"/>
      <c r="OOR67" s="122"/>
      <c r="OOS67" s="122"/>
      <c r="OOT67" s="122"/>
      <c r="OOU67" s="122"/>
      <c r="OOV67" s="122"/>
      <c r="OOW67" s="122"/>
      <c r="OOX67" s="122"/>
      <c r="OOY67" s="122"/>
      <c r="OOZ67" s="122"/>
      <c r="OPA67" s="122"/>
      <c r="OPB67" s="122"/>
      <c r="OPC67" s="122"/>
      <c r="OPD67" s="122"/>
      <c r="OPE67" s="122"/>
      <c r="OPF67" s="122"/>
      <c r="OPG67" s="122"/>
      <c r="OPH67" s="122"/>
      <c r="OPI67" s="122"/>
      <c r="OPJ67" s="122"/>
      <c r="OPK67" s="122"/>
      <c r="OPL67" s="122"/>
      <c r="OPM67" s="122"/>
      <c r="OPN67" s="122"/>
      <c r="OPO67" s="122"/>
      <c r="OPP67" s="122"/>
      <c r="OPQ67" s="122"/>
      <c r="OPR67" s="122"/>
      <c r="OPS67" s="122"/>
      <c r="OPT67" s="122"/>
      <c r="OPU67" s="122"/>
      <c r="OPV67" s="122"/>
      <c r="OPW67" s="122"/>
      <c r="OPX67" s="122"/>
      <c r="OPY67" s="122"/>
      <c r="OPZ67" s="122"/>
      <c r="OQA67" s="122"/>
      <c r="OQB67" s="122"/>
      <c r="OQC67" s="122"/>
      <c r="OQD67" s="122"/>
      <c r="OQE67" s="122"/>
      <c r="OQF67" s="122"/>
      <c r="OQG67" s="122"/>
      <c r="OQH67" s="122"/>
      <c r="OQI67" s="122"/>
      <c r="OQJ67" s="122"/>
      <c r="OQK67" s="122"/>
      <c r="OQL67" s="122"/>
      <c r="OQM67" s="122"/>
      <c r="OQN67" s="122"/>
      <c r="OQO67" s="122"/>
      <c r="OQP67" s="122"/>
      <c r="OQQ67" s="122"/>
      <c r="OQR67" s="122"/>
      <c r="OQS67" s="122"/>
      <c r="OQT67" s="122"/>
      <c r="OQU67" s="122"/>
      <c r="OQV67" s="122"/>
      <c r="OQW67" s="122"/>
      <c r="OQX67" s="122"/>
      <c r="OQY67" s="122"/>
      <c r="OQZ67" s="122"/>
      <c r="ORA67" s="122"/>
      <c r="ORB67" s="122"/>
      <c r="ORC67" s="122"/>
      <c r="ORD67" s="122"/>
      <c r="ORE67" s="122"/>
      <c r="ORF67" s="122"/>
      <c r="ORG67" s="122"/>
      <c r="ORH67" s="122"/>
      <c r="ORI67" s="122"/>
      <c r="ORJ67" s="122"/>
      <c r="ORK67" s="122"/>
      <c r="ORL67" s="122"/>
      <c r="ORM67" s="122"/>
      <c r="ORN67" s="122"/>
      <c r="ORO67" s="122"/>
      <c r="ORP67" s="122"/>
      <c r="ORQ67" s="122"/>
      <c r="ORR67" s="122"/>
      <c r="ORS67" s="122"/>
      <c r="ORT67" s="122"/>
      <c r="ORU67" s="122"/>
      <c r="ORV67" s="122"/>
      <c r="ORW67" s="122"/>
      <c r="ORX67" s="122"/>
      <c r="ORY67" s="122"/>
      <c r="ORZ67" s="122"/>
      <c r="OSA67" s="122"/>
      <c r="OSB67" s="122"/>
      <c r="OSC67" s="122"/>
      <c r="OSD67" s="122"/>
      <c r="OSE67" s="122"/>
      <c r="OSF67" s="122"/>
      <c r="OSG67" s="122"/>
      <c r="OSH67" s="122"/>
      <c r="OSI67" s="122"/>
      <c r="OSJ67" s="122"/>
      <c r="OSK67" s="122"/>
      <c r="OSL67" s="122"/>
      <c r="OSM67" s="122"/>
      <c r="OSN67" s="122"/>
      <c r="OSO67" s="122"/>
      <c r="OSP67" s="122"/>
      <c r="OSQ67" s="122"/>
      <c r="OSR67" s="122"/>
      <c r="OSS67" s="122"/>
      <c r="OST67" s="122"/>
      <c r="OSU67" s="122"/>
      <c r="OSV67" s="122"/>
      <c r="OSW67" s="122"/>
      <c r="OSX67" s="122"/>
      <c r="OSY67" s="122"/>
      <c r="OSZ67" s="122"/>
      <c r="OTA67" s="122"/>
      <c r="OTB67" s="122"/>
      <c r="OTC67" s="122"/>
      <c r="OTD67" s="122"/>
      <c r="OTE67" s="122"/>
      <c r="OTF67" s="122"/>
      <c r="OTG67" s="122"/>
      <c r="OTH67" s="122"/>
      <c r="OTI67" s="122"/>
      <c r="OTJ67" s="122"/>
      <c r="OTK67" s="122"/>
      <c r="OTL67" s="122"/>
      <c r="OTM67" s="122"/>
      <c r="OTN67" s="122"/>
      <c r="OTO67" s="122"/>
      <c r="OTP67" s="122"/>
      <c r="OTQ67" s="122"/>
      <c r="OTR67" s="122"/>
      <c r="OTS67" s="122"/>
      <c r="OTT67" s="122"/>
      <c r="OTU67" s="122"/>
      <c r="OTV67" s="122"/>
      <c r="OTW67" s="122"/>
      <c r="OTX67" s="122"/>
      <c r="OTY67" s="122"/>
      <c r="OTZ67" s="122"/>
      <c r="OUA67" s="122"/>
      <c r="OUB67" s="122"/>
      <c r="OUC67" s="122"/>
      <c r="OUD67" s="122"/>
      <c r="OUE67" s="122"/>
      <c r="OUF67" s="122"/>
      <c r="OUG67" s="122"/>
      <c r="OUH67" s="122"/>
      <c r="OUI67" s="122"/>
      <c r="OUJ67" s="122"/>
      <c r="OUK67" s="122"/>
      <c r="OUL67" s="122"/>
      <c r="OUM67" s="122"/>
      <c r="OUN67" s="122"/>
      <c r="OUO67" s="122"/>
      <c r="OUP67" s="122"/>
      <c r="OUQ67" s="122"/>
      <c r="OUR67" s="122"/>
      <c r="OUS67" s="122"/>
      <c r="OUT67" s="122"/>
      <c r="OUU67" s="122"/>
      <c r="OUV67" s="122"/>
      <c r="OUW67" s="122"/>
      <c r="OUX67" s="122"/>
      <c r="OUY67" s="122"/>
      <c r="OUZ67" s="122"/>
      <c r="OVA67" s="122"/>
      <c r="OVB67" s="122"/>
      <c r="OVC67" s="122"/>
      <c r="OVD67" s="122"/>
      <c r="OVE67" s="122"/>
      <c r="OVF67" s="122"/>
      <c r="OVG67" s="122"/>
      <c r="OVH67" s="122"/>
      <c r="OVI67" s="122"/>
      <c r="OVJ67" s="122"/>
      <c r="OVK67" s="122"/>
      <c r="OVL67" s="122"/>
      <c r="OVM67" s="122"/>
      <c r="OVN67" s="122"/>
      <c r="OVO67" s="122"/>
      <c r="OVP67" s="122"/>
      <c r="OVQ67" s="122"/>
      <c r="OVR67" s="122"/>
      <c r="OVS67" s="122"/>
      <c r="OVT67" s="122"/>
      <c r="OVU67" s="122"/>
      <c r="OVV67" s="122"/>
      <c r="OVW67" s="122"/>
      <c r="OVX67" s="122"/>
      <c r="OVY67" s="122"/>
      <c r="OVZ67" s="122"/>
      <c r="OWA67" s="122"/>
      <c r="OWB67" s="122"/>
      <c r="OWC67" s="122"/>
      <c r="OWD67" s="122"/>
      <c r="OWE67" s="122"/>
      <c r="OWF67" s="122"/>
      <c r="OWG67" s="122"/>
      <c r="OWH67" s="122"/>
      <c r="OWI67" s="122"/>
      <c r="OWJ67" s="122"/>
      <c r="OWK67" s="122"/>
      <c r="OWL67" s="122"/>
      <c r="OWM67" s="122"/>
      <c r="OWN67" s="122"/>
      <c r="OWO67" s="122"/>
      <c r="OWP67" s="122"/>
      <c r="OWQ67" s="122"/>
      <c r="OWR67" s="122"/>
      <c r="OWS67" s="122"/>
      <c r="OWT67" s="122"/>
      <c r="OWU67" s="122"/>
      <c r="OWV67" s="122"/>
      <c r="OWW67" s="122"/>
      <c r="OWX67" s="122"/>
      <c r="OWY67" s="122"/>
      <c r="OWZ67" s="122"/>
      <c r="OXA67" s="122"/>
      <c r="OXB67" s="122"/>
      <c r="OXC67" s="122"/>
      <c r="OXD67" s="122"/>
      <c r="OXE67" s="122"/>
      <c r="OXF67" s="122"/>
      <c r="OXG67" s="122"/>
      <c r="OXH67" s="122"/>
      <c r="OXI67" s="122"/>
      <c r="OXJ67" s="122"/>
      <c r="OXK67" s="122"/>
      <c r="OXL67" s="122"/>
      <c r="OXM67" s="122"/>
      <c r="OXN67" s="122"/>
      <c r="OXO67" s="122"/>
      <c r="OXP67" s="122"/>
      <c r="OXQ67" s="122"/>
      <c r="OXR67" s="122"/>
      <c r="OXS67" s="122"/>
      <c r="OXT67" s="122"/>
      <c r="OXU67" s="122"/>
      <c r="OXV67" s="122"/>
      <c r="OXW67" s="122"/>
      <c r="OXX67" s="122"/>
      <c r="OXY67" s="122"/>
      <c r="OXZ67" s="122"/>
      <c r="OYA67" s="122"/>
      <c r="OYB67" s="122"/>
      <c r="OYC67" s="122"/>
      <c r="OYD67" s="122"/>
      <c r="OYE67" s="122"/>
      <c r="OYF67" s="122"/>
      <c r="OYG67" s="122"/>
      <c r="OYH67" s="122"/>
      <c r="OYI67" s="122"/>
      <c r="OYJ67" s="122"/>
      <c r="OYK67" s="122"/>
      <c r="OYL67" s="122"/>
      <c r="OYM67" s="122"/>
      <c r="OYN67" s="122"/>
      <c r="OYO67" s="122"/>
      <c r="OYP67" s="122"/>
      <c r="OYQ67" s="122"/>
      <c r="OYR67" s="122"/>
      <c r="OYS67" s="122"/>
      <c r="OYT67" s="122"/>
      <c r="OYU67" s="122"/>
      <c r="OYV67" s="122"/>
      <c r="OYW67" s="122"/>
      <c r="OYX67" s="122"/>
      <c r="OYY67" s="122"/>
      <c r="OYZ67" s="122"/>
      <c r="OZA67" s="122"/>
      <c r="OZB67" s="122"/>
      <c r="OZC67" s="122"/>
      <c r="OZD67" s="122"/>
      <c r="OZE67" s="122"/>
      <c r="OZF67" s="122"/>
      <c r="OZG67" s="122"/>
      <c r="OZH67" s="122"/>
      <c r="OZI67" s="122"/>
      <c r="OZJ67" s="122"/>
      <c r="OZK67" s="122"/>
      <c r="OZL67" s="122"/>
      <c r="OZM67" s="122"/>
      <c r="OZN67" s="122"/>
      <c r="OZO67" s="122"/>
      <c r="OZP67" s="122"/>
      <c r="OZQ67" s="122"/>
      <c r="OZR67" s="122"/>
      <c r="OZS67" s="122"/>
      <c r="OZT67" s="122"/>
      <c r="OZU67" s="122"/>
      <c r="OZV67" s="122"/>
      <c r="OZW67" s="122"/>
      <c r="OZX67" s="122"/>
      <c r="OZY67" s="122"/>
      <c r="OZZ67" s="122"/>
      <c r="PAA67" s="122"/>
      <c r="PAB67" s="122"/>
      <c r="PAC67" s="122"/>
      <c r="PAD67" s="122"/>
      <c r="PAE67" s="122"/>
      <c r="PAF67" s="122"/>
      <c r="PAG67" s="122"/>
      <c r="PAH67" s="122"/>
      <c r="PAI67" s="122"/>
      <c r="PAJ67" s="122"/>
      <c r="PAK67" s="122"/>
      <c r="PAL67" s="122"/>
      <c r="PAM67" s="122"/>
      <c r="PAN67" s="122"/>
      <c r="PAO67" s="122"/>
      <c r="PAP67" s="122"/>
      <c r="PAQ67" s="122"/>
      <c r="PAR67" s="122"/>
      <c r="PAS67" s="122"/>
      <c r="PAT67" s="122"/>
      <c r="PAU67" s="122"/>
      <c r="PAV67" s="122"/>
      <c r="PAW67" s="122"/>
      <c r="PAX67" s="122"/>
      <c r="PAY67" s="122"/>
      <c r="PAZ67" s="122"/>
      <c r="PBA67" s="122"/>
      <c r="PBB67" s="122"/>
      <c r="PBC67" s="122"/>
      <c r="PBD67" s="122"/>
      <c r="PBE67" s="122"/>
      <c r="PBF67" s="122"/>
      <c r="PBG67" s="122"/>
      <c r="PBH67" s="122"/>
      <c r="PBI67" s="122"/>
      <c r="PBJ67" s="122"/>
      <c r="PBK67" s="122"/>
      <c r="PBL67" s="122"/>
      <c r="PBM67" s="122"/>
      <c r="PBN67" s="122"/>
      <c r="PBO67" s="122"/>
      <c r="PBP67" s="122"/>
      <c r="PBQ67" s="122"/>
      <c r="PBR67" s="122"/>
      <c r="PBS67" s="122"/>
      <c r="PBT67" s="122"/>
      <c r="PBU67" s="122"/>
      <c r="PBV67" s="122"/>
      <c r="PBW67" s="122"/>
      <c r="PBX67" s="122"/>
      <c r="PBY67" s="122"/>
      <c r="PBZ67" s="122"/>
      <c r="PCA67" s="122"/>
      <c r="PCB67" s="122"/>
      <c r="PCC67" s="122"/>
      <c r="PCD67" s="122"/>
      <c r="PCE67" s="122"/>
      <c r="PCF67" s="122"/>
      <c r="PCG67" s="122"/>
      <c r="PCH67" s="122"/>
      <c r="PCI67" s="122"/>
      <c r="PCJ67" s="122"/>
      <c r="PCK67" s="122"/>
      <c r="PCL67" s="122"/>
      <c r="PCM67" s="122"/>
      <c r="PCN67" s="122"/>
      <c r="PCO67" s="122"/>
      <c r="PCP67" s="122"/>
      <c r="PCQ67" s="122"/>
      <c r="PCR67" s="122"/>
      <c r="PCS67" s="122"/>
      <c r="PCT67" s="122"/>
      <c r="PCU67" s="122"/>
      <c r="PCV67" s="122"/>
      <c r="PCW67" s="122"/>
      <c r="PCX67" s="122"/>
      <c r="PCY67" s="122"/>
      <c r="PCZ67" s="122"/>
      <c r="PDA67" s="122"/>
      <c r="PDB67" s="122"/>
      <c r="PDC67" s="122"/>
      <c r="PDD67" s="122"/>
      <c r="PDE67" s="122"/>
      <c r="PDF67" s="122"/>
      <c r="PDG67" s="122"/>
      <c r="PDH67" s="122"/>
      <c r="PDI67" s="122"/>
      <c r="PDJ67" s="122"/>
      <c r="PDK67" s="122"/>
      <c r="PDL67" s="122"/>
      <c r="PDM67" s="122"/>
      <c r="PDN67" s="122"/>
      <c r="PDO67" s="122"/>
      <c r="PDP67" s="122"/>
      <c r="PDQ67" s="122"/>
      <c r="PDR67" s="122"/>
      <c r="PDS67" s="122"/>
      <c r="PDT67" s="122"/>
      <c r="PDU67" s="122"/>
      <c r="PDV67" s="122"/>
      <c r="PDW67" s="122"/>
      <c r="PDX67" s="122"/>
      <c r="PDY67" s="122"/>
      <c r="PDZ67" s="122"/>
      <c r="PEA67" s="122"/>
      <c r="PEB67" s="122"/>
      <c r="PEC67" s="122"/>
      <c r="PED67" s="122"/>
      <c r="PEE67" s="122"/>
      <c r="PEF67" s="122"/>
      <c r="PEG67" s="122"/>
      <c r="PEH67" s="122"/>
      <c r="PEI67" s="122"/>
      <c r="PEJ67" s="122"/>
      <c r="PEK67" s="122"/>
      <c r="PEL67" s="122"/>
      <c r="PEM67" s="122"/>
      <c r="PEN67" s="122"/>
      <c r="PEO67" s="122"/>
      <c r="PEP67" s="122"/>
      <c r="PEQ67" s="122"/>
      <c r="PER67" s="122"/>
      <c r="PES67" s="122"/>
      <c r="PET67" s="122"/>
      <c r="PEU67" s="122"/>
      <c r="PEV67" s="122"/>
      <c r="PEW67" s="122"/>
      <c r="PEX67" s="122"/>
      <c r="PEY67" s="122"/>
      <c r="PEZ67" s="122"/>
      <c r="PFA67" s="122"/>
      <c r="PFB67" s="122"/>
      <c r="PFC67" s="122"/>
      <c r="PFD67" s="122"/>
      <c r="PFE67" s="122"/>
      <c r="PFF67" s="122"/>
      <c r="PFG67" s="122"/>
      <c r="PFH67" s="122"/>
      <c r="PFI67" s="122"/>
      <c r="PFJ67" s="122"/>
      <c r="PFK67" s="122"/>
      <c r="PFL67" s="122"/>
      <c r="PFM67" s="122"/>
      <c r="PFN67" s="122"/>
      <c r="PFO67" s="122"/>
      <c r="PFP67" s="122"/>
      <c r="PFQ67" s="122"/>
      <c r="PFR67" s="122"/>
      <c r="PFS67" s="122"/>
      <c r="PFT67" s="122"/>
      <c r="PFU67" s="122"/>
      <c r="PFV67" s="122"/>
      <c r="PFW67" s="122"/>
      <c r="PFX67" s="122"/>
      <c r="PFY67" s="122"/>
      <c r="PFZ67" s="122"/>
      <c r="PGA67" s="122"/>
      <c r="PGB67" s="122"/>
      <c r="PGC67" s="122"/>
      <c r="PGD67" s="122"/>
      <c r="PGE67" s="122"/>
      <c r="PGF67" s="122"/>
      <c r="PGG67" s="122"/>
      <c r="PGH67" s="122"/>
      <c r="PGI67" s="122"/>
      <c r="PGJ67" s="122"/>
      <c r="PGK67" s="122"/>
      <c r="PGL67" s="122"/>
      <c r="PGM67" s="122"/>
      <c r="PGN67" s="122"/>
      <c r="PGO67" s="122"/>
      <c r="PGP67" s="122"/>
      <c r="PGQ67" s="122"/>
      <c r="PGR67" s="122"/>
      <c r="PGS67" s="122"/>
      <c r="PGT67" s="122"/>
      <c r="PGU67" s="122"/>
      <c r="PGV67" s="122"/>
      <c r="PGW67" s="122"/>
      <c r="PGX67" s="122"/>
      <c r="PGY67" s="122"/>
      <c r="PGZ67" s="122"/>
      <c r="PHA67" s="122"/>
      <c r="PHB67" s="122"/>
      <c r="PHC67" s="122"/>
      <c r="PHD67" s="122"/>
      <c r="PHE67" s="122"/>
      <c r="PHF67" s="122"/>
      <c r="PHG67" s="122"/>
      <c r="PHH67" s="122"/>
      <c r="PHI67" s="122"/>
      <c r="PHJ67" s="122"/>
      <c r="PHK67" s="122"/>
      <c r="PHL67" s="122"/>
      <c r="PHM67" s="122"/>
      <c r="PHN67" s="122"/>
      <c r="PHO67" s="122"/>
      <c r="PHP67" s="122"/>
      <c r="PHQ67" s="122"/>
      <c r="PHR67" s="122"/>
      <c r="PHS67" s="122"/>
      <c r="PHT67" s="122"/>
      <c r="PHU67" s="122"/>
      <c r="PHV67" s="122"/>
      <c r="PHW67" s="122"/>
      <c r="PHX67" s="122"/>
      <c r="PHY67" s="122"/>
      <c r="PHZ67" s="122"/>
      <c r="PIA67" s="122"/>
      <c r="PIB67" s="122"/>
      <c r="PIC67" s="122"/>
      <c r="PID67" s="122"/>
      <c r="PIE67" s="122"/>
      <c r="PIF67" s="122"/>
      <c r="PIG67" s="122"/>
      <c r="PIH67" s="122"/>
      <c r="PII67" s="122"/>
      <c r="PIJ67" s="122"/>
      <c r="PIK67" s="122"/>
      <c r="PIL67" s="122"/>
      <c r="PIM67" s="122"/>
      <c r="PIN67" s="122"/>
      <c r="PIO67" s="122"/>
      <c r="PIP67" s="122"/>
      <c r="PIQ67" s="122"/>
      <c r="PIR67" s="122"/>
      <c r="PIS67" s="122"/>
      <c r="PIT67" s="122"/>
      <c r="PIU67" s="122"/>
      <c r="PIV67" s="122"/>
      <c r="PIW67" s="122"/>
      <c r="PIX67" s="122"/>
      <c r="PIY67" s="122"/>
      <c r="PIZ67" s="122"/>
      <c r="PJA67" s="122"/>
      <c r="PJB67" s="122"/>
      <c r="PJC67" s="122"/>
      <c r="PJD67" s="122"/>
      <c r="PJE67" s="122"/>
      <c r="PJF67" s="122"/>
      <c r="PJG67" s="122"/>
      <c r="PJH67" s="122"/>
      <c r="PJI67" s="122"/>
      <c r="PJJ67" s="122"/>
      <c r="PJK67" s="122"/>
      <c r="PJL67" s="122"/>
      <c r="PJM67" s="122"/>
      <c r="PJN67" s="122"/>
      <c r="PJO67" s="122"/>
      <c r="PJP67" s="122"/>
      <c r="PJQ67" s="122"/>
      <c r="PJR67" s="122"/>
      <c r="PJS67" s="122"/>
      <c r="PJT67" s="122"/>
      <c r="PJU67" s="122"/>
      <c r="PJV67" s="122"/>
      <c r="PJW67" s="122"/>
      <c r="PJX67" s="122"/>
      <c r="PJY67" s="122"/>
      <c r="PJZ67" s="122"/>
      <c r="PKA67" s="122"/>
      <c r="PKB67" s="122"/>
      <c r="PKC67" s="122"/>
      <c r="PKD67" s="122"/>
      <c r="PKE67" s="122"/>
      <c r="PKF67" s="122"/>
      <c r="PKG67" s="122"/>
      <c r="PKH67" s="122"/>
      <c r="PKI67" s="122"/>
      <c r="PKJ67" s="122"/>
      <c r="PKK67" s="122"/>
      <c r="PKL67" s="122"/>
      <c r="PKM67" s="122"/>
      <c r="PKN67" s="122"/>
      <c r="PKO67" s="122"/>
      <c r="PKP67" s="122"/>
      <c r="PKQ67" s="122"/>
      <c r="PKR67" s="122"/>
      <c r="PKS67" s="122"/>
      <c r="PKT67" s="122"/>
      <c r="PKU67" s="122"/>
      <c r="PKV67" s="122"/>
      <c r="PKW67" s="122"/>
      <c r="PKX67" s="122"/>
      <c r="PKY67" s="122"/>
      <c r="PKZ67" s="122"/>
      <c r="PLA67" s="122"/>
      <c r="PLB67" s="122"/>
      <c r="PLC67" s="122"/>
      <c r="PLD67" s="122"/>
      <c r="PLE67" s="122"/>
      <c r="PLF67" s="122"/>
      <c r="PLG67" s="122"/>
      <c r="PLH67" s="122"/>
      <c r="PLI67" s="122"/>
      <c r="PLJ67" s="122"/>
      <c r="PLK67" s="122"/>
      <c r="PLL67" s="122"/>
      <c r="PLM67" s="122"/>
      <c r="PLN67" s="122"/>
      <c r="PLO67" s="122"/>
      <c r="PLP67" s="122"/>
      <c r="PLQ67" s="122"/>
      <c r="PLR67" s="122"/>
      <c r="PLS67" s="122"/>
      <c r="PLT67" s="122"/>
      <c r="PLU67" s="122"/>
      <c r="PLV67" s="122"/>
      <c r="PLW67" s="122"/>
      <c r="PLX67" s="122"/>
      <c r="PLY67" s="122"/>
      <c r="PLZ67" s="122"/>
      <c r="PMA67" s="122"/>
      <c r="PMB67" s="122"/>
      <c r="PMC67" s="122"/>
      <c r="PMD67" s="122"/>
      <c r="PME67" s="122"/>
      <c r="PMF67" s="122"/>
      <c r="PMG67" s="122"/>
      <c r="PMH67" s="122"/>
      <c r="PMI67" s="122"/>
      <c r="PMJ67" s="122"/>
      <c r="PMK67" s="122"/>
      <c r="PML67" s="122"/>
      <c r="PMM67" s="122"/>
      <c r="PMN67" s="122"/>
      <c r="PMO67" s="122"/>
      <c r="PMP67" s="122"/>
      <c r="PMQ67" s="122"/>
      <c r="PMR67" s="122"/>
      <c r="PMS67" s="122"/>
      <c r="PMT67" s="122"/>
      <c r="PMU67" s="122"/>
      <c r="PMV67" s="122"/>
      <c r="PMW67" s="122"/>
      <c r="PMX67" s="122"/>
      <c r="PMY67" s="122"/>
      <c r="PMZ67" s="122"/>
      <c r="PNA67" s="122"/>
      <c r="PNB67" s="122"/>
      <c r="PNC67" s="122"/>
      <c r="PND67" s="122"/>
      <c r="PNE67" s="122"/>
      <c r="PNF67" s="122"/>
      <c r="PNG67" s="122"/>
      <c r="PNH67" s="122"/>
      <c r="PNI67" s="122"/>
      <c r="PNJ67" s="122"/>
      <c r="PNK67" s="122"/>
      <c r="PNL67" s="122"/>
      <c r="PNM67" s="122"/>
      <c r="PNN67" s="122"/>
      <c r="PNO67" s="122"/>
      <c r="PNP67" s="122"/>
      <c r="PNQ67" s="122"/>
      <c r="PNR67" s="122"/>
      <c r="PNS67" s="122"/>
      <c r="PNT67" s="122"/>
      <c r="PNU67" s="122"/>
      <c r="PNV67" s="122"/>
      <c r="PNW67" s="122"/>
      <c r="PNX67" s="122"/>
      <c r="PNY67" s="122"/>
      <c r="PNZ67" s="122"/>
      <c r="POA67" s="122"/>
      <c r="POB67" s="122"/>
      <c r="POC67" s="122"/>
      <c r="POD67" s="122"/>
      <c r="POE67" s="122"/>
      <c r="POF67" s="122"/>
      <c r="POG67" s="122"/>
      <c r="POH67" s="122"/>
      <c r="POI67" s="122"/>
      <c r="POJ67" s="122"/>
      <c r="POK67" s="122"/>
      <c r="POL67" s="122"/>
      <c r="POM67" s="122"/>
      <c r="PON67" s="122"/>
      <c r="POO67" s="122"/>
      <c r="POP67" s="122"/>
      <c r="POQ67" s="122"/>
      <c r="POR67" s="122"/>
      <c r="POS67" s="122"/>
      <c r="POT67" s="122"/>
      <c r="POU67" s="122"/>
      <c r="POV67" s="122"/>
      <c r="POW67" s="122"/>
      <c r="POX67" s="122"/>
      <c r="POY67" s="122"/>
      <c r="POZ67" s="122"/>
      <c r="PPA67" s="122"/>
      <c r="PPB67" s="122"/>
      <c r="PPC67" s="122"/>
      <c r="PPD67" s="122"/>
      <c r="PPE67" s="122"/>
      <c r="PPF67" s="122"/>
      <c r="PPG67" s="122"/>
      <c r="PPH67" s="122"/>
      <c r="PPI67" s="122"/>
      <c r="PPJ67" s="122"/>
      <c r="PPK67" s="122"/>
      <c r="PPL67" s="122"/>
      <c r="PPM67" s="122"/>
      <c r="PPN67" s="122"/>
      <c r="PPO67" s="122"/>
      <c r="PPP67" s="122"/>
      <c r="PPQ67" s="122"/>
      <c r="PPR67" s="122"/>
      <c r="PPS67" s="122"/>
      <c r="PPT67" s="122"/>
      <c r="PPU67" s="122"/>
      <c r="PPV67" s="122"/>
      <c r="PPW67" s="122"/>
      <c r="PPX67" s="122"/>
      <c r="PPY67" s="122"/>
      <c r="PPZ67" s="122"/>
      <c r="PQA67" s="122"/>
      <c r="PQB67" s="122"/>
      <c r="PQC67" s="122"/>
      <c r="PQD67" s="122"/>
      <c r="PQE67" s="122"/>
      <c r="PQF67" s="122"/>
      <c r="PQG67" s="122"/>
      <c r="PQH67" s="122"/>
      <c r="PQI67" s="122"/>
      <c r="PQJ67" s="122"/>
      <c r="PQK67" s="122"/>
      <c r="PQL67" s="122"/>
      <c r="PQM67" s="122"/>
      <c r="PQN67" s="122"/>
      <c r="PQO67" s="122"/>
      <c r="PQP67" s="122"/>
      <c r="PQQ67" s="122"/>
      <c r="PQR67" s="122"/>
      <c r="PQS67" s="122"/>
      <c r="PQT67" s="122"/>
      <c r="PQU67" s="122"/>
      <c r="PQV67" s="122"/>
      <c r="PQW67" s="122"/>
      <c r="PQX67" s="122"/>
      <c r="PQY67" s="122"/>
      <c r="PQZ67" s="122"/>
      <c r="PRA67" s="122"/>
      <c r="PRB67" s="122"/>
      <c r="PRC67" s="122"/>
      <c r="PRD67" s="122"/>
      <c r="PRE67" s="122"/>
      <c r="PRF67" s="122"/>
      <c r="PRG67" s="122"/>
      <c r="PRH67" s="122"/>
      <c r="PRI67" s="122"/>
      <c r="PRJ67" s="122"/>
      <c r="PRK67" s="122"/>
      <c r="PRL67" s="122"/>
      <c r="PRM67" s="122"/>
      <c r="PRN67" s="122"/>
      <c r="PRO67" s="122"/>
      <c r="PRP67" s="122"/>
      <c r="PRQ67" s="122"/>
      <c r="PRR67" s="122"/>
      <c r="PRS67" s="122"/>
      <c r="PRT67" s="122"/>
      <c r="PRU67" s="122"/>
      <c r="PRV67" s="122"/>
      <c r="PRW67" s="122"/>
      <c r="PRX67" s="122"/>
      <c r="PRY67" s="122"/>
      <c r="PRZ67" s="122"/>
      <c r="PSA67" s="122"/>
      <c r="PSB67" s="122"/>
      <c r="PSC67" s="122"/>
      <c r="PSD67" s="122"/>
      <c r="PSE67" s="122"/>
      <c r="PSF67" s="122"/>
      <c r="PSG67" s="122"/>
      <c r="PSH67" s="122"/>
      <c r="PSI67" s="122"/>
      <c r="PSJ67" s="122"/>
      <c r="PSK67" s="122"/>
      <c r="PSL67" s="122"/>
      <c r="PSM67" s="122"/>
      <c r="PSN67" s="122"/>
      <c r="PSO67" s="122"/>
      <c r="PSP67" s="122"/>
      <c r="PSQ67" s="122"/>
      <c r="PSR67" s="122"/>
      <c r="PSS67" s="122"/>
      <c r="PST67" s="122"/>
      <c r="PSU67" s="122"/>
      <c r="PSV67" s="122"/>
      <c r="PSW67" s="122"/>
      <c r="PSX67" s="122"/>
      <c r="PSY67" s="122"/>
      <c r="PSZ67" s="122"/>
      <c r="PTA67" s="122"/>
      <c r="PTB67" s="122"/>
      <c r="PTC67" s="122"/>
      <c r="PTD67" s="122"/>
      <c r="PTE67" s="122"/>
      <c r="PTF67" s="122"/>
      <c r="PTG67" s="122"/>
      <c r="PTH67" s="122"/>
      <c r="PTI67" s="122"/>
      <c r="PTJ67" s="122"/>
      <c r="PTK67" s="122"/>
      <c r="PTL67" s="122"/>
      <c r="PTM67" s="122"/>
      <c r="PTN67" s="122"/>
      <c r="PTO67" s="122"/>
      <c r="PTP67" s="122"/>
      <c r="PTQ67" s="122"/>
      <c r="PTR67" s="122"/>
      <c r="PTS67" s="122"/>
      <c r="PTT67" s="122"/>
      <c r="PTU67" s="122"/>
      <c r="PTV67" s="122"/>
      <c r="PTW67" s="122"/>
      <c r="PTX67" s="122"/>
      <c r="PTY67" s="122"/>
      <c r="PTZ67" s="122"/>
      <c r="PUA67" s="122"/>
      <c r="PUB67" s="122"/>
      <c r="PUC67" s="122"/>
      <c r="PUD67" s="122"/>
      <c r="PUE67" s="122"/>
      <c r="PUF67" s="122"/>
      <c r="PUG67" s="122"/>
      <c r="PUH67" s="122"/>
      <c r="PUI67" s="122"/>
      <c r="PUJ67" s="122"/>
      <c r="PUK67" s="122"/>
      <c r="PUL67" s="122"/>
      <c r="PUM67" s="122"/>
      <c r="PUN67" s="122"/>
      <c r="PUO67" s="122"/>
      <c r="PUP67" s="122"/>
      <c r="PUQ67" s="122"/>
      <c r="PUR67" s="122"/>
      <c r="PUS67" s="122"/>
      <c r="PUT67" s="122"/>
      <c r="PUU67" s="122"/>
      <c r="PUV67" s="122"/>
      <c r="PUW67" s="122"/>
      <c r="PUX67" s="122"/>
      <c r="PUY67" s="122"/>
      <c r="PUZ67" s="122"/>
      <c r="PVA67" s="122"/>
      <c r="PVB67" s="122"/>
      <c r="PVC67" s="122"/>
      <c r="PVD67" s="122"/>
      <c r="PVE67" s="122"/>
      <c r="PVF67" s="122"/>
      <c r="PVG67" s="122"/>
      <c r="PVH67" s="122"/>
      <c r="PVI67" s="122"/>
      <c r="PVJ67" s="122"/>
      <c r="PVK67" s="122"/>
      <c r="PVL67" s="122"/>
      <c r="PVM67" s="122"/>
      <c r="PVN67" s="122"/>
      <c r="PVO67" s="122"/>
      <c r="PVP67" s="122"/>
      <c r="PVQ67" s="122"/>
      <c r="PVR67" s="122"/>
      <c r="PVS67" s="122"/>
      <c r="PVT67" s="122"/>
      <c r="PVU67" s="122"/>
      <c r="PVV67" s="122"/>
      <c r="PVW67" s="122"/>
      <c r="PVX67" s="122"/>
      <c r="PVY67" s="122"/>
      <c r="PVZ67" s="122"/>
      <c r="PWA67" s="122"/>
      <c r="PWB67" s="122"/>
      <c r="PWC67" s="122"/>
      <c r="PWD67" s="122"/>
      <c r="PWE67" s="122"/>
      <c r="PWF67" s="122"/>
      <c r="PWG67" s="122"/>
      <c r="PWH67" s="122"/>
      <c r="PWI67" s="122"/>
      <c r="PWJ67" s="122"/>
      <c r="PWK67" s="122"/>
      <c r="PWL67" s="122"/>
      <c r="PWM67" s="122"/>
      <c r="PWN67" s="122"/>
      <c r="PWO67" s="122"/>
      <c r="PWP67" s="122"/>
      <c r="PWQ67" s="122"/>
      <c r="PWR67" s="122"/>
      <c r="PWS67" s="122"/>
      <c r="PWT67" s="122"/>
      <c r="PWU67" s="122"/>
      <c r="PWV67" s="122"/>
      <c r="PWW67" s="122"/>
      <c r="PWX67" s="122"/>
      <c r="PWY67" s="122"/>
      <c r="PWZ67" s="122"/>
      <c r="PXA67" s="122"/>
      <c r="PXB67" s="122"/>
      <c r="PXC67" s="122"/>
      <c r="PXD67" s="122"/>
      <c r="PXE67" s="122"/>
      <c r="PXF67" s="122"/>
      <c r="PXG67" s="122"/>
      <c r="PXH67" s="122"/>
      <c r="PXI67" s="122"/>
      <c r="PXJ67" s="122"/>
      <c r="PXK67" s="122"/>
      <c r="PXL67" s="122"/>
      <c r="PXM67" s="122"/>
      <c r="PXN67" s="122"/>
      <c r="PXO67" s="122"/>
      <c r="PXP67" s="122"/>
      <c r="PXQ67" s="122"/>
      <c r="PXR67" s="122"/>
      <c r="PXS67" s="122"/>
      <c r="PXT67" s="122"/>
      <c r="PXU67" s="122"/>
      <c r="PXV67" s="122"/>
      <c r="PXW67" s="122"/>
      <c r="PXX67" s="122"/>
      <c r="PXY67" s="122"/>
      <c r="PXZ67" s="122"/>
      <c r="PYA67" s="122"/>
      <c r="PYB67" s="122"/>
      <c r="PYC67" s="122"/>
      <c r="PYD67" s="122"/>
      <c r="PYE67" s="122"/>
      <c r="PYF67" s="122"/>
      <c r="PYG67" s="122"/>
      <c r="PYH67" s="122"/>
      <c r="PYI67" s="122"/>
      <c r="PYJ67" s="122"/>
      <c r="PYK67" s="122"/>
      <c r="PYL67" s="122"/>
      <c r="PYM67" s="122"/>
      <c r="PYN67" s="122"/>
      <c r="PYO67" s="122"/>
      <c r="PYP67" s="122"/>
      <c r="PYQ67" s="122"/>
      <c r="PYR67" s="122"/>
      <c r="PYS67" s="122"/>
      <c r="PYT67" s="122"/>
      <c r="PYU67" s="122"/>
      <c r="PYV67" s="122"/>
      <c r="PYW67" s="122"/>
      <c r="PYX67" s="122"/>
      <c r="PYY67" s="122"/>
      <c r="PYZ67" s="122"/>
      <c r="PZA67" s="122"/>
      <c r="PZB67" s="122"/>
      <c r="PZC67" s="122"/>
      <c r="PZD67" s="122"/>
      <c r="PZE67" s="122"/>
      <c r="PZF67" s="122"/>
      <c r="PZG67" s="122"/>
      <c r="PZH67" s="122"/>
      <c r="PZI67" s="122"/>
      <c r="PZJ67" s="122"/>
      <c r="PZK67" s="122"/>
      <c r="PZL67" s="122"/>
      <c r="PZM67" s="122"/>
      <c r="PZN67" s="122"/>
      <c r="PZO67" s="122"/>
      <c r="PZP67" s="122"/>
      <c r="PZQ67" s="122"/>
      <c r="PZR67" s="122"/>
      <c r="PZS67" s="122"/>
      <c r="PZT67" s="122"/>
      <c r="PZU67" s="122"/>
      <c r="PZV67" s="122"/>
      <c r="PZW67" s="122"/>
      <c r="PZX67" s="122"/>
      <c r="PZY67" s="122"/>
      <c r="PZZ67" s="122"/>
      <c r="QAA67" s="122"/>
      <c r="QAB67" s="122"/>
      <c r="QAC67" s="122"/>
      <c r="QAD67" s="122"/>
      <c r="QAE67" s="122"/>
      <c r="QAF67" s="122"/>
      <c r="QAG67" s="122"/>
      <c r="QAH67" s="122"/>
      <c r="QAI67" s="122"/>
      <c r="QAJ67" s="122"/>
      <c r="QAK67" s="122"/>
      <c r="QAL67" s="122"/>
      <c r="QAM67" s="122"/>
      <c r="QAN67" s="122"/>
      <c r="QAO67" s="122"/>
      <c r="QAP67" s="122"/>
      <c r="QAQ67" s="122"/>
      <c r="QAR67" s="122"/>
      <c r="QAS67" s="122"/>
      <c r="QAT67" s="122"/>
      <c r="QAU67" s="122"/>
      <c r="QAV67" s="122"/>
      <c r="QAW67" s="122"/>
      <c r="QAX67" s="122"/>
      <c r="QAY67" s="122"/>
      <c r="QAZ67" s="122"/>
      <c r="QBA67" s="122"/>
      <c r="QBB67" s="122"/>
      <c r="QBC67" s="122"/>
      <c r="QBD67" s="122"/>
      <c r="QBE67" s="122"/>
      <c r="QBF67" s="122"/>
      <c r="QBG67" s="122"/>
      <c r="QBH67" s="122"/>
      <c r="QBI67" s="122"/>
      <c r="QBJ67" s="122"/>
      <c r="QBK67" s="122"/>
      <c r="QBL67" s="122"/>
      <c r="QBM67" s="122"/>
      <c r="QBN67" s="122"/>
      <c r="QBO67" s="122"/>
      <c r="QBP67" s="122"/>
      <c r="QBQ67" s="122"/>
      <c r="QBR67" s="122"/>
      <c r="QBS67" s="122"/>
      <c r="QBT67" s="122"/>
      <c r="QBU67" s="122"/>
      <c r="QBV67" s="122"/>
      <c r="QBW67" s="122"/>
      <c r="QBX67" s="122"/>
      <c r="QBY67" s="122"/>
      <c r="QBZ67" s="122"/>
      <c r="QCA67" s="122"/>
      <c r="QCB67" s="122"/>
      <c r="QCC67" s="122"/>
      <c r="QCD67" s="122"/>
      <c r="QCE67" s="122"/>
      <c r="QCF67" s="122"/>
      <c r="QCG67" s="122"/>
      <c r="QCH67" s="122"/>
      <c r="QCI67" s="122"/>
      <c r="QCJ67" s="122"/>
      <c r="QCK67" s="122"/>
      <c r="QCL67" s="122"/>
      <c r="QCM67" s="122"/>
      <c r="QCN67" s="122"/>
      <c r="QCO67" s="122"/>
      <c r="QCP67" s="122"/>
      <c r="QCQ67" s="122"/>
      <c r="QCR67" s="122"/>
      <c r="QCS67" s="122"/>
      <c r="QCT67" s="122"/>
      <c r="QCU67" s="122"/>
      <c r="QCV67" s="122"/>
      <c r="QCW67" s="122"/>
      <c r="QCX67" s="122"/>
      <c r="QCY67" s="122"/>
      <c r="QCZ67" s="122"/>
      <c r="QDA67" s="122"/>
      <c r="QDB67" s="122"/>
      <c r="QDC67" s="122"/>
      <c r="QDD67" s="122"/>
      <c r="QDE67" s="122"/>
      <c r="QDF67" s="122"/>
      <c r="QDG67" s="122"/>
      <c r="QDH67" s="122"/>
      <c r="QDI67" s="122"/>
      <c r="QDJ67" s="122"/>
      <c r="QDK67" s="122"/>
      <c r="QDL67" s="122"/>
      <c r="QDM67" s="122"/>
      <c r="QDN67" s="122"/>
      <c r="QDO67" s="122"/>
      <c r="QDP67" s="122"/>
      <c r="QDQ67" s="122"/>
      <c r="QDR67" s="122"/>
      <c r="QDS67" s="122"/>
      <c r="QDT67" s="122"/>
      <c r="QDU67" s="122"/>
      <c r="QDV67" s="122"/>
      <c r="QDW67" s="122"/>
      <c r="QDX67" s="122"/>
      <c r="QDY67" s="122"/>
      <c r="QDZ67" s="122"/>
      <c r="QEA67" s="122"/>
      <c r="QEB67" s="122"/>
      <c r="QEC67" s="122"/>
      <c r="QED67" s="122"/>
      <c r="QEE67" s="122"/>
      <c r="QEF67" s="122"/>
      <c r="QEG67" s="122"/>
      <c r="QEH67" s="122"/>
      <c r="QEI67" s="122"/>
      <c r="QEJ67" s="122"/>
      <c r="QEK67" s="122"/>
      <c r="QEL67" s="122"/>
      <c r="QEM67" s="122"/>
      <c r="QEN67" s="122"/>
      <c r="QEO67" s="122"/>
      <c r="QEP67" s="122"/>
      <c r="QEQ67" s="122"/>
      <c r="QER67" s="122"/>
      <c r="QES67" s="122"/>
      <c r="QET67" s="122"/>
      <c r="QEU67" s="122"/>
      <c r="QEV67" s="122"/>
      <c r="QEW67" s="122"/>
      <c r="QEX67" s="122"/>
      <c r="QEY67" s="122"/>
      <c r="QEZ67" s="122"/>
      <c r="QFA67" s="122"/>
      <c r="QFB67" s="122"/>
      <c r="QFC67" s="122"/>
      <c r="QFD67" s="122"/>
      <c r="QFE67" s="122"/>
      <c r="QFF67" s="122"/>
      <c r="QFG67" s="122"/>
      <c r="QFH67" s="122"/>
      <c r="QFI67" s="122"/>
      <c r="QFJ67" s="122"/>
      <c r="QFK67" s="122"/>
      <c r="QFL67" s="122"/>
      <c r="QFM67" s="122"/>
      <c r="QFN67" s="122"/>
      <c r="QFO67" s="122"/>
      <c r="QFP67" s="122"/>
      <c r="QFQ67" s="122"/>
      <c r="QFR67" s="122"/>
      <c r="QFS67" s="122"/>
      <c r="QFT67" s="122"/>
      <c r="QFU67" s="122"/>
      <c r="QFV67" s="122"/>
      <c r="QFW67" s="122"/>
      <c r="QFX67" s="122"/>
      <c r="QFY67" s="122"/>
      <c r="QFZ67" s="122"/>
      <c r="QGA67" s="122"/>
      <c r="QGB67" s="122"/>
      <c r="QGC67" s="122"/>
      <c r="QGD67" s="122"/>
      <c r="QGE67" s="122"/>
      <c r="QGF67" s="122"/>
      <c r="QGG67" s="122"/>
      <c r="QGH67" s="122"/>
      <c r="QGI67" s="122"/>
      <c r="QGJ67" s="122"/>
      <c r="QGK67" s="122"/>
      <c r="QGL67" s="122"/>
      <c r="QGM67" s="122"/>
      <c r="QGN67" s="122"/>
      <c r="QGO67" s="122"/>
      <c r="QGP67" s="122"/>
      <c r="QGQ67" s="122"/>
      <c r="QGR67" s="122"/>
      <c r="QGS67" s="122"/>
      <c r="QGT67" s="122"/>
      <c r="QGU67" s="122"/>
      <c r="QGV67" s="122"/>
      <c r="QGW67" s="122"/>
      <c r="QGX67" s="122"/>
      <c r="QGY67" s="122"/>
      <c r="QGZ67" s="122"/>
      <c r="QHA67" s="122"/>
      <c r="QHB67" s="122"/>
      <c r="QHC67" s="122"/>
      <c r="QHD67" s="122"/>
      <c r="QHE67" s="122"/>
      <c r="QHF67" s="122"/>
      <c r="QHG67" s="122"/>
      <c r="QHH67" s="122"/>
      <c r="QHI67" s="122"/>
      <c r="QHJ67" s="122"/>
      <c r="QHK67" s="122"/>
      <c r="QHL67" s="122"/>
      <c r="QHM67" s="122"/>
      <c r="QHN67" s="122"/>
      <c r="QHO67" s="122"/>
      <c r="QHP67" s="122"/>
      <c r="QHQ67" s="122"/>
      <c r="QHR67" s="122"/>
      <c r="QHS67" s="122"/>
      <c r="QHT67" s="122"/>
      <c r="QHU67" s="122"/>
      <c r="QHV67" s="122"/>
      <c r="QHW67" s="122"/>
      <c r="QHX67" s="122"/>
      <c r="QHY67" s="122"/>
      <c r="QHZ67" s="122"/>
      <c r="QIA67" s="122"/>
      <c r="QIB67" s="122"/>
      <c r="QIC67" s="122"/>
      <c r="QID67" s="122"/>
      <c r="QIE67" s="122"/>
      <c r="QIF67" s="122"/>
      <c r="QIG67" s="122"/>
      <c r="QIH67" s="122"/>
      <c r="QII67" s="122"/>
      <c r="QIJ67" s="122"/>
      <c r="QIK67" s="122"/>
      <c r="QIL67" s="122"/>
      <c r="QIM67" s="122"/>
      <c r="QIN67" s="122"/>
      <c r="QIO67" s="122"/>
      <c r="QIP67" s="122"/>
      <c r="QIQ67" s="122"/>
      <c r="QIR67" s="122"/>
      <c r="QIS67" s="122"/>
      <c r="QIT67" s="122"/>
      <c r="QIU67" s="122"/>
      <c r="QIV67" s="122"/>
      <c r="QIW67" s="122"/>
      <c r="QIX67" s="122"/>
      <c r="QIY67" s="122"/>
      <c r="QIZ67" s="122"/>
      <c r="QJA67" s="122"/>
      <c r="QJB67" s="122"/>
      <c r="QJC67" s="122"/>
      <c r="QJD67" s="122"/>
      <c r="QJE67" s="122"/>
      <c r="QJF67" s="122"/>
      <c r="QJG67" s="122"/>
      <c r="QJH67" s="122"/>
      <c r="QJI67" s="122"/>
      <c r="QJJ67" s="122"/>
      <c r="QJK67" s="122"/>
      <c r="QJL67" s="122"/>
      <c r="QJM67" s="122"/>
      <c r="QJN67" s="122"/>
      <c r="QJO67" s="122"/>
      <c r="QJP67" s="122"/>
      <c r="QJQ67" s="122"/>
      <c r="QJR67" s="122"/>
      <c r="QJS67" s="122"/>
      <c r="QJT67" s="122"/>
      <c r="QJU67" s="122"/>
      <c r="QJV67" s="122"/>
      <c r="QJW67" s="122"/>
      <c r="QJX67" s="122"/>
      <c r="QJY67" s="122"/>
      <c r="QJZ67" s="122"/>
      <c r="QKA67" s="122"/>
      <c r="QKB67" s="122"/>
      <c r="QKC67" s="122"/>
      <c r="QKD67" s="122"/>
      <c r="QKE67" s="122"/>
      <c r="QKF67" s="122"/>
      <c r="QKG67" s="122"/>
      <c r="QKH67" s="122"/>
      <c r="QKI67" s="122"/>
      <c r="QKJ67" s="122"/>
      <c r="QKK67" s="122"/>
      <c r="QKL67" s="122"/>
      <c r="QKM67" s="122"/>
      <c r="QKN67" s="122"/>
      <c r="QKO67" s="122"/>
      <c r="QKP67" s="122"/>
      <c r="QKQ67" s="122"/>
      <c r="QKR67" s="122"/>
      <c r="QKS67" s="122"/>
      <c r="QKT67" s="122"/>
      <c r="QKU67" s="122"/>
      <c r="QKV67" s="122"/>
      <c r="QKW67" s="122"/>
      <c r="QKX67" s="122"/>
      <c r="QKY67" s="122"/>
      <c r="QKZ67" s="122"/>
      <c r="QLA67" s="122"/>
      <c r="QLB67" s="122"/>
      <c r="QLC67" s="122"/>
      <c r="QLD67" s="122"/>
      <c r="QLE67" s="122"/>
      <c r="QLF67" s="122"/>
      <c r="QLG67" s="122"/>
      <c r="QLH67" s="122"/>
      <c r="QLI67" s="122"/>
      <c r="QLJ67" s="122"/>
      <c r="QLK67" s="122"/>
      <c r="QLL67" s="122"/>
      <c r="QLM67" s="122"/>
      <c r="QLN67" s="122"/>
      <c r="QLO67" s="122"/>
      <c r="QLP67" s="122"/>
      <c r="QLQ67" s="122"/>
      <c r="QLR67" s="122"/>
      <c r="QLS67" s="122"/>
      <c r="QLT67" s="122"/>
      <c r="QLU67" s="122"/>
      <c r="QLV67" s="122"/>
      <c r="QLW67" s="122"/>
      <c r="QLX67" s="122"/>
      <c r="QLY67" s="122"/>
      <c r="QLZ67" s="122"/>
      <c r="QMA67" s="122"/>
      <c r="QMB67" s="122"/>
      <c r="QMC67" s="122"/>
      <c r="QMD67" s="122"/>
      <c r="QME67" s="122"/>
      <c r="QMF67" s="122"/>
      <c r="QMG67" s="122"/>
      <c r="QMH67" s="122"/>
      <c r="QMI67" s="122"/>
      <c r="QMJ67" s="122"/>
      <c r="QMK67" s="122"/>
      <c r="QML67" s="122"/>
      <c r="QMM67" s="122"/>
      <c r="QMN67" s="122"/>
      <c r="QMO67" s="122"/>
      <c r="QMP67" s="122"/>
      <c r="QMQ67" s="122"/>
      <c r="QMR67" s="122"/>
      <c r="QMS67" s="122"/>
      <c r="QMT67" s="122"/>
      <c r="QMU67" s="122"/>
      <c r="QMV67" s="122"/>
      <c r="QMW67" s="122"/>
      <c r="QMX67" s="122"/>
      <c r="QMY67" s="122"/>
      <c r="QMZ67" s="122"/>
      <c r="QNA67" s="122"/>
      <c r="QNB67" s="122"/>
      <c r="QNC67" s="122"/>
      <c r="QND67" s="122"/>
      <c r="QNE67" s="122"/>
      <c r="QNF67" s="122"/>
      <c r="QNG67" s="122"/>
      <c r="QNH67" s="122"/>
      <c r="QNI67" s="122"/>
      <c r="QNJ67" s="122"/>
      <c r="QNK67" s="122"/>
      <c r="QNL67" s="122"/>
      <c r="QNM67" s="122"/>
      <c r="QNN67" s="122"/>
      <c r="QNO67" s="122"/>
      <c r="QNP67" s="122"/>
      <c r="QNQ67" s="122"/>
      <c r="QNR67" s="122"/>
      <c r="QNS67" s="122"/>
      <c r="QNT67" s="122"/>
      <c r="QNU67" s="122"/>
      <c r="QNV67" s="122"/>
      <c r="QNW67" s="122"/>
      <c r="QNX67" s="122"/>
      <c r="QNY67" s="122"/>
      <c r="QNZ67" s="122"/>
      <c r="QOA67" s="122"/>
      <c r="QOB67" s="122"/>
      <c r="QOC67" s="122"/>
      <c r="QOD67" s="122"/>
      <c r="QOE67" s="122"/>
      <c r="QOF67" s="122"/>
      <c r="QOG67" s="122"/>
      <c r="QOH67" s="122"/>
      <c r="QOI67" s="122"/>
      <c r="QOJ67" s="122"/>
      <c r="QOK67" s="122"/>
      <c r="QOL67" s="122"/>
      <c r="QOM67" s="122"/>
      <c r="QON67" s="122"/>
      <c r="QOO67" s="122"/>
      <c r="QOP67" s="122"/>
      <c r="QOQ67" s="122"/>
      <c r="QOR67" s="122"/>
      <c r="QOS67" s="122"/>
      <c r="QOT67" s="122"/>
      <c r="QOU67" s="122"/>
      <c r="QOV67" s="122"/>
      <c r="QOW67" s="122"/>
      <c r="QOX67" s="122"/>
      <c r="QOY67" s="122"/>
      <c r="QOZ67" s="122"/>
      <c r="QPA67" s="122"/>
      <c r="QPB67" s="122"/>
      <c r="QPC67" s="122"/>
      <c r="QPD67" s="122"/>
      <c r="QPE67" s="122"/>
      <c r="QPF67" s="122"/>
      <c r="QPG67" s="122"/>
      <c r="QPH67" s="122"/>
      <c r="QPI67" s="122"/>
      <c r="QPJ67" s="122"/>
      <c r="QPK67" s="122"/>
      <c r="QPL67" s="122"/>
      <c r="QPM67" s="122"/>
      <c r="QPN67" s="122"/>
      <c r="QPO67" s="122"/>
      <c r="QPP67" s="122"/>
      <c r="QPQ67" s="122"/>
      <c r="QPR67" s="122"/>
      <c r="QPS67" s="122"/>
      <c r="QPT67" s="122"/>
      <c r="QPU67" s="122"/>
      <c r="QPV67" s="122"/>
      <c r="QPW67" s="122"/>
      <c r="QPX67" s="122"/>
      <c r="QPY67" s="122"/>
      <c r="QPZ67" s="122"/>
      <c r="QQA67" s="122"/>
      <c r="QQB67" s="122"/>
      <c r="QQC67" s="122"/>
      <c r="QQD67" s="122"/>
      <c r="QQE67" s="122"/>
      <c r="QQF67" s="122"/>
      <c r="QQG67" s="122"/>
      <c r="QQH67" s="122"/>
      <c r="QQI67" s="122"/>
      <c r="QQJ67" s="122"/>
      <c r="QQK67" s="122"/>
      <c r="QQL67" s="122"/>
      <c r="QQM67" s="122"/>
      <c r="QQN67" s="122"/>
      <c r="QQO67" s="122"/>
      <c r="QQP67" s="122"/>
      <c r="QQQ67" s="122"/>
      <c r="QQR67" s="122"/>
      <c r="QQS67" s="122"/>
      <c r="QQT67" s="122"/>
      <c r="QQU67" s="122"/>
      <c r="QQV67" s="122"/>
      <c r="QQW67" s="122"/>
      <c r="QQX67" s="122"/>
      <c r="QQY67" s="122"/>
      <c r="QQZ67" s="122"/>
      <c r="QRA67" s="122"/>
      <c r="QRB67" s="122"/>
      <c r="QRC67" s="122"/>
      <c r="QRD67" s="122"/>
      <c r="QRE67" s="122"/>
      <c r="QRF67" s="122"/>
      <c r="QRG67" s="122"/>
      <c r="QRH67" s="122"/>
      <c r="QRI67" s="122"/>
      <c r="QRJ67" s="122"/>
      <c r="QRK67" s="122"/>
      <c r="QRL67" s="122"/>
      <c r="QRM67" s="122"/>
      <c r="QRN67" s="122"/>
      <c r="QRO67" s="122"/>
      <c r="QRP67" s="122"/>
      <c r="QRQ67" s="122"/>
      <c r="QRR67" s="122"/>
      <c r="QRS67" s="122"/>
      <c r="QRT67" s="122"/>
      <c r="QRU67" s="122"/>
      <c r="QRV67" s="122"/>
      <c r="QRW67" s="122"/>
      <c r="QRX67" s="122"/>
      <c r="QRY67" s="122"/>
      <c r="QRZ67" s="122"/>
      <c r="QSA67" s="122"/>
      <c r="QSB67" s="122"/>
      <c r="QSC67" s="122"/>
      <c r="QSD67" s="122"/>
      <c r="QSE67" s="122"/>
      <c r="QSF67" s="122"/>
      <c r="QSG67" s="122"/>
      <c r="QSH67" s="122"/>
      <c r="QSI67" s="122"/>
      <c r="QSJ67" s="122"/>
      <c r="QSK67" s="122"/>
      <c r="QSL67" s="122"/>
      <c r="QSM67" s="122"/>
      <c r="QSN67" s="122"/>
      <c r="QSO67" s="122"/>
      <c r="QSP67" s="122"/>
      <c r="QSQ67" s="122"/>
      <c r="QSR67" s="122"/>
      <c r="QSS67" s="122"/>
      <c r="QST67" s="122"/>
      <c r="QSU67" s="122"/>
      <c r="QSV67" s="122"/>
      <c r="QSW67" s="122"/>
      <c r="QSX67" s="122"/>
      <c r="QSY67" s="122"/>
      <c r="QSZ67" s="122"/>
      <c r="QTA67" s="122"/>
      <c r="QTB67" s="122"/>
      <c r="QTC67" s="122"/>
      <c r="QTD67" s="122"/>
      <c r="QTE67" s="122"/>
      <c r="QTF67" s="122"/>
      <c r="QTG67" s="122"/>
      <c r="QTH67" s="122"/>
      <c r="QTI67" s="122"/>
      <c r="QTJ67" s="122"/>
      <c r="QTK67" s="122"/>
      <c r="QTL67" s="122"/>
      <c r="QTM67" s="122"/>
      <c r="QTN67" s="122"/>
      <c r="QTO67" s="122"/>
      <c r="QTP67" s="122"/>
      <c r="QTQ67" s="122"/>
      <c r="QTR67" s="122"/>
      <c r="QTS67" s="122"/>
      <c r="QTT67" s="122"/>
      <c r="QTU67" s="122"/>
      <c r="QTV67" s="122"/>
      <c r="QTW67" s="122"/>
      <c r="QTX67" s="122"/>
      <c r="QTY67" s="122"/>
      <c r="QTZ67" s="122"/>
      <c r="QUA67" s="122"/>
      <c r="QUB67" s="122"/>
      <c r="QUC67" s="122"/>
      <c r="QUD67" s="122"/>
      <c r="QUE67" s="122"/>
      <c r="QUF67" s="122"/>
      <c r="QUG67" s="122"/>
      <c r="QUH67" s="122"/>
      <c r="QUI67" s="122"/>
      <c r="QUJ67" s="122"/>
      <c r="QUK67" s="122"/>
      <c r="QUL67" s="122"/>
      <c r="QUM67" s="122"/>
      <c r="QUN67" s="122"/>
      <c r="QUO67" s="122"/>
      <c r="QUP67" s="122"/>
      <c r="QUQ67" s="122"/>
      <c r="QUR67" s="122"/>
      <c r="QUS67" s="122"/>
      <c r="QUT67" s="122"/>
      <c r="QUU67" s="122"/>
      <c r="QUV67" s="122"/>
      <c r="QUW67" s="122"/>
      <c r="QUX67" s="122"/>
      <c r="QUY67" s="122"/>
      <c r="QUZ67" s="122"/>
      <c r="QVA67" s="122"/>
      <c r="QVB67" s="122"/>
      <c r="QVC67" s="122"/>
      <c r="QVD67" s="122"/>
      <c r="QVE67" s="122"/>
      <c r="QVF67" s="122"/>
      <c r="QVG67" s="122"/>
      <c r="QVH67" s="122"/>
      <c r="QVI67" s="122"/>
      <c r="QVJ67" s="122"/>
      <c r="QVK67" s="122"/>
      <c r="QVL67" s="122"/>
      <c r="QVM67" s="122"/>
      <c r="QVN67" s="122"/>
      <c r="QVO67" s="122"/>
      <c r="QVP67" s="122"/>
      <c r="QVQ67" s="122"/>
      <c r="QVR67" s="122"/>
      <c r="QVS67" s="122"/>
      <c r="QVT67" s="122"/>
      <c r="QVU67" s="122"/>
      <c r="QVV67" s="122"/>
      <c r="QVW67" s="122"/>
      <c r="QVX67" s="122"/>
      <c r="QVY67" s="122"/>
      <c r="QVZ67" s="122"/>
      <c r="QWA67" s="122"/>
      <c r="QWB67" s="122"/>
      <c r="QWC67" s="122"/>
      <c r="QWD67" s="122"/>
      <c r="QWE67" s="122"/>
      <c r="QWF67" s="122"/>
      <c r="QWG67" s="122"/>
      <c r="QWH67" s="122"/>
      <c r="QWI67" s="122"/>
      <c r="QWJ67" s="122"/>
      <c r="QWK67" s="122"/>
      <c r="QWL67" s="122"/>
      <c r="QWM67" s="122"/>
      <c r="QWN67" s="122"/>
      <c r="QWO67" s="122"/>
      <c r="QWP67" s="122"/>
      <c r="QWQ67" s="122"/>
      <c r="QWR67" s="122"/>
      <c r="QWS67" s="122"/>
      <c r="QWT67" s="122"/>
      <c r="QWU67" s="122"/>
      <c r="QWV67" s="122"/>
      <c r="QWW67" s="122"/>
      <c r="QWX67" s="122"/>
      <c r="QWY67" s="122"/>
      <c r="QWZ67" s="122"/>
      <c r="QXA67" s="122"/>
      <c r="QXB67" s="122"/>
      <c r="QXC67" s="122"/>
      <c r="QXD67" s="122"/>
      <c r="QXE67" s="122"/>
      <c r="QXF67" s="122"/>
      <c r="QXG67" s="122"/>
      <c r="QXH67" s="122"/>
      <c r="QXI67" s="122"/>
      <c r="QXJ67" s="122"/>
      <c r="QXK67" s="122"/>
      <c r="QXL67" s="122"/>
      <c r="QXM67" s="122"/>
      <c r="QXN67" s="122"/>
      <c r="QXO67" s="122"/>
      <c r="QXP67" s="122"/>
      <c r="QXQ67" s="122"/>
      <c r="QXR67" s="122"/>
      <c r="QXS67" s="122"/>
      <c r="QXT67" s="122"/>
      <c r="QXU67" s="122"/>
      <c r="QXV67" s="122"/>
      <c r="QXW67" s="122"/>
      <c r="QXX67" s="122"/>
      <c r="QXY67" s="122"/>
      <c r="QXZ67" s="122"/>
      <c r="QYA67" s="122"/>
      <c r="QYB67" s="122"/>
      <c r="QYC67" s="122"/>
      <c r="QYD67" s="122"/>
      <c r="QYE67" s="122"/>
      <c r="QYF67" s="122"/>
      <c r="QYG67" s="122"/>
      <c r="QYH67" s="122"/>
      <c r="QYI67" s="122"/>
      <c r="QYJ67" s="122"/>
      <c r="QYK67" s="122"/>
      <c r="QYL67" s="122"/>
      <c r="QYM67" s="122"/>
      <c r="QYN67" s="122"/>
      <c r="QYO67" s="122"/>
      <c r="QYP67" s="122"/>
      <c r="QYQ67" s="122"/>
      <c r="QYR67" s="122"/>
      <c r="QYS67" s="122"/>
      <c r="QYT67" s="122"/>
      <c r="QYU67" s="122"/>
      <c r="QYV67" s="122"/>
      <c r="QYW67" s="122"/>
      <c r="QYX67" s="122"/>
      <c r="QYY67" s="122"/>
      <c r="QYZ67" s="122"/>
      <c r="QZA67" s="122"/>
      <c r="QZB67" s="122"/>
      <c r="QZC67" s="122"/>
      <c r="QZD67" s="122"/>
      <c r="QZE67" s="122"/>
      <c r="QZF67" s="122"/>
      <c r="QZG67" s="122"/>
      <c r="QZH67" s="122"/>
      <c r="QZI67" s="122"/>
      <c r="QZJ67" s="122"/>
      <c r="QZK67" s="122"/>
      <c r="QZL67" s="122"/>
      <c r="QZM67" s="122"/>
      <c r="QZN67" s="122"/>
      <c r="QZO67" s="122"/>
      <c r="QZP67" s="122"/>
      <c r="QZQ67" s="122"/>
      <c r="QZR67" s="122"/>
      <c r="QZS67" s="122"/>
      <c r="QZT67" s="122"/>
      <c r="QZU67" s="122"/>
      <c r="QZV67" s="122"/>
      <c r="QZW67" s="122"/>
      <c r="QZX67" s="122"/>
      <c r="QZY67" s="122"/>
      <c r="QZZ67" s="122"/>
      <c r="RAA67" s="122"/>
      <c r="RAB67" s="122"/>
      <c r="RAC67" s="122"/>
      <c r="RAD67" s="122"/>
      <c r="RAE67" s="122"/>
      <c r="RAF67" s="122"/>
      <c r="RAG67" s="122"/>
      <c r="RAH67" s="122"/>
      <c r="RAI67" s="122"/>
      <c r="RAJ67" s="122"/>
      <c r="RAK67" s="122"/>
      <c r="RAL67" s="122"/>
      <c r="RAM67" s="122"/>
      <c r="RAN67" s="122"/>
      <c r="RAO67" s="122"/>
      <c r="RAP67" s="122"/>
      <c r="RAQ67" s="122"/>
      <c r="RAR67" s="122"/>
      <c r="RAS67" s="122"/>
      <c r="RAT67" s="122"/>
      <c r="RAU67" s="122"/>
      <c r="RAV67" s="122"/>
      <c r="RAW67" s="122"/>
      <c r="RAX67" s="122"/>
      <c r="RAY67" s="122"/>
      <c r="RAZ67" s="122"/>
      <c r="RBA67" s="122"/>
      <c r="RBB67" s="122"/>
      <c r="RBC67" s="122"/>
      <c r="RBD67" s="122"/>
      <c r="RBE67" s="122"/>
      <c r="RBF67" s="122"/>
      <c r="RBG67" s="122"/>
      <c r="RBH67" s="122"/>
      <c r="RBI67" s="122"/>
      <c r="RBJ67" s="122"/>
      <c r="RBK67" s="122"/>
      <c r="RBL67" s="122"/>
      <c r="RBM67" s="122"/>
      <c r="RBN67" s="122"/>
      <c r="RBO67" s="122"/>
      <c r="RBP67" s="122"/>
      <c r="RBQ67" s="122"/>
      <c r="RBR67" s="122"/>
      <c r="RBS67" s="122"/>
      <c r="RBT67" s="122"/>
      <c r="RBU67" s="122"/>
      <c r="RBV67" s="122"/>
      <c r="RBW67" s="122"/>
      <c r="RBX67" s="122"/>
      <c r="RBY67" s="122"/>
      <c r="RBZ67" s="122"/>
      <c r="RCA67" s="122"/>
      <c r="RCB67" s="122"/>
      <c r="RCC67" s="122"/>
      <c r="RCD67" s="122"/>
      <c r="RCE67" s="122"/>
      <c r="RCF67" s="122"/>
      <c r="RCG67" s="122"/>
      <c r="RCH67" s="122"/>
      <c r="RCI67" s="122"/>
      <c r="RCJ67" s="122"/>
      <c r="RCK67" s="122"/>
      <c r="RCL67" s="122"/>
      <c r="RCM67" s="122"/>
      <c r="RCN67" s="122"/>
      <c r="RCO67" s="122"/>
      <c r="RCP67" s="122"/>
      <c r="RCQ67" s="122"/>
      <c r="RCR67" s="122"/>
      <c r="RCS67" s="122"/>
      <c r="RCT67" s="122"/>
      <c r="RCU67" s="122"/>
      <c r="RCV67" s="122"/>
      <c r="RCW67" s="122"/>
      <c r="RCX67" s="122"/>
      <c r="RCY67" s="122"/>
      <c r="RCZ67" s="122"/>
      <c r="RDA67" s="122"/>
      <c r="RDB67" s="122"/>
      <c r="RDC67" s="122"/>
      <c r="RDD67" s="122"/>
      <c r="RDE67" s="122"/>
      <c r="RDF67" s="122"/>
      <c r="RDG67" s="122"/>
      <c r="RDH67" s="122"/>
      <c r="RDI67" s="122"/>
      <c r="RDJ67" s="122"/>
      <c r="RDK67" s="122"/>
      <c r="RDL67" s="122"/>
      <c r="RDM67" s="122"/>
      <c r="RDN67" s="122"/>
      <c r="RDO67" s="122"/>
      <c r="RDP67" s="122"/>
      <c r="RDQ67" s="122"/>
      <c r="RDR67" s="122"/>
      <c r="RDS67" s="122"/>
      <c r="RDT67" s="122"/>
      <c r="RDU67" s="122"/>
      <c r="RDV67" s="122"/>
      <c r="RDW67" s="122"/>
      <c r="RDX67" s="122"/>
      <c r="RDY67" s="122"/>
      <c r="RDZ67" s="122"/>
      <c r="REA67" s="122"/>
      <c r="REB67" s="122"/>
      <c r="REC67" s="122"/>
      <c r="RED67" s="122"/>
      <c r="REE67" s="122"/>
      <c r="REF67" s="122"/>
      <c r="REG67" s="122"/>
      <c r="REH67" s="122"/>
      <c r="REI67" s="122"/>
      <c r="REJ67" s="122"/>
      <c r="REK67" s="122"/>
      <c r="REL67" s="122"/>
      <c r="REM67" s="122"/>
      <c r="REN67" s="122"/>
      <c r="REO67" s="122"/>
      <c r="REP67" s="122"/>
      <c r="REQ67" s="122"/>
      <c r="RER67" s="122"/>
      <c r="RES67" s="122"/>
      <c r="RET67" s="122"/>
      <c r="REU67" s="122"/>
      <c r="REV67" s="122"/>
      <c r="REW67" s="122"/>
      <c r="REX67" s="122"/>
      <c r="REY67" s="122"/>
      <c r="REZ67" s="122"/>
      <c r="RFA67" s="122"/>
      <c r="RFB67" s="122"/>
      <c r="RFC67" s="122"/>
      <c r="RFD67" s="122"/>
      <c r="RFE67" s="122"/>
      <c r="RFF67" s="122"/>
      <c r="RFG67" s="122"/>
      <c r="RFH67" s="122"/>
      <c r="RFI67" s="122"/>
      <c r="RFJ67" s="122"/>
      <c r="RFK67" s="122"/>
      <c r="RFL67" s="122"/>
      <c r="RFM67" s="122"/>
      <c r="RFN67" s="122"/>
      <c r="RFO67" s="122"/>
      <c r="RFP67" s="122"/>
      <c r="RFQ67" s="122"/>
      <c r="RFR67" s="122"/>
      <c r="RFS67" s="122"/>
      <c r="RFT67" s="122"/>
      <c r="RFU67" s="122"/>
      <c r="RFV67" s="122"/>
      <c r="RFW67" s="122"/>
      <c r="RFX67" s="122"/>
      <c r="RFY67" s="122"/>
      <c r="RFZ67" s="122"/>
      <c r="RGA67" s="122"/>
      <c r="RGB67" s="122"/>
      <c r="RGC67" s="122"/>
      <c r="RGD67" s="122"/>
      <c r="RGE67" s="122"/>
      <c r="RGF67" s="122"/>
      <c r="RGG67" s="122"/>
      <c r="RGH67" s="122"/>
      <c r="RGI67" s="122"/>
      <c r="RGJ67" s="122"/>
      <c r="RGK67" s="122"/>
      <c r="RGL67" s="122"/>
      <c r="RGM67" s="122"/>
      <c r="RGN67" s="122"/>
      <c r="RGO67" s="122"/>
      <c r="RGP67" s="122"/>
      <c r="RGQ67" s="122"/>
      <c r="RGR67" s="122"/>
      <c r="RGS67" s="122"/>
      <c r="RGT67" s="122"/>
      <c r="RGU67" s="122"/>
      <c r="RGV67" s="122"/>
      <c r="RGW67" s="122"/>
      <c r="RGX67" s="122"/>
      <c r="RGY67" s="122"/>
      <c r="RGZ67" s="122"/>
      <c r="RHA67" s="122"/>
      <c r="RHB67" s="122"/>
      <c r="RHC67" s="122"/>
      <c r="RHD67" s="122"/>
      <c r="RHE67" s="122"/>
      <c r="RHF67" s="122"/>
      <c r="RHG67" s="122"/>
      <c r="RHH67" s="122"/>
      <c r="RHI67" s="122"/>
      <c r="RHJ67" s="122"/>
      <c r="RHK67" s="122"/>
      <c r="RHL67" s="122"/>
      <c r="RHM67" s="122"/>
      <c r="RHN67" s="122"/>
      <c r="RHO67" s="122"/>
      <c r="RHP67" s="122"/>
      <c r="RHQ67" s="122"/>
      <c r="RHR67" s="122"/>
      <c r="RHS67" s="122"/>
      <c r="RHT67" s="122"/>
      <c r="RHU67" s="122"/>
      <c r="RHV67" s="122"/>
      <c r="RHW67" s="122"/>
      <c r="RHX67" s="122"/>
      <c r="RHY67" s="122"/>
      <c r="RHZ67" s="122"/>
      <c r="RIA67" s="122"/>
      <c r="RIB67" s="122"/>
      <c r="RIC67" s="122"/>
      <c r="RID67" s="122"/>
      <c r="RIE67" s="122"/>
      <c r="RIF67" s="122"/>
      <c r="RIG67" s="122"/>
      <c r="RIH67" s="122"/>
      <c r="RII67" s="122"/>
      <c r="RIJ67" s="122"/>
      <c r="RIK67" s="122"/>
      <c r="RIL67" s="122"/>
      <c r="RIM67" s="122"/>
      <c r="RIN67" s="122"/>
      <c r="RIO67" s="122"/>
      <c r="RIP67" s="122"/>
      <c r="RIQ67" s="122"/>
      <c r="RIR67" s="122"/>
      <c r="RIS67" s="122"/>
      <c r="RIT67" s="122"/>
      <c r="RIU67" s="122"/>
      <c r="RIV67" s="122"/>
      <c r="RIW67" s="122"/>
      <c r="RIX67" s="122"/>
      <c r="RIY67" s="122"/>
      <c r="RIZ67" s="122"/>
      <c r="RJA67" s="122"/>
      <c r="RJB67" s="122"/>
      <c r="RJC67" s="122"/>
      <c r="RJD67" s="122"/>
      <c r="RJE67" s="122"/>
      <c r="RJF67" s="122"/>
      <c r="RJG67" s="122"/>
      <c r="RJH67" s="122"/>
      <c r="RJI67" s="122"/>
      <c r="RJJ67" s="122"/>
      <c r="RJK67" s="122"/>
      <c r="RJL67" s="122"/>
      <c r="RJM67" s="122"/>
      <c r="RJN67" s="122"/>
      <c r="RJO67" s="122"/>
      <c r="RJP67" s="122"/>
      <c r="RJQ67" s="122"/>
      <c r="RJR67" s="122"/>
      <c r="RJS67" s="122"/>
      <c r="RJT67" s="122"/>
      <c r="RJU67" s="122"/>
      <c r="RJV67" s="122"/>
      <c r="RJW67" s="122"/>
      <c r="RJX67" s="122"/>
      <c r="RJY67" s="122"/>
      <c r="RJZ67" s="122"/>
      <c r="RKA67" s="122"/>
      <c r="RKB67" s="122"/>
      <c r="RKC67" s="122"/>
      <c r="RKD67" s="122"/>
      <c r="RKE67" s="122"/>
      <c r="RKF67" s="122"/>
      <c r="RKG67" s="122"/>
      <c r="RKH67" s="122"/>
      <c r="RKI67" s="122"/>
      <c r="RKJ67" s="122"/>
      <c r="RKK67" s="122"/>
      <c r="RKL67" s="122"/>
      <c r="RKM67" s="122"/>
      <c r="RKN67" s="122"/>
      <c r="RKO67" s="122"/>
      <c r="RKP67" s="122"/>
      <c r="RKQ67" s="122"/>
      <c r="RKR67" s="122"/>
      <c r="RKS67" s="122"/>
      <c r="RKT67" s="122"/>
      <c r="RKU67" s="122"/>
      <c r="RKV67" s="122"/>
      <c r="RKW67" s="122"/>
      <c r="RKX67" s="122"/>
      <c r="RKY67" s="122"/>
      <c r="RKZ67" s="122"/>
      <c r="RLA67" s="122"/>
      <c r="RLB67" s="122"/>
      <c r="RLC67" s="122"/>
      <c r="RLD67" s="122"/>
      <c r="RLE67" s="122"/>
      <c r="RLF67" s="122"/>
      <c r="RLG67" s="122"/>
      <c r="RLH67" s="122"/>
      <c r="RLI67" s="122"/>
      <c r="RLJ67" s="122"/>
      <c r="RLK67" s="122"/>
      <c r="RLL67" s="122"/>
      <c r="RLM67" s="122"/>
      <c r="RLN67" s="122"/>
      <c r="RLO67" s="122"/>
      <c r="RLP67" s="122"/>
      <c r="RLQ67" s="122"/>
      <c r="RLR67" s="122"/>
      <c r="RLS67" s="122"/>
      <c r="RLT67" s="122"/>
      <c r="RLU67" s="122"/>
      <c r="RLV67" s="122"/>
      <c r="RLW67" s="122"/>
      <c r="RLX67" s="122"/>
      <c r="RLY67" s="122"/>
      <c r="RLZ67" s="122"/>
      <c r="RMA67" s="122"/>
      <c r="RMB67" s="122"/>
      <c r="RMC67" s="122"/>
      <c r="RMD67" s="122"/>
      <c r="RME67" s="122"/>
      <c r="RMF67" s="122"/>
      <c r="RMG67" s="122"/>
      <c r="RMH67" s="122"/>
      <c r="RMI67" s="122"/>
      <c r="RMJ67" s="122"/>
      <c r="RMK67" s="122"/>
      <c r="RML67" s="122"/>
      <c r="RMM67" s="122"/>
      <c r="RMN67" s="122"/>
      <c r="RMO67" s="122"/>
      <c r="RMP67" s="122"/>
      <c r="RMQ67" s="122"/>
      <c r="RMR67" s="122"/>
      <c r="RMS67" s="122"/>
      <c r="RMT67" s="122"/>
      <c r="RMU67" s="122"/>
      <c r="RMV67" s="122"/>
      <c r="RMW67" s="122"/>
      <c r="RMX67" s="122"/>
      <c r="RMY67" s="122"/>
      <c r="RMZ67" s="122"/>
      <c r="RNA67" s="122"/>
      <c r="RNB67" s="122"/>
      <c r="RNC67" s="122"/>
      <c r="RND67" s="122"/>
      <c r="RNE67" s="122"/>
      <c r="RNF67" s="122"/>
      <c r="RNG67" s="122"/>
      <c r="RNH67" s="122"/>
      <c r="RNI67" s="122"/>
      <c r="RNJ67" s="122"/>
      <c r="RNK67" s="122"/>
      <c r="RNL67" s="122"/>
      <c r="RNM67" s="122"/>
      <c r="RNN67" s="122"/>
      <c r="RNO67" s="122"/>
      <c r="RNP67" s="122"/>
      <c r="RNQ67" s="122"/>
      <c r="RNR67" s="122"/>
      <c r="RNS67" s="122"/>
      <c r="RNT67" s="122"/>
      <c r="RNU67" s="122"/>
      <c r="RNV67" s="122"/>
      <c r="RNW67" s="122"/>
      <c r="RNX67" s="122"/>
      <c r="RNY67" s="122"/>
      <c r="RNZ67" s="122"/>
      <c r="ROA67" s="122"/>
      <c r="ROB67" s="122"/>
      <c r="ROC67" s="122"/>
      <c r="ROD67" s="122"/>
      <c r="ROE67" s="122"/>
      <c r="ROF67" s="122"/>
      <c r="ROG67" s="122"/>
      <c r="ROH67" s="122"/>
      <c r="ROI67" s="122"/>
      <c r="ROJ67" s="122"/>
      <c r="ROK67" s="122"/>
      <c r="ROL67" s="122"/>
      <c r="ROM67" s="122"/>
      <c r="RON67" s="122"/>
      <c r="ROO67" s="122"/>
      <c r="ROP67" s="122"/>
      <c r="ROQ67" s="122"/>
      <c r="ROR67" s="122"/>
      <c r="ROS67" s="122"/>
      <c r="ROT67" s="122"/>
      <c r="ROU67" s="122"/>
      <c r="ROV67" s="122"/>
      <c r="ROW67" s="122"/>
      <c r="ROX67" s="122"/>
      <c r="ROY67" s="122"/>
      <c r="ROZ67" s="122"/>
      <c r="RPA67" s="122"/>
      <c r="RPB67" s="122"/>
      <c r="RPC67" s="122"/>
      <c r="RPD67" s="122"/>
      <c r="RPE67" s="122"/>
      <c r="RPF67" s="122"/>
      <c r="RPG67" s="122"/>
      <c r="RPH67" s="122"/>
      <c r="RPI67" s="122"/>
      <c r="RPJ67" s="122"/>
      <c r="RPK67" s="122"/>
      <c r="RPL67" s="122"/>
      <c r="RPM67" s="122"/>
      <c r="RPN67" s="122"/>
      <c r="RPO67" s="122"/>
      <c r="RPP67" s="122"/>
      <c r="RPQ67" s="122"/>
      <c r="RPR67" s="122"/>
      <c r="RPS67" s="122"/>
      <c r="RPT67" s="122"/>
      <c r="RPU67" s="122"/>
      <c r="RPV67" s="122"/>
      <c r="RPW67" s="122"/>
      <c r="RPX67" s="122"/>
      <c r="RPY67" s="122"/>
      <c r="RPZ67" s="122"/>
      <c r="RQA67" s="122"/>
      <c r="RQB67" s="122"/>
      <c r="RQC67" s="122"/>
      <c r="RQD67" s="122"/>
      <c r="RQE67" s="122"/>
      <c r="RQF67" s="122"/>
      <c r="RQG67" s="122"/>
      <c r="RQH67" s="122"/>
      <c r="RQI67" s="122"/>
      <c r="RQJ67" s="122"/>
      <c r="RQK67" s="122"/>
      <c r="RQL67" s="122"/>
      <c r="RQM67" s="122"/>
      <c r="RQN67" s="122"/>
      <c r="RQO67" s="122"/>
      <c r="RQP67" s="122"/>
      <c r="RQQ67" s="122"/>
      <c r="RQR67" s="122"/>
      <c r="RQS67" s="122"/>
      <c r="RQT67" s="122"/>
      <c r="RQU67" s="122"/>
      <c r="RQV67" s="122"/>
      <c r="RQW67" s="122"/>
      <c r="RQX67" s="122"/>
      <c r="RQY67" s="122"/>
      <c r="RQZ67" s="122"/>
      <c r="RRA67" s="122"/>
      <c r="RRB67" s="122"/>
      <c r="RRC67" s="122"/>
      <c r="RRD67" s="122"/>
      <c r="RRE67" s="122"/>
      <c r="RRF67" s="122"/>
      <c r="RRG67" s="122"/>
      <c r="RRH67" s="122"/>
      <c r="RRI67" s="122"/>
      <c r="RRJ67" s="122"/>
      <c r="RRK67" s="122"/>
      <c r="RRL67" s="122"/>
      <c r="RRM67" s="122"/>
      <c r="RRN67" s="122"/>
      <c r="RRO67" s="122"/>
      <c r="RRP67" s="122"/>
      <c r="RRQ67" s="122"/>
      <c r="RRR67" s="122"/>
      <c r="RRS67" s="122"/>
      <c r="RRT67" s="122"/>
      <c r="RRU67" s="122"/>
      <c r="RRV67" s="122"/>
      <c r="RRW67" s="122"/>
      <c r="RRX67" s="122"/>
      <c r="RRY67" s="122"/>
      <c r="RRZ67" s="122"/>
      <c r="RSA67" s="122"/>
      <c r="RSB67" s="122"/>
      <c r="RSC67" s="122"/>
      <c r="RSD67" s="122"/>
      <c r="RSE67" s="122"/>
      <c r="RSF67" s="122"/>
      <c r="RSG67" s="122"/>
      <c r="RSH67" s="122"/>
      <c r="RSI67" s="122"/>
      <c r="RSJ67" s="122"/>
      <c r="RSK67" s="122"/>
      <c r="RSL67" s="122"/>
      <c r="RSM67" s="122"/>
      <c r="RSN67" s="122"/>
      <c r="RSO67" s="122"/>
      <c r="RSP67" s="122"/>
      <c r="RSQ67" s="122"/>
      <c r="RSR67" s="122"/>
      <c r="RSS67" s="122"/>
      <c r="RST67" s="122"/>
      <c r="RSU67" s="122"/>
      <c r="RSV67" s="122"/>
      <c r="RSW67" s="122"/>
      <c r="RSX67" s="122"/>
      <c r="RSY67" s="122"/>
      <c r="RSZ67" s="122"/>
      <c r="RTA67" s="122"/>
      <c r="RTB67" s="122"/>
      <c r="RTC67" s="122"/>
      <c r="RTD67" s="122"/>
      <c r="RTE67" s="122"/>
      <c r="RTF67" s="122"/>
      <c r="RTG67" s="122"/>
      <c r="RTH67" s="122"/>
      <c r="RTI67" s="122"/>
      <c r="RTJ67" s="122"/>
      <c r="RTK67" s="122"/>
      <c r="RTL67" s="122"/>
      <c r="RTM67" s="122"/>
      <c r="RTN67" s="122"/>
      <c r="RTO67" s="122"/>
      <c r="RTP67" s="122"/>
      <c r="RTQ67" s="122"/>
      <c r="RTR67" s="122"/>
      <c r="RTS67" s="122"/>
      <c r="RTT67" s="122"/>
      <c r="RTU67" s="122"/>
      <c r="RTV67" s="122"/>
      <c r="RTW67" s="122"/>
      <c r="RTX67" s="122"/>
      <c r="RTY67" s="122"/>
      <c r="RTZ67" s="122"/>
      <c r="RUA67" s="122"/>
      <c r="RUB67" s="122"/>
      <c r="RUC67" s="122"/>
      <c r="RUD67" s="122"/>
      <c r="RUE67" s="122"/>
      <c r="RUF67" s="122"/>
      <c r="RUG67" s="122"/>
      <c r="RUH67" s="122"/>
      <c r="RUI67" s="122"/>
      <c r="RUJ67" s="122"/>
      <c r="RUK67" s="122"/>
      <c r="RUL67" s="122"/>
      <c r="RUM67" s="122"/>
      <c r="RUN67" s="122"/>
      <c r="RUO67" s="122"/>
      <c r="RUP67" s="122"/>
      <c r="RUQ67" s="122"/>
      <c r="RUR67" s="122"/>
      <c r="RUS67" s="122"/>
      <c r="RUT67" s="122"/>
      <c r="RUU67" s="122"/>
      <c r="RUV67" s="122"/>
      <c r="RUW67" s="122"/>
      <c r="RUX67" s="122"/>
      <c r="RUY67" s="122"/>
      <c r="RUZ67" s="122"/>
      <c r="RVA67" s="122"/>
      <c r="RVB67" s="122"/>
      <c r="RVC67" s="122"/>
      <c r="RVD67" s="122"/>
      <c r="RVE67" s="122"/>
      <c r="RVF67" s="122"/>
      <c r="RVG67" s="122"/>
      <c r="RVH67" s="122"/>
      <c r="RVI67" s="122"/>
      <c r="RVJ67" s="122"/>
      <c r="RVK67" s="122"/>
      <c r="RVL67" s="122"/>
      <c r="RVM67" s="122"/>
      <c r="RVN67" s="122"/>
      <c r="RVO67" s="122"/>
      <c r="RVP67" s="122"/>
      <c r="RVQ67" s="122"/>
      <c r="RVR67" s="122"/>
      <c r="RVS67" s="122"/>
      <c r="RVT67" s="122"/>
      <c r="RVU67" s="122"/>
      <c r="RVV67" s="122"/>
      <c r="RVW67" s="122"/>
      <c r="RVX67" s="122"/>
      <c r="RVY67" s="122"/>
      <c r="RVZ67" s="122"/>
      <c r="RWA67" s="122"/>
      <c r="RWB67" s="122"/>
      <c r="RWC67" s="122"/>
      <c r="RWD67" s="122"/>
      <c r="RWE67" s="122"/>
      <c r="RWF67" s="122"/>
      <c r="RWG67" s="122"/>
      <c r="RWH67" s="122"/>
      <c r="RWI67" s="122"/>
      <c r="RWJ67" s="122"/>
      <c r="RWK67" s="122"/>
      <c r="RWL67" s="122"/>
      <c r="RWM67" s="122"/>
      <c r="RWN67" s="122"/>
      <c r="RWO67" s="122"/>
      <c r="RWP67" s="122"/>
      <c r="RWQ67" s="122"/>
      <c r="RWR67" s="122"/>
      <c r="RWS67" s="122"/>
      <c r="RWT67" s="122"/>
      <c r="RWU67" s="122"/>
      <c r="RWV67" s="122"/>
      <c r="RWW67" s="122"/>
      <c r="RWX67" s="122"/>
      <c r="RWY67" s="122"/>
      <c r="RWZ67" s="122"/>
      <c r="RXA67" s="122"/>
      <c r="RXB67" s="122"/>
      <c r="RXC67" s="122"/>
      <c r="RXD67" s="122"/>
      <c r="RXE67" s="122"/>
      <c r="RXF67" s="122"/>
      <c r="RXG67" s="122"/>
      <c r="RXH67" s="122"/>
      <c r="RXI67" s="122"/>
      <c r="RXJ67" s="122"/>
      <c r="RXK67" s="122"/>
      <c r="RXL67" s="122"/>
      <c r="RXM67" s="122"/>
      <c r="RXN67" s="122"/>
      <c r="RXO67" s="122"/>
      <c r="RXP67" s="122"/>
      <c r="RXQ67" s="122"/>
      <c r="RXR67" s="122"/>
      <c r="RXS67" s="122"/>
      <c r="RXT67" s="122"/>
      <c r="RXU67" s="122"/>
      <c r="RXV67" s="122"/>
      <c r="RXW67" s="122"/>
      <c r="RXX67" s="122"/>
      <c r="RXY67" s="122"/>
      <c r="RXZ67" s="122"/>
      <c r="RYA67" s="122"/>
      <c r="RYB67" s="122"/>
      <c r="RYC67" s="122"/>
      <c r="RYD67" s="122"/>
      <c r="RYE67" s="122"/>
      <c r="RYF67" s="122"/>
      <c r="RYG67" s="122"/>
      <c r="RYH67" s="122"/>
      <c r="RYI67" s="122"/>
      <c r="RYJ67" s="122"/>
      <c r="RYK67" s="122"/>
      <c r="RYL67" s="122"/>
      <c r="RYM67" s="122"/>
      <c r="RYN67" s="122"/>
      <c r="RYO67" s="122"/>
      <c r="RYP67" s="122"/>
      <c r="RYQ67" s="122"/>
      <c r="RYR67" s="122"/>
      <c r="RYS67" s="122"/>
      <c r="RYT67" s="122"/>
      <c r="RYU67" s="122"/>
      <c r="RYV67" s="122"/>
      <c r="RYW67" s="122"/>
      <c r="RYX67" s="122"/>
      <c r="RYY67" s="122"/>
      <c r="RYZ67" s="122"/>
      <c r="RZA67" s="122"/>
      <c r="RZB67" s="122"/>
      <c r="RZC67" s="122"/>
      <c r="RZD67" s="122"/>
      <c r="RZE67" s="122"/>
      <c r="RZF67" s="122"/>
      <c r="RZG67" s="122"/>
      <c r="RZH67" s="122"/>
      <c r="RZI67" s="122"/>
      <c r="RZJ67" s="122"/>
      <c r="RZK67" s="122"/>
      <c r="RZL67" s="122"/>
      <c r="RZM67" s="122"/>
      <c r="RZN67" s="122"/>
      <c r="RZO67" s="122"/>
      <c r="RZP67" s="122"/>
      <c r="RZQ67" s="122"/>
      <c r="RZR67" s="122"/>
      <c r="RZS67" s="122"/>
      <c r="RZT67" s="122"/>
      <c r="RZU67" s="122"/>
      <c r="RZV67" s="122"/>
      <c r="RZW67" s="122"/>
      <c r="RZX67" s="122"/>
      <c r="RZY67" s="122"/>
      <c r="RZZ67" s="122"/>
      <c r="SAA67" s="122"/>
      <c r="SAB67" s="122"/>
      <c r="SAC67" s="122"/>
      <c r="SAD67" s="122"/>
      <c r="SAE67" s="122"/>
      <c r="SAF67" s="122"/>
      <c r="SAG67" s="122"/>
      <c r="SAH67" s="122"/>
      <c r="SAI67" s="122"/>
      <c r="SAJ67" s="122"/>
      <c r="SAK67" s="122"/>
      <c r="SAL67" s="122"/>
      <c r="SAM67" s="122"/>
      <c r="SAN67" s="122"/>
      <c r="SAO67" s="122"/>
      <c r="SAP67" s="122"/>
      <c r="SAQ67" s="122"/>
      <c r="SAR67" s="122"/>
      <c r="SAS67" s="122"/>
      <c r="SAT67" s="122"/>
      <c r="SAU67" s="122"/>
      <c r="SAV67" s="122"/>
      <c r="SAW67" s="122"/>
      <c r="SAX67" s="122"/>
      <c r="SAY67" s="122"/>
      <c r="SAZ67" s="122"/>
      <c r="SBA67" s="122"/>
      <c r="SBB67" s="122"/>
      <c r="SBC67" s="122"/>
      <c r="SBD67" s="122"/>
      <c r="SBE67" s="122"/>
      <c r="SBF67" s="122"/>
      <c r="SBG67" s="122"/>
      <c r="SBH67" s="122"/>
      <c r="SBI67" s="122"/>
      <c r="SBJ67" s="122"/>
      <c r="SBK67" s="122"/>
      <c r="SBL67" s="122"/>
      <c r="SBM67" s="122"/>
      <c r="SBN67" s="122"/>
      <c r="SBO67" s="122"/>
      <c r="SBP67" s="122"/>
      <c r="SBQ67" s="122"/>
      <c r="SBR67" s="122"/>
      <c r="SBS67" s="122"/>
      <c r="SBT67" s="122"/>
      <c r="SBU67" s="122"/>
      <c r="SBV67" s="122"/>
      <c r="SBW67" s="122"/>
      <c r="SBX67" s="122"/>
      <c r="SBY67" s="122"/>
      <c r="SBZ67" s="122"/>
      <c r="SCA67" s="122"/>
      <c r="SCB67" s="122"/>
      <c r="SCC67" s="122"/>
      <c r="SCD67" s="122"/>
      <c r="SCE67" s="122"/>
      <c r="SCF67" s="122"/>
      <c r="SCG67" s="122"/>
      <c r="SCH67" s="122"/>
      <c r="SCI67" s="122"/>
      <c r="SCJ67" s="122"/>
      <c r="SCK67" s="122"/>
      <c r="SCL67" s="122"/>
      <c r="SCM67" s="122"/>
      <c r="SCN67" s="122"/>
      <c r="SCO67" s="122"/>
      <c r="SCP67" s="122"/>
      <c r="SCQ67" s="122"/>
      <c r="SCR67" s="122"/>
      <c r="SCS67" s="122"/>
      <c r="SCT67" s="122"/>
      <c r="SCU67" s="122"/>
      <c r="SCV67" s="122"/>
      <c r="SCW67" s="122"/>
      <c r="SCX67" s="122"/>
      <c r="SCY67" s="122"/>
      <c r="SCZ67" s="122"/>
      <c r="SDA67" s="122"/>
      <c r="SDB67" s="122"/>
      <c r="SDC67" s="122"/>
      <c r="SDD67" s="122"/>
      <c r="SDE67" s="122"/>
      <c r="SDF67" s="122"/>
      <c r="SDG67" s="122"/>
      <c r="SDH67" s="122"/>
      <c r="SDI67" s="122"/>
      <c r="SDJ67" s="122"/>
      <c r="SDK67" s="122"/>
      <c r="SDL67" s="122"/>
      <c r="SDM67" s="122"/>
      <c r="SDN67" s="122"/>
      <c r="SDO67" s="122"/>
      <c r="SDP67" s="122"/>
      <c r="SDQ67" s="122"/>
      <c r="SDR67" s="122"/>
      <c r="SDS67" s="122"/>
      <c r="SDT67" s="122"/>
      <c r="SDU67" s="122"/>
      <c r="SDV67" s="122"/>
      <c r="SDW67" s="122"/>
      <c r="SDX67" s="122"/>
      <c r="SDY67" s="122"/>
      <c r="SDZ67" s="122"/>
      <c r="SEA67" s="122"/>
      <c r="SEB67" s="122"/>
      <c r="SEC67" s="122"/>
      <c r="SED67" s="122"/>
      <c r="SEE67" s="122"/>
      <c r="SEF67" s="122"/>
      <c r="SEG67" s="122"/>
      <c r="SEH67" s="122"/>
      <c r="SEI67" s="122"/>
      <c r="SEJ67" s="122"/>
      <c r="SEK67" s="122"/>
      <c r="SEL67" s="122"/>
      <c r="SEM67" s="122"/>
      <c r="SEN67" s="122"/>
      <c r="SEO67" s="122"/>
      <c r="SEP67" s="122"/>
      <c r="SEQ67" s="122"/>
      <c r="SER67" s="122"/>
      <c r="SES67" s="122"/>
      <c r="SET67" s="122"/>
      <c r="SEU67" s="122"/>
      <c r="SEV67" s="122"/>
      <c r="SEW67" s="122"/>
      <c r="SEX67" s="122"/>
      <c r="SEY67" s="122"/>
      <c r="SEZ67" s="122"/>
      <c r="SFA67" s="122"/>
      <c r="SFB67" s="122"/>
      <c r="SFC67" s="122"/>
      <c r="SFD67" s="122"/>
      <c r="SFE67" s="122"/>
      <c r="SFF67" s="122"/>
      <c r="SFG67" s="122"/>
      <c r="SFH67" s="122"/>
      <c r="SFI67" s="122"/>
      <c r="SFJ67" s="122"/>
      <c r="SFK67" s="122"/>
      <c r="SFL67" s="122"/>
      <c r="SFM67" s="122"/>
      <c r="SFN67" s="122"/>
      <c r="SFO67" s="122"/>
      <c r="SFP67" s="122"/>
      <c r="SFQ67" s="122"/>
      <c r="SFR67" s="122"/>
      <c r="SFS67" s="122"/>
      <c r="SFT67" s="122"/>
      <c r="SFU67" s="122"/>
      <c r="SFV67" s="122"/>
      <c r="SFW67" s="122"/>
      <c r="SFX67" s="122"/>
      <c r="SFY67" s="122"/>
      <c r="SFZ67" s="122"/>
      <c r="SGA67" s="122"/>
      <c r="SGB67" s="122"/>
      <c r="SGC67" s="122"/>
      <c r="SGD67" s="122"/>
      <c r="SGE67" s="122"/>
      <c r="SGF67" s="122"/>
      <c r="SGG67" s="122"/>
      <c r="SGH67" s="122"/>
      <c r="SGI67" s="122"/>
      <c r="SGJ67" s="122"/>
      <c r="SGK67" s="122"/>
      <c r="SGL67" s="122"/>
      <c r="SGM67" s="122"/>
      <c r="SGN67" s="122"/>
      <c r="SGO67" s="122"/>
      <c r="SGP67" s="122"/>
      <c r="SGQ67" s="122"/>
      <c r="SGR67" s="122"/>
      <c r="SGS67" s="122"/>
      <c r="SGT67" s="122"/>
      <c r="SGU67" s="122"/>
      <c r="SGV67" s="122"/>
      <c r="SGW67" s="122"/>
      <c r="SGX67" s="122"/>
      <c r="SGY67" s="122"/>
      <c r="SGZ67" s="122"/>
      <c r="SHA67" s="122"/>
      <c r="SHB67" s="122"/>
      <c r="SHC67" s="122"/>
      <c r="SHD67" s="122"/>
      <c r="SHE67" s="122"/>
      <c r="SHF67" s="122"/>
      <c r="SHG67" s="122"/>
      <c r="SHH67" s="122"/>
      <c r="SHI67" s="122"/>
      <c r="SHJ67" s="122"/>
      <c r="SHK67" s="122"/>
      <c r="SHL67" s="122"/>
      <c r="SHM67" s="122"/>
      <c r="SHN67" s="122"/>
      <c r="SHO67" s="122"/>
      <c r="SHP67" s="122"/>
      <c r="SHQ67" s="122"/>
      <c r="SHR67" s="122"/>
      <c r="SHS67" s="122"/>
      <c r="SHT67" s="122"/>
      <c r="SHU67" s="122"/>
      <c r="SHV67" s="122"/>
      <c r="SHW67" s="122"/>
      <c r="SHX67" s="122"/>
      <c r="SHY67" s="122"/>
      <c r="SHZ67" s="122"/>
      <c r="SIA67" s="122"/>
      <c r="SIB67" s="122"/>
      <c r="SIC67" s="122"/>
      <c r="SID67" s="122"/>
      <c r="SIE67" s="122"/>
      <c r="SIF67" s="122"/>
      <c r="SIG67" s="122"/>
      <c r="SIH67" s="122"/>
      <c r="SII67" s="122"/>
      <c r="SIJ67" s="122"/>
      <c r="SIK67" s="122"/>
      <c r="SIL67" s="122"/>
      <c r="SIM67" s="122"/>
      <c r="SIN67" s="122"/>
      <c r="SIO67" s="122"/>
      <c r="SIP67" s="122"/>
      <c r="SIQ67" s="122"/>
      <c r="SIR67" s="122"/>
      <c r="SIS67" s="122"/>
      <c r="SIT67" s="122"/>
      <c r="SIU67" s="122"/>
      <c r="SIV67" s="122"/>
      <c r="SIW67" s="122"/>
      <c r="SIX67" s="122"/>
      <c r="SIY67" s="122"/>
      <c r="SIZ67" s="122"/>
      <c r="SJA67" s="122"/>
      <c r="SJB67" s="122"/>
      <c r="SJC67" s="122"/>
      <c r="SJD67" s="122"/>
      <c r="SJE67" s="122"/>
      <c r="SJF67" s="122"/>
      <c r="SJG67" s="122"/>
      <c r="SJH67" s="122"/>
      <c r="SJI67" s="122"/>
      <c r="SJJ67" s="122"/>
      <c r="SJK67" s="122"/>
      <c r="SJL67" s="122"/>
      <c r="SJM67" s="122"/>
      <c r="SJN67" s="122"/>
      <c r="SJO67" s="122"/>
      <c r="SJP67" s="122"/>
      <c r="SJQ67" s="122"/>
      <c r="SJR67" s="122"/>
      <c r="SJS67" s="122"/>
      <c r="SJT67" s="122"/>
      <c r="SJU67" s="122"/>
      <c r="SJV67" s="122"/>
      <c r="SJW67" s="122"/>
      <c r="SJX67" s="122"/>
      <c r="SJY67" s="122"/>
      <c r="SJZ67" s="122"/>
      <c r="SKA67" s="122"/>
      <c r="SKB67" s="122"/>
      <c r="SKC67" s="122"/>
      <c r="SKD67" s="122"/>
      <c r="SKE67" s="122"/>
      <c r="SKF67" s="122"/>
      <c r="SKG67" s="122"/>
      <c r="SKH67" s="122"/>
      <c r="SKI67" s="122"/>
      <c r="SKJ67" s="122"/>
      <c r="SKK67" s="122"/>
      <c r="SKL67" s="122"/>
      <c r="SKM67" s="122"/>
      <c r="SKN67" s="122"/>
      <c r="SKO67" s="122"/>
      <c r="SKP67" s="122"/>
      <c r="SKQ67" s="122"/>
      <c r="SKR67" s="122"/>
      <c r="SKS67" s="122"/>
      <c r="SKT67" s="122"/>
      <c r="SKU67" s="122"/>
      <c r="SKV67" s="122"/>
      <c r="SKW67" s="122"/>
      <c r="SKX67" s="122"/>
      <c r="SKY67" s="122"/>
      <c r="SKZ67" s="122"/>
      <c r="SLA67" s="122"/>
      <c r="SLB67" s="122"/>
      <c r="SLC67" s="122"/>
      <c r="SLD67" s="122"/>
      <c r="SLE67" s="122"/>
      <c r="SLF67" s="122"/>
      <c r="SLG67" s="122"/>
      <c r="SLH67" s="122"/>
      <c r="SLI67" s="122"/>
      <c r="SLJ67" s="122"/>
      <c r="SLK67" s="122"/>
      <c r="SLL67" s="122"/>
      <c r="SLM67" s="122"/>
      <c r="SLN67" s="122"/>
      <c r="SLO67" s="122"/>
      <c r="SLP67" s="122"/>
      <c r="SLQ67" s="122"/>
      <c r="SLR67" s="122"/>
      <c r="SLS67" s="122"/>
      <c r="SLT67" s="122"/>
      <c r="SLU67" s="122"/>
      <c r="SLV67" s="122"/>
      <c r="SLW67" s="122"/>
      <c r="SLX67" s="122"/>
      <c r="SLY67" s="122"/>
      <c r="SLZ67" s="122"/>
      <c r="SMA67" s="122"/>
      <c r="SMB67" s="122"/>
      <c r="SMC67" s="122"/>
      <c r="SMD67" s="122"/>
      <c r="SME67" s="122"/>
      <c r="SMF67" s="122"/>
      <c r="SMG67" s="122"/>
      <c r="SMH67" s="122"/>
      <c r="SMI67" s="122"/>
      <c r="SMJ67" s="122"/>
      <c r="SMK67" s="122"/>
      <c r="SML67" s="122"/>
      <c r="SMM67" s="122"/>
      <c r="SMN67" s="122"/>
      <c r="SMO67" s="122"/>
      <c r="SMP67" s="122"/>
      <c r="SMQ67" s="122"/>
      <c r="SMR67" s="122"/>
      <c r="SMS67" s="122"/>
      <c r="SMT67" s="122"/>
      <c r="SMU67" s="122"/>
      <c r="SMV67" s="122"/>
      <c r="SMW67" s="122"/>
      <c r="SMX67" s="122"/>
      <c r="SMY67" s="122"/>
      <c r="SMZ67" s="122"/>
      <c r="SNA67" s="122"/>
      <c r="SNB67" s="122"/>
      <c r="SNC67" s="122"/>
      <c r="SND67" s="122"/>
      <c r="SNE67" s="122"/>
      <c r="SNF67" s="122"/>
      <c r="SNG67" s="122"/>
      <c r="SNH67" s="122"/>
      <c r="SNI67" s="122"/>
      <c r="SNJ67" s="122"/>
      <c r="SNK67" s="122"/>
      <c r="SNL67" s="122"/>
      <c r="SNM67" s="122"/>
      <c r="SNN67" s="122"/>
      <c r="SNO67" s="122"/>
      <c r="SNP67" s="122"/>
      <c r="SNQ67" s="122"/>
      <c r="SNR67" s="122"/>
      <c r="SNS67" s="122"/>
      <c r="SNT67" s="122"/>
      <c r="SNU67" s="122"/>
      <c r="SNV67" s="122"/>
      <c r="SNW67" s="122"/>
      <c r="SNX67" s="122"/>
      <c r="SNY67" s="122"/>
      <c r="SNZ67" s="122"/>
      <c r="SOA67" s="122"/>
      <c r="SOB67" s="122"/>
      <c r="SOC67" s="122"/>
      <c r="SOD67" s="122"/>
      <c r="SOE67" s="122"/>
      <c r="SOF67" s="122"/>
      <c r="SOG67" s="122"/>
      <c r="SOH67" s="122"/>
      <c r="SOI67" s="122"/>
      <c r="SOJ67" s="122"/>
      <c r="SOK67" s="122"/>
      <c r="SOL67" s="122"/>
      <c r="SOM67" s="122"/>
      <c r="SON67" s="122"/>
      <c r="SOO67" s="122"/>
      <c r="SOP67" s="122"/>
      <c r="SOQ67" s="122"/>
      <c r="SOR67" s="122"/>
      <c r="SOS67" s="122"/>
      <c r="SOT67" s="122"/>
      <c r="SOU67" s="122"/>
      <c r="SOV67" s="122"/>
      <c r="SOW67" s="122"/>
      <c r="SOX67" s="122"/>
      <c r="SOY67" s="122"/>
      <c r="SOZ67" s="122"/>
      <c r="SPA67" s="122"/>
      <c r="SPB67" s="122"/>
      <c r="SPC67" s="122"/>
      <c r="SPD67" s="122"/>
      <c r="SPE67" s="122"/>
      <c r="SPF67" s="122"/>
      <c r="SPG67" s="122"/>
      <c r="SPH67" s="122"/>
      <c r="SPI67" s="122"/>
      <c r="SPJ67" s="122"/>
      <c r="SPK67" s="122"/>
      <c r="SPL67" s="122"/>
      <c r="SPM67" s="122"/>
      <c r="SPN67" s="122"/>
      <c r="SPO67" s="122"/>
      <c r="SPP67" s="122"/>
      <c r="SPQ67" s="122"/>
      <c r="SPR67" s="122"/>
      <c r="SPS67" s="122"/>
      <c r="SPT67" s="122"/>
      <c r="SPU67" s="122"/>
      <c r="SPV67" s="122"/>
      <c r="SPW67" s="122"/>
      <c r="SPX67" s="122"/>
      <c r="SPY67" s="122"/>
      <c r="SPZ67" s="122"/>
      <c r="SQA67" s="122"/>
      <c r="SQB67" s="122"/>
      <c r="SQC67" s="122"/>
      <c r="SQD67" s="122"/>
      <c r="SQE67" s="122"/>
      <c r="SQF67" s="122"/>
      <c r="SQG67" s="122"/>
      <c r="SQH67" s="122"/>
      <c r="SQI67" s="122"/>
      <c r="SQJ67" s="122"/>
      <c r="SQK67" s="122"/>
      <c r="SQL67" s="122"/>
      <c r="SQM67" s="122"/>
      <c r="SQN67" s="122"/>
      <c r="SQO67" s="122"/>
      <c r="SQP67" s="122"/>
      <c r="SQQ67" s="122"/>
      <c r="SQR67" s="122"/>
      <c r="SQS67" s="122"/>
      <c r="SQT67" s="122"/>
      <c r="SQU67" s="122"/>
      <c r="SQV67" s="122"/>
      <c r="SQW67" s="122"/>
      <c r="SQX67" s="122"/>
      <c r="SQY67" s="122"/>
      <c r="SQZ67" s="122"/>
      <c r="SRA67" s="122"/>
      <c r="SRB67" s="122"/>
      <c r="SRC67" s="122"/>
      <c r="SRD67" s="122"/>
      <c r="SRE67" s="122"/>
      <c r="SRF67" s="122"/>
      <c r="SRG67" s="122"/>
      <c r="SRH67" s="122"/>
      <c r="SRI67" s="122"/>
      <c r="SRJ67" s="122"/>
      <c r="SRK67" s="122"/>
      <c r="SRL67" s="122"/>
      <c r="SRM67" s="122"/>
      <c r="SRN67" s="122"/>
      <c r="SRO67" s="122"/>
      <c r="SRP67" s="122"/>
      <c r="SRQ67" s="122"/>
      <c r="SRR67" s="122"/>
      <c r="SRS67" s="122"/>
      <c r="SRT67" s="122"/>
      <c r="SRU67" s="122"/>
      <c r="SRV67" s="122"/>
      <c r="SRW67" s="122"/>
      <c r="SRX67" s="122"/>
      <c r="SRY67" s="122"/>
      <c r="SRZ67" s="122"/>
      <c r="SSA67" s="122"/>
      <c r="SSB67" s="122"/>
      <c r="SSC67" s="122"/>
      <c r="SSD67" s="122"/>
      <c r="SSE67" s="122"/>
      <c r="SSF67" s="122"/>
      <c r="SSG67" s="122"/>
      <c r="SSH67" s="122"/>
      <c r="SSI67" s="122"/>
      <c r="SSJ67" s="122"/>
      <c r="SSK67" s="122"/>
      <c r="SSL67" s="122"/>
      <c r="SSM67" s="122"/>
      <c r="SSN67" s="122"/>
      <c r="SSO67" s="122"/>
      <c r="SSP67" s="122"/>
      <c r="SSQ67" s="122"/>
      <c r="SSR67" s="122"/>
      <c r="SSS67" s="122"/>
      <c r="SST67" s="122"/>
      <c r="SSU67" s="122"/>
      <c r="SSV67" s="122"/>
      <c r="SSW67" s="122"/>
      <c r="SSX67" s="122"/>
      <c r="SSY67" s="122"/>
      <c r="SSZ67" s="122"/>
      <c r="STA67" s="122"/>
      <c r="STB67" s="122"/>
      <c r="STC67" s="122"/>
      <c r="STD67" s="122"/>
      <c r="STE67" s="122"/>
      <c r="STF67" s="122"/>
      <c r="STG67" s="122"/>
      <c r="STH67" s="122"/>
      <c r="STI67" s="122"/>
      <c r="STJ67" s="122"/>
      <c r="STK67" s="122"/>
      <c r="STL67" s="122"/>
      <c r="STM67" s="122"/>
      <c r="STN67" s="122"/>
      <c r="STO67" s="122"/>
      <c r="STP67" s="122"/>
      <c r="STQ67" s="122"/>
      <c r="STR67" s="122"/>
      <c r="STS67" s="122"/>
      <c r="STT67" s="122"/>
      <c r="STU67" s="122"/>
      <c r="STV67" s="122"/>
      <c r="STW67" s="122"/>
      <c r="STX67" s="122"/>
      <c r="STY67" s="122"/>
      <c r="STZ67" s="122"/>
      <c r="SUA67" s="122"/>
      <c r="SUB67" s="122"/>
      <c r="SUC67" s="122"/>
      <c r="SUD67" s="122"/>
      <c r="SUE67" s="122"/>
      <c r="SUF67" s="122"/>
      <c r="SUG67" s="122"/>
      <c r="SUH67" s="122"/>
      <c r="SUI67" s="122"/>
      <c r="SUJ67" s="122"/>
      <c r="SUK67" s="122"/>
      <c r="SUL67" s="122"/>
      <c r="SUM67" s="122"/>
      <c r="SUN67" s="122"/>
      <c r="SUO67" s="122"/>
      <c r="SUP67" s="122"/>
      <c r="SUQ67" s="122"/>
      <c r="SUR67" s="122"/>
      <c r="SUS67" s="122"/>
      <c r="SUT67" s="122"/>
      <c r="SUU67" s="122"/>
      <c r="SUV67" s="122"/>
      <c r="SUW67" s="122"/>
      <c r="SUX67" s="122"/>
      <c r="SUY67" s="122"/>
      <c r="SUZ67" s="122"/>
      <c r="SVA67" s="122"/>
      <c r="SVB67" s="122"/>
      <c r="SVC67" s="122"/>
      <c r="SVD67" s="122"/>
      <c r="SVE67" s="122"/>
      <c r="SVF67" s="122"/>
      <c r="SVG67" s="122"/>
      <c r="SVH67" s="122"/>
      <c r="SVI67" s="122"/>
      <c r="SVJ67" s="122"/>
      <c r="SVK67" s="122"/>
      <c r="SVL67" s="122"/>
      <c r="SVM67" s="122"/>
      <c r="SVN67" s="122"/>
      <c r="SVO67" s="122"/>
      <c r="SVP67" s="122"/>
      <c r="SVQ67" s="122"/>
      <c r="SVR67" s="122"/>
      <c r="SVS67" s="122"/>
      <c r="SVT67" s="122"/>
      <c r="SVU67" s="122"/>
      <c r="SVV67" s="122"/>
      <c r="SVW67" s="122"/>
      <c r="SVX67" s="122"/>
      <c r="SVY67" s="122"/>
      <c r="SVZ67" s="122"/>
      <c r="SWA67" s="122"/>
      <c r="SWB67" s="122"/>
      <c r="SWC67" s="122"/>
      <c r="SWD67" s="122"/>
      <c r="SWE67" s="122"/>
      <c r="SWF67" s="122"/>
      <c r="SWG67" s="122"/>
      <c r="SWH67" s="122"/>
      <c r="SWI67" s="122"/>
      <c r="SWJ67" s="122"/>
      <c r="SWK67" s="122"/>
      <c r="SWL67" s="122"/>
      <c r="SWM67" s="122"/>
      <c r="SWN67" s="122"/>
      <c r="SWO67" s="122"/>
      <c r="SWP67" s="122"/>
      <c r="SWQ67" s="122"/>
      <c r="SWR67" s="122"/>
      <c r="SWS67" s="122"/>
      <c r="SWT67" s="122"/>
      <c r="SWU67" s="122"/>
      <c r="SWV67" s="122"/>
      <c r="SWW67" s="122"/>
      <c r="SWX67" s="122"/>
      <c r="SWY67" s="122"/>
      <c r="SWZ67" s="122"/>
      <c r="SXA67" s="122"/>
      <c r="SXB67" s="122"/>
      <c r="SXC67" s="122"/>
      <c r="SXD67" s="122"/>
      <c r="SXE67" s="122"/>
      <c r="SXF67" s="122"/>
      <c r="SXG67" s="122"/>
      <c r="SXH67" s="122"/>
      <c r="SXI67" s="122"/>
      <c r="SXJ67" s="122"/>
      <c r="SXK67" s="122"/>
      <c r="SXL67" s="122"/>
      <c r="SXM67" s="122"/>
      <c r="SXN67" s="122"/>
      <c r="SXO67" s="122"/>
      <c r="SXP67" s="122"/>
      <c r="SXQ67" s="122"/>
      <c r="SXR67" s="122"/>
      <c r="SXS67" s="122"/>
      <c r="SXT67" s="122"/>
      <c r="SXU67" s="122"/>
      <c r="SXV67" s="122"/>
      <c r="SXW67" s="122"/>
      <c r="SXX67" s="122"/>
      <c r="SXY67" s="122"/>
      <c r="SXZ67" s="122"/>
      <c r="SYA67" s="122"/>
      <c r="SYB67" s="122"/>
      <c r="SYC67" s="122"/>
      <c r="SYD67" s="122"/>
      <c r="SYE67" s="122"/>
      <c r="SYF67" s="122"/>
      <c r="SYG67" s="122"/>
      <c r="SYH67" s="122"/>
      <c r="SYI67" s="122"/>
      <c r="SYJ67" s="122"/>
      <c r="SYK67" s="122"/>
      <c r="SYL67" s="122"/>
      <c r="SYM67" s="122"/>
      <c r="SYN67" s="122"/>
      <c r="SYO67" s="122"/>
      <c r="SYP67" s="122"/>
      <c r="SYQ67" s="122"/>
      <c r="SYR67" s="122"/>
      <c r="SYS67" s="122"/>
      <c r="SYT67" s="122"/>
      <c r="SYU67" s="122"/>
      <c r="SYV67" s="122"/>
      <c r="SYW67" s="122"/>
      <c r="SYX67" s="122"/>
      <c r="SYY67" s="122"/>
      <c r="SYZ67" s="122"/>
      <c r="SZA67" s="122"/>
      <c r="SZB67" s="122"/>
      <c r="SZC67" s="122"/>
      <c r="SZD67" s="122"/>
      <c r="SZE67" s="122"/>
      <c r="SZF67" s="122"/>
      <c r="SZG67" s="122"/>
      <c r="SZH67" s="122"/>
      <c r="SZI67" s="122"/>
      <c r="SZJ67" s="122"/>
      <c r="SZK67" s="122"/>
      <c r="SZL67" s="122"/>
      <c r="SZM67" s="122"/>
      <c r="SZN67" s="122"/>
      <c r="SZO67" s="122"/>
      <c r="SZP67" s="122"/>
      <c r="SZQ67" s="122"/>
      <c r="SZR67" s="122"/>
      <c r="SZS67" s="122"/>
      <c r="SZT67" s="122"/>
      <c r="SZU67" s="122"/>
      <c r="SZV67" s="122"/>
      <c r="SZW67" s="122"/>
      <c r="SZX67" s="122"/>
      <c r="SZY67" s="122"/>
      <c r="SZZ67" s="122"/>
      <c r="TAA67" s="122"/>
      <c r="TAB67" s="122"/>
      <c r="TAC67" s="122"/>
      <c r="TAD67" s="122"/>
      <c r="TAE67" s="122"/>
      <c r="TAF67" s="122"/>
      <c r="TAG67" s="122"/>
      <c r="TAH67" s="122"/>
      <c r="TAI67" s="122"/>
      <c r="TAJ67" s="122"/>
      <c r="TAK67" s="122"/>
      <c r="TAL67" s="122"/>
      <c r="TAM67" s="122"/>
      <c r="TAN67" s="122"/>
      <c r="TAO67" s="122"/>
      <c r="TAP67" s="122"/>
      <c r="TAQ67" s="122"/>
      <c r="TAR67" s="122"/>
      <c r="TAS67" s="122"/>
      <c r="TAT67" s="122"/>
      <c r="TAU67" s="122"/>
      <c r="TAV67" s="122"/>
      <c r="TAW67" s="122"/>
      <c r="TAX67" s="122"/>
      <c r="TAY67" s="122"/>
      <c r="TAZ67" s="122"/>
      <c r="TBA67" s="122"/>
      <c r="TBB67" s="122"/>
      <c r="TBC67" s="122"/>
      <c r="TBD67" s="122"/>
      <c r="TBE67" s="122"/>
      <c r="TBF67" s="122"/>
      <c r="TBG67" s="122"/>
      <c r="TBH67" s="122"/>
      <c r="TBI67" s="122"/>
      <c r="TBJ67" s="122"/>
      <c r="TBK67" s="122"/>
      <c r="TBL67" s="122"/>
      <c r="TBM67" s="122"/>
      <c r="TBN67" s="122"/>
      <c r="TBO67" s="122"/>
      <c r="TBP67" s="122"/>
      <c r="TBQ67" s="122"/>
      <c r="TBR67" s="122"/>
      <c r="TBS67" s="122"/>
      <c r="TBT67" s="122"/>
      <c r="TBU67" s="122"/>
      <c r="TBV67" s="122"/>
      <c r="TBW67" s="122"/>
      <c r="TBX67" s="122"/>
      <c r="TBY67" s="122"/>
      <c r="TBZ67" s="122"/>
      <c r="TCA67" s="122"/>
      <c r="TCB67" s="122"/>
      <c r="TCC67" s="122"/>
      <c r="TCD67" s="122"/>
      <c r="TCE67" s="122"/>
      <c r="TCF67" s="122"/>
      <c r="TCG67" s="122"/>
      <c r="TCH67" s="122"/>
      <c r="TCI67" s="122"/>
      <c r="TCJ67" s="122"/>
      <c r="TCK67" s="122"/>
      <c r="TCL67" s="122"/>
      <c r="TCM67" s="122"/>
      <c r="TCN67" s="122"/>
      <c r="TCO67" s="122"/>
      <c r="TCP67" s="122"/>
      <c r="TCQ67" s="122"/>
      <c r="TCR67" s="122"/>
      <c r="TCS67" s="122"/>
      <c r="TCT67" s="122"/>
      <c r="TCU67" s="122"/>
      <c r="TCV67" s="122"/>
      <c r="TCW67" s="122"/>
      <c r="TCX67" s="122"/>
      <c r="TCY67" s="122"/>
      <c r="TCZ67" s="122"/>
      <c r="TDA67" s="122"/>
      <c r="TDB67" s="122"/>
      <c r="TDC67" s="122"/>
      <c r="TDD67" s="122"/>
      <c r="TDE67" s="122"/>
      <c r="TDF67" s="122"/>
      <c r="TDG67" s="122"/>
      <c r="TDH67" s="122"/>
      <c r="TDI67" s="122"/>
      <c r="TDJ67" s="122"/>
      <c r="TDK67" s="122"/>
      <c r="TDL67" s="122"/>
      <c r="TDM67" s="122"/>
      <c r="TDN67" s="122"/>
      <c r="TDO67" s="122"/>
      <c r="TDP67" s="122"/>
      <c r="TDQ67" s="122"/>
      <c r="TDR67" s="122"/>
      <c r="TDS67" s="122"/>
      <c r="TDT67" s="122"/>
      <c r="TDU67" s="122"/>
      <c r="TDV67" s="122"/>
      <c r="TDW67" s="122"/>
      <c r="TDX67" s="122"/>
      <c r="TDY67" s="122"/>
      <c r="TDZ67" s="122"/>
      <c r="TEA67" s="122"/>
      <c r="TEB67" s="122"/>
      <c r="TEC67" s="122"/>
      <c r="TED67" s="122"/>
      <c r="TEE67" s="122"/>
      <c r="TEF67" s="122"/>
      <c r="TEG67" s="122"/>
      <c r="TEH67" s="122"/>
      <c r="TEI67" s="122"/>
      <c r="TEJ67" s="122"/>
      <c r="TEK67" s="122"/>
      <c r="TEL67" s="122"/>
      <c r="TEM67" s="122"/>
      <c r="TEN67" s="122"/>
      <c r="TEO67" s="122"/>
      <c r="TEP67" s="122"/>
      <c r="TEQ67" s="122"/>
      <c r="TER67" s="122"/>
      <c r="TES67" s="122"/>
      <c r="TET67" s="122"/>
      <c r="TEU67" s="122"/>
      <c r="TEV67" s="122"/>
      <c r="TEW67" s="122"/>
      <c r="TEX67" s="122"/>
      <c r="TEY67" s="122"/>
      <c r="TEZ67" s="122"/>
      <c r="TFA67" s="122"/>
      <c r="TFB67" s="122"/>
      <c r="TFC67" s="122"/>
      <c r="TFD67" s="122"/>
      <c r="TFE67" s="122"/>
      <c r="TFF67" s="122"/>
      <c r="TFG67" s="122"/>
      <c r="TFH67" s="122"/>
      <c r="TFI67" s="122"/>
      <c r="TFJ67" s="122"/>
      <c r="TFK67" s="122"/>
      <c r="TFL67" s="122"/>
      <c r="TFM67" s="122"/>
      <c r="TFN67" s="122"/>
      <c r="TFO67" s="122"/>
      <c r="TFP67" s="122"/>
      <c r="TFQ67" s="122"/>
      <c r="TFR67" s="122"/>
      <c r="TFS67" s="122"/>
      <c r="TFT67" s="122"/>
      <c r="TFU67" s="122"/>
      <c r="TFV67" s="122"/>
      <c r="TFW67" s="122"/>
      <c r="TFX67" s="122"/>
      <c r="TFY67" s="122"/>
      <c r="TFZ67" s="122"/>
      <c r="TGA67" s="122"/>
      <c r="TGB67" s="122"/>
      <c r="TGC67" s="122"/>
      <c r="TGD67" s="122"/>
      <c r="TGE67" s="122"/>
      <c r="TGF67" s="122"/>
      <c r="TGG67" s="122"/>
      <c r="TGH67" s="122"/>
      <c r="TGI67" s="122"/>
      <c r="TGJ67" s="122"/>
      <c r="TGK67" s="122"/>
      <c r="TGL67" s="122"/>
      <c r="TGM67" s="122"/>
      <c r="TGN67" s="122"/>
      <c r="TGO67" s="122"/>
      <c r="TGP67" s="122"/>
      <c r="TGQ67" s="122"/>
      <c r="TGR67" s="122"/>
      <c r="TGS67" s="122"/>
      <c r="TGT67" s="122"/>
      <c r="TGU67" s="122"/>
      <c r="TGV67" s="122"/>
      <c r="TGW67" s="122"/>
      <c r="TGX67" s="122"/>
      <c r="TGY67" s="122"/>
      <c r="TGZ67" s="122"/>
      <c r="THA67" s="122"/>
      <c r="THB67" s="122"/>
      <c r="THC67" s="122"/>
      <c r="THD67" s="122"/>
      <c r="THE67" s="122"/>
      <c r="THF67" s="122"/>
      <c r="THG67" s="122"/>
      <c r="THH67" s="122"/>
      <c r="THI67" s="122"/>
      <c r="THJ67" s="122"/>
      <c r="THK67" s="122"/>
      <c r="THL67" s="122"/>
      <c r="THM67" s="122"/>
      <c r="THN67" s="122"/>
      <c r="THO67" s="122"/>
      <c r="THP67" s="122"/>
      <c r="THQ67" s="122"/>
      <c r="THR67" s="122"/>
      <c r="THS67" s="122"/>
      <c r="THT67" s="122"/>
      <c r="THU67" s="122"/>
      <c r="THV67" s="122"/>
      <c r="THW67" s="122"/>
      <c r="THX67" s="122"/>
      <c r="THY67" s="122"/>
      <c r="THZ67" s="122"/>
      <c r="TIA67" s="122"/>
      <c r="TIB67" s="122"/>
      <c r="TIC67" s="122"/>
      <c r="TID67" s="122"/>
      <c r="TIE67" s="122"/>
      <c r="TIF67" s="122"/>
      <c r="TIG67" s="122"/>
      <c r="TIH67" s="122"/>
      <c r="TII67" s="122"/>
      <c r="TIJ67" s="122"/>
      <c r="TIK67" s="122"/>
      <c r="TIL67" s="122"/>
      <c r="TIM67" s="122"/>
      <c r="TIN67" s="122"/>
      <c r="TIO67" s="122"/>
      <c r="TIP67" s="122"/>
      <c r="TIQ67" s="122"/>
      <c r="TIR67" s="122"/>
      <c r="TIS67" s="122"/>
      <c r="TIT67" s="122"/>
      <c r="TIU67" s="122"/>
      <c r="TIV67" s="122"/>
      <c r="TIW67" s="122"/>
      <c r="TIX67" s="122"/>
      <c r="TIY67" s="122"/>
      <c r="TIZ67" s="122"/>
      <c r="TJA67" s="122"/>
      <c r="TJB67" s="122"/>
      <c r="TJC67" s="122"/>
      <c r="TJD67" s="122"/>
      <c r="TJE67" s="122"/>
      <c r="TJF67" s="122"/>
      <c r="TJG67" s="122"/>
      <c r="TJH67" s="122"/>
      <c r="TJI67" s="122"/>
      <c r="TJJ67" s="122"/>
      <c r="TJK67" s="122"/>
      <c r="TJL67" s="122"/>
      <c r="TJM67" s="122"/>
      <c r="TJN67" s="122"/>
      <c r="TJO67" s="122"/>
      <c r="TJP67" s="122"/>
      <c r="TJQ67" s="122"/>
      <c r="TJR67" s="122"/>
      <c r="TJS67" s="122"/>
      <c r="TJT67" s="122"/>
      <c r="TJU67" s="122"/>
      <c r="TJV67" s="122"/>
      <c r="TJW67" s="122"/>
      <c r="TJX67" s="122"/>
      <c r="TJY67" s="122"/>
      <c r="TJZ67" s="122"/>
      <c r="TKA67" s="122"/>
      <c r="TKB67" s="122"/>
      <c r="TKC67" s="122"/>
      <c r="TKD67" s="122"/>
      <c r="TKE67" s="122"/>
      <c r="TKF67" s="122"/>
      <c r="TKG67" s="122"/>
      <c r="TKH67" s="122"/>
      <c r="TKI67" s="122"/>
      <c r="TKJ67" s="122"/>
      <c r="TKK67" s="122"/>
      <c r="TKL67" s="122"/>
      <c r="TKM67" s="122"/>
      <c r="TKN67" s="122"/>
      <c r="TKO67" s="122"/>
      <c r="TKP67" s="122"/>
      <c r="TKQ67" s="122"/>
      <c r="TKR67" s="122"/>
      <c r="TKS67" s="122"/>
      <c r="TKT67" s="122"/>
      <c r="TKU67" s="122"/>
      <c r="TKV67" s="122"/>
      <c r="TKW67" s="122"/>
      <c r="TKX67" s="122"/>
      <c r="TKY67" s="122"/>
      <c r="TKZ67" s="122"/>
      <c r="TLA67" s="122"/>
      <c r="TLB67" s="122"/>
      <c r="TLC67" s="122"/>
      <c r="TLD67" s="122"/>
      <c r="TLE67" s="122"/>
      <c r="TLF67" s="122"/>
      <c r="TLG67" s="122"/>
      <c r="TLH67" s="122"/>
      <c r="TLI67" s="122"/>
      <c r="TLJ67" s="122"/>
      <c r="TLK67" s="122"/>
      <c r="TLL67" s="122"/>
      <c r="TLM67" s="122"/>
      <c r="TLN67" s="122"/>
      <c r="TLO67" s="122"/>
      <c r="TLP67" s="122"/>
      <c r="TLQ67" s="122"/>
      <c r="TLR67" s="122"/>
      <c r="TLS67" s="122"/>
      <c r="TLT67" s="122"/>
      <c r="TLU67" s="122"/>
      <c r="TLV67" s="122"/>
      <c r="TLW67" s="122"/>
      <c r="TLX67" s="122"/>
      <c r="TLY67" s="122"/>
      <c r="TLZ67" s="122"/>
      <c r="TMA67" s="122"/>
      <c r="TMB67" s="122"/>
      <c r="TMC67" s="122"/>
      <c r="TMD67" s="122"/>
      <c r="TME67" s="122"/>
      <c r="TMF67" s="122"/>
      <c r="TMG67" s="122"/>
      <c r="TMH67" s="122"/>
      <c r="TMI67" s="122"/>
      <c r="TMJ67" s="122"/>
      <c r="TMK67" s="122"/>
      <c r="TML67" s="122"/>
      <c r="TMM67" s="122"/>
      <c r="TMN67" s="122"/>
      <c r="TMO67" s="122"/>
      <c r="TMP67" s="122"/>
      <c r="TMQ67" s="122"/>
      <c r="TMR67" s="122"/>
      <c r="TMS67" s="122"/>
      <c r="TMT67" s="122"/>
      <c r="TMU67" s="122"/>
      <c r="TMV67" s="122"/>
      <c r="TMW67" s="122"/>
      <c r="TMX67" s="122"/>
      <c r="TMY67" s="122"/>
      <c r="TMZ67" s="122"/>
      <c r="TNA67" s="122"/>
      <c r="TNB67" s="122"/>
      <c r="TNC67" s="122"/>
      <c r="TND67" s="122"/>
      <c r="TNE67" s="122"/>
      <c r="TNF67" s="122"/>
      <c r="TNG67" s="122"/>
      <c r="TNH67" s="122"/>
      <c r="TNI67" s="122"/>
      <c r="TNJ67" s="122"/>
      <c r="TNK67" s="122"/>
      <c r="TNL67" s="122"/>
      <c r="TNM67" s="122"/>
      <c r="TNN67" s="122"/>
      <c r="TNO67" s="122"/>
      <c r="TNP67" s="122"/>
      <c r="TNQ67" s="122"/>
      <c r="TNR67" s="122"/>
      <c r="TNS67" s="122"/>
      <c r="TNT67" s="122"/>
      <c r="TNU67" s="122"/>
      <c r="TNV67" s="122"/>
      <c r="TNW67" s="122"/>
      <c r="TNX67" s="122"/>
      <c r="TNY67" s="122"/>
      <c r="TNZ67" s="122"/>
      <c r="TOA67" s="122"/>
      <c r="TOB67" s="122"/>
      <c r="TOC67" s="122"/>
      <c r="TOD67" s="122"/>
      <c r="TOE67" s="122"/>
      <c r="TOF67" s="122"/>
      <c r="TOG67" s="122"/>
      <c r="TOH67" s="122"/>
      <c r="TOI67" s="122"/>
      <c r="TOJ67" s="122"/>
      <c r="TOK67" s="122"/>
      <c r="TOL67" s="122"/>
      <c r="TOM67" s="122"/>
      <c r="TON67" s="122"/>
      <c r="TOO67" s="122"/>
      <c r="TOP67" s="122"/>
      <c r="TOQ67" s="122"/>
      <c r="TOR67" s="122"/>
      <c r="TOS67" s="122"/>
      <c r="TOT67" s="122"/>
      <c r="TOU67" s="122"/>
      <c r="TOV67" s="122"/>
      <c r="TOW67" s="122"/>
      <c r="TOX67" s="122"/>
      <c r="TOY67" s="122"/>
      <c r="TOZ67" s="122"/>
      <c r="TPA67" s="122"/>
      <c r="TPB67" s="122"/>
      <c r="TPC67" s="122"/>
      <c r="TPD67" s="122"/>
      <c r="TPE67" s="122"/>
      <c r="TPF67" s="122"/>
      <c r="TPG67" s="122"/>
      <c r="TPH67" s="122"/>
      <c r="TPI67" s="122"/>
      <c r="TPJ67" s="122"/>
      <c r="TPK67" s="122"/>
      <c r="TPL67" s="122"/>
      <c r="TPM67" s="122"/>
      <c r="TPN67" s="122"/>
      <c r="TPO67" s="122"/>
      <c r="TPP67" s="122"/>
      <c r="TPQ67" s="122"/>
      <c r="TPR67" s="122"/>
      <c r="TPS67" s="122"/>
      <c r="TPT67" s="122"/>
      <c r="TPU67" s="122"/>
      <c r="TPV67" s="122"/>
      <c r="TPW67" s="122"/>
      <c r="TPX67" s="122"/>
      <c r="TPY67" s="122"/>
      <c r="TPZ67" s="122"/>
      <c r="TQA67" s="122"/>
      <c r="TQB67" s="122"/>
      <c r="TQC67" s="122"/>
      <c r="TQD67" s="122"/>
      <c r="TQE67" s="122"/>
      <c r="TQF67" s="122"/>
      <c r="TQG67" s="122"/>
      <c r="TQH67" s="122"/>
      <c r="TQI67" s="122"/>
      <c r="TQJ67" s="122"/>
      <c r="TQK67" s="122"/>
      <c r="TQL67" s="122"/>
      <c r="TQM67" s="122"/>
      <c r="TQN67" s="122"/>
      <c r="TQO67" s="122"/>
      <c r="TQP67" s="122"/>
      <c r="TQQ67" s="122"/>
      <c r="TQR67" s="122"/>
      <c r="TQS67" s="122"/>
      <c r="TQT67" s="122"/>
      <c r="TQU67" s="122"/>
      <c r="TQV67" s="122"/>
      <c r="TQW67" s="122"/>
      <c r="TQX67" s="122"/>
      <c r="TQY67" s="122"/>
      <c r="TQZ67" s="122"/>
      <c r="TRA67" s="122"/>
      <c r="TRB67" s="122"/>
      <c r="TRC67" s="122"/>
      <c r="TRD67" s="122"/>
      <c r="TRE67" s="122"/>
      <c r="TRF67" s="122"/>
      <c r="TRG67" s="122"/>
      <c r="TRH67" s="122"/>
      <c r="TRI67" s="122"/>
      <c r="TRJ67" s="122"/>
      <c r="TRK67" s="122"/>
      <c r="TRL67" s="122"/>
      <c r="TRM67" s="122"/>
      <c r="TRN67" s="122"/>
      <c r="TRO67" s="122"/>
      <c r="TRP67" s="122"/>
      <c r="TRQ67" s="122"/>
      <c r="TRR67" s="122"/>
      <c r="TRS67" s="122"/>
      <c r="TRT67" s="122"/>
      <c r="TRU67" s="122"/>
      <c r="TRV67" s="122"/>
      <c r="TRW67" s="122"/>
      <c r="TRX67" s="122"/>
      <c r="TRY67" s="122"/>
      <c r="TRZ67" s="122"/>
      <c r="TSA67" s="122"/>
      <c r="TSB67" s="122"/>
      <c r="TSC67" s="122"/>
      <c r="TSD67" s="122"/>
      <c r="TSE67" s="122"/>
      <c r="TSF67" s="122"/>
      <c r="TSG67" s="122"/>
      <c r="TSH67" s="122"/>
      <c r="TSI67" s="122"/>
      <c r="TSJ67" s="122"/>
      <c r="TSK67" s="122"/>
      <c r="TSL67" s="122"/>
      <c r="TSM67" s="122"/>
      <c r="TSN67" s="122"/>
      <c r="TSO67" s="122"/>
      <c r="TSP67" s="122"/>
      <c r="TSQ67" s="122"/>
      <c r="TSR67" s="122"/>
      <c r="TSS67" s="122"/>
      <c r="TST67" s="122"/>
      <c r="TSU67" s="122"/>
      <c r="TSV67" s="122"/>
      <c r="TSW67" s="122"/>
      <c r="TSX67" s="122"/>
      <c r="TSY67" s="122"/>
      <c r="TSZ67" s="122"/>
      <c r="TTA67" s="122"/>
      <c r="TTB67" s="122"/>
      <c r="TTC67" s="122"/>
      <c r="TTD67" s="122"/>
      <c r="TTE67" s="122"/>
      <c r="TTF67" s="122"/>
      <c r="TTG67" s="122"/>
      <c r="TTH67" s="122"/>
      <c r="TTI67" s="122"/>
      <c r="TTJ67" s="122"/>
      <c r="TTK67" s="122"/>
      <c r="TTL67" s="122"/>
      <c r="TTM67" s="122"/>
      <c r="TTN67" s="122"/>
      <c r="TTO67" s="122"/>
      <c r="TTP67" s="122"/>
      <c r="TTQ67" s="122"/>
      <c r="TTR67" s="122"/>
      <c r="TTS67" s="122"/>
      <c r="TTT67" s="122"/>
      <c r="TTU67" s="122"/>
      <c r="TTV67" s="122"/>
      <c r="TTW67" s="122"/>
      <c r="TTX67" s="122"/>
      <c r="TTY67" s="122"/>
      <c r="TTZ67" s="122"/>
      <c r="TUA67" s="122"/>
      <c r="TUB67" s="122"/>
      <c r="TUC67" s="122"/>
      <c r="TUD67" s="122"/>
      <c r="TUE67" s="122"/>
      <c r="TUF67" s="122"/>
      <c r="TUG67" s="122"/>
      <c r="TUH67" s="122"/>
      <c r="TUI67" s="122"/>
      <c r="TUJ67" s="122"/>
      <c r="TUK67" s="122"/>
      <c r="TUL67" s="122"/>
      <c r="TUM67" s="122"/>
      <c r="TUN67" s="122"/>
      <c r="TUO67" s="122"/>
      <c r="TUP67" s="122"/>
      <c r="TUQ67" s="122"/>
      <c r="TUR67" s="122"/>
      <c r="TUS67" s="122"/>
      <c r="TUT67" s="122"/>
      <c r="TUU67" s="122"/>
      <c r="TUV67" s="122"/>
      <c r="TUW67" s="122"/>
      <c r="TUX67" s="122"/>
      <c r="TUY67" s="122"/>
      <c r="TUZ67" s="122"/>
      <c r="TVA67" s="122"/>
      <c r="TVB67" s="122"/>
      <c r="TVC67" s="122"/>
      <c r="TVD67" s="122"/>
      <c r="TVE67" s="122"/>
      <c r="TVF67" s="122"/>
      <c r="TVG67" s="122"/>
      <c r="TVH67" s="122"/>
      <c r="TVI67" s="122"/>
      <c r="TVJ67" s="122"/>
      <c r="TVK67" s="122"/>
      <c r="TVL67" s="122"/>
      <c r="TVM67" s="122"/>
      <c r="TVN67" s="122"/>
      <c r="TVO67" s="122"/>
      <c r="TVP67" s="122"/>
      <c r="TVQ67" s="122"/>
      <c r="TVR67" s="122"/>
      <c r="TVS67" s="122"/>
      <c r="TVT67" s="122"/>
      <c r="TVU67" s="122"/>
      <c r="TVV67" s="122"/>
      <c r="TVW67" s="122"/>
      <c r="TVX67" s="122"/>
      <c r="TVY67" s="122"/>
      <c r="TVZ67" s="122"/>
      <c r="TWA67" s="122"/>
      <c r="TWB67" s="122"/>
      <c r="TWC67" s="122"/>
      <c r="TWD67" s="122"/>
      <c r="TWE67" s="122"/>
      <c r="TWF67" s="122"/>
      <c r="TWG67" s="122"/>
      <c r="TWH67" s="122"/>
      <c r="TWI67" s="122"/>
      <c r="TWJ67" s="122"/>
      <c r="TWK67" s="122"/>
      <c r="TWL67" s="122"/>
      <c r="TWM67" s="122"/>
      <c r="TWN67" s="122"/>
      <c r="TWO67" s="122"/>
      <c r="TWP67" s="122"/>
      <c r="TWQ67" s="122"/>
      <c r="TWR67" s="122"/>
      <c r="TWS67" s="122"/>
      <c r="TWT67" s="122"/>
      <c r="TWU67" s="122"/>
      <c r="TWV67" s="122"/>
      <c r="TWW67" s="122"/>
      <c r="TWX67" s="122"/>
      <c r="TWY67" s="122"/>
      <c r="TWZ67" s="122"/>
      <c r="TXA67" s="122"/>
      <c r="TXB67" s="122"/>
      <c r="TXC67" s="122"/>
      <c r="TXD67" s="122"/>
      <c r="TXE67" s="122"/>
      <c r="TXF67" s="122"/>
      <c r="TXG67" s="122"/>
      <c r="TXH67" s="122"/>
      <c r="TXI67" s="122"/>
      <c r="TXJ67" s="122"/>
      <c r="TXK67" s="122"/>
      <c r="TXL67" s="122"/>
      <c r="TXM67" s="122"/>
      <c r="TXN67" s="122"/>
      <c r="TXO67" s="122"/>
      <c r="TXP67" s="122"/>
      <c r="TXQ67" s="122"/>
      <c r="TXR67" s="122"/>
      <c r="TXS67" s="122"/>
      <c r="TXT67" s="122"/>
      <c r="TXU67" s="122"/>
      <c r="TXV67" s="122"/>
      <c r="TXW67" s="122"/>
      <c r="TXX67" s="122"/>
      <c r="TXY67" s="122"/>
      <c r="TXZ67" s="122"/>
      <c r="TYA67" s="122"/>
      <c r="TYB67" s="122"/>
      <c r="TYC67" s="122"/>
      <c r="TYD67" s="122"/>
      <c r="TYE67" s="122"/>
      <c r="TYF67" s="122"/>
      <c r="TYG67" s="122"/>
      <c r="TYH67" s="122"/>
      <c r="TYI67" s="122"/>
      <c r="TYJ67" s="122"/>
      <c r="TYK67" s="122"/>
      <c r="TYL67" s="122"/>
      <c r="TYM67" s="122"/>
      <c r="TYN67" s="122"/>
      <c r="TYO67" s="122"/>
      <c r="TYP67" s="122"/>
      <c r="TYQ67" s="122"/>
      <c r="TYR67" s="122"/>
      <c r="TYS67" s="122"/>
      <c r="TYT67" s="122"/>
      <c r="TYU67" s="122"/>
      <c r="TYV67" s="122"/>
      <c r="TYW67" s="122"/>
      <c r="TYX67" s="122"/>
      <c r="TYY67" s="122"/>
      <c r="TYZ67" s="122"/>
      <c r="TZA67" s="122"/>
      <c r="TZB67" s="122"/>
      <c r="TZC67" s="122"/>
      <c r="TZD67" s="122"/>
      <c r="TZE67" s="122"/>
      <c r="TZF67" s="122"/>
      <c r="TZG67" s="122"/>
      <c r="TZH67" s="122"/>
      <c r="TZI67" s="122"/>
      <c r="TZJ67" s="122"/>
      <c r="TZK67" s="122"/>
      <c r="TZL67" s="122"/>
      <c r="TZM67" s="122"/>
      <c r="TZN67" s="122"/>
      <c r="TZO67" s="122"/>
      <c r="TZP67" s="122"/>
      <c r="TZQ67" s="122"/>
      <c r="TZR67" s="122"/>
      <c r="TZS67" s="122"/>
      <c r="TZT67" s="122"/>
      <c r="TZU67" s="122"/>
      <c r="TZV67" s="122"/>
      <c r="TZW67" s="122"/>
      <c r="TZX67" s="122"/>
      <c r="TZY67" s="122"/>
      <c r="TZZ67" s="122"/>
      <c r="UAA67" s="122"/>
      <c r="UAB67" s="122"/>
      <c r="UAC67" s="122"/>
      <c r="UAD67" s="122"/>
      <c r="UAE67" s="122"/>
      <c r="UAF67" s="122"/>
      <c r="UAG67" s="122"/>
      <c r="UAH67" s="122"/>
      <c r="UAI67" s="122"/>
      <c r="UAJ67" s="122"/>
      <c r="UAK67" s="122"/>
      <c r="UAL67" s="122"/>
      <c r="UAM67" s="122"/>
      <c r="UAN67" s="122"/>
      <c r="UAO67" s="122"/>
      <c r="UAP67" s="122"/>
      <c r="UAQ67" s="122"/>
      <c r="UAR67" s="122"/>
      <c r="UAS67" s="122"/>
      <c r="UAT67" s="122"/>
      <c r="UAU67" s="122"/>
      <c r="UAV67" s="122"/>
      <c r="UAW67" s="122"/>
      <c r="UAX67" s="122"/>
      <c r="UAY67" s="122"/>
      <c r="UAZ67" s="122"/>
      <c r="UBA67" s="122"/>
      <c r="UBB67" s="122"/>
      <c r="UBC67" s="122"/>
      <c r="UBD67" s="122"/>
      <c r="UBE67" s="122"/>
      <c r="UBF67" s="122"/>
      <c r="UBG67" s="122"/>
      <c r="UBH67" s="122"/>
      <c r="UBI67" s="122"/>
      <c r="UBJ67" s="122"/>
      <c r="UBK67" s="122"/>
      <c r="UBL67" s="122"/>
      <c r="UBM67" s="122"/>
      <c r="UBN67" s="122"/>
      <c r="UBO67" s="122"/>
      <c r="UBP67" s="122"/>
      <c r="UBQ67" s="122"/>
      <c r="UBR67" s="122"/>
      <c r="UBS67" s="122"/>
      <c r="UBT67" s="122"/>
      <c r="UBU67" s="122"/>
      <c r="UBV67" s="122"/>
      <c r="UBW67" s="122"/>
      <c r="UBX67" s="122"/>
      <c r="UBY67" s="122"/>
      <c r="UBZ67" s="122"/>
      <c r="UCA67" s="122"/>
      <c r="UCB67" s="122"/>
      <c r="UCC67" s="122"/>
      <c r="UCD67" s="122"/>
      <c r="UCE67" s="122"/>
      <c r="UCF67" s="122"/>
      <c r="UCG67" s="122"/>
      <c r="UCH67" s="122"/>
      <c r="UCI67" s="122"/>
      <c r="UCJ67" s="122"/>
      <c r="UCK67" s="122"/>
      <c r="UCL67" s="122"/>
      <c r="UCM67" s="122"/>
      <c r="UCN67" s="122"/>
      <c r="UCO67" s="122"/>
      <c r="UCP67" s="122"/>
      <c r="UCQ67" s="122"/>
      <c r="UCR67" s="122"/>
      <c r="UCS67" s="122"/>
      <c r="UCT67" s="122"/>
      <c r="UCU67" s="122"/>
      <c r="UCV67" s="122"/>
      <c r="UCW67" s="122"/>
      <c r="UCX67" s="122"/>
      <c r="UCY67" s="122"/>
      <c r="UCZ67" s="122"/>
      <c r="UDA67" s="122"/>
      <c r="UDB67" s="122"/>
      <c r="UDC67" s="122"/>
      <c r="UDD67" s="122"/>
      <c r="UDE67" s="122"/>
      <c r="UDF67" s="122"/>
      <c r="UDG67" s="122"/>
      <c r="UDH67" s="122"/>
      <c r="UDI67" s="122"/>
      <c r="UDJ67" s="122"/>
      <c r="UDK67" s="122"/>
      <c r="UDL67" s="122"/>
      <c r="UDM67" s="122"/>
      <c r="UDN67" s="122"/>
      <c r="UDO67" s="122"/>
      <c r="UDP67" s="122"/>
      <c r="UDQ67" s="122"/>
      <c r="UDR67" s="122"/>
      <c r="UDS67" s="122"/>
      <c r="UDT67" s="122"/>
      <c r="UDU67" s="122"/>
      <c r="UDV67" s="122"/>
      <c r="UDW67" s="122"/>
      <c r="UDX67" s="122"/>
      <c r="UDY67" s="122"/>
      <c r="UDZ67" s="122"/>
      <c r="UEA67" s="122"/>
      <c r="UEB67" s="122"/>
      <c r="UEC67" s="122"/>
      <c r="UED67" s="122"/>
      <c r="UEE67" s="122"/>
      <c r="UEF67" s="122"/>
      <c r="UEG67" s="122"/>
      <c r="UEH67" s="122"/>
      <c r="UEI67" s="122"/>
      <c r="UEJ67" s="122"/>
      <c r="UEK67" s="122"/>
      <c r="UEL67" s="122"/>
      <c r="UEM67" s="122"/>
      <c r="UEN67" s="122"/>
      <c r="UEO67" s="122"/>
      <c r="UEP67" s="122"/>
      <c r="UEQ67" s="122"/>
      <c r="UER67" s="122"/>
      <c r="UES67" s="122"/>
      <c r="UET67" s="122"/>
      <c r="UEU67" s="122"/>
      <c r="UEV67" s="122"/>
      <c r="UEW67" s="122"/>
      <c r="UEX67" s="122"/>
      <c r="UEY67" s="122"/>
      <c r="UEZ67" s="122"/>
      <c r="UFA67" s="122"/>
      <c r="UFB67" s="122"/>
      <c r="UFC67" s="122"/>
      <c r="UFD67" s="122"/>
      <c r="UFE67" s="122"/>
      <c r="UFF67" s="122"/>
      <c r="UFG67" s="122"/>
      <c r="UFH67" s="122"/>
      <c r="UFI67" s="122"/>
      <c r="UFJ67" s="122"/>
      <c r="UFK67" s="122"/>
      <c r="UFL67" s="122"/>
      <c r="UFM67" s="122"/>
      <c r="UFN67" s="122"/>
      <c r="UFO67" s="122"/>
      <c r="UFP67" s="122"/>
      <c r="UFQ67" s="122"/>
      <c r="UFR67" s="122"/>
      <c r="UFS67" s="122"/>
      <c r="UFT67" s="122"/>
      <c r="UFU67" s="122"/>
      <c r="UFV67" s="122"/>
      <c r="UFW67" s="122"/>
      <c r="UFX67" s="122"/>
      <c r="UFY67" s="122"/>
      <c r="UFZ67" s="122"/>
      <c r="UGA67" s="122"/>
      <c r="UGB67" s="122"/>
      <c r="UGC67" s="122"/>
      <c r="UGD67" s="122"/>
      <c r="UGE67" s="122"/>
      <c r="UGF67" s="122"/>
      <c r="UGG67" s="122"/>
      <c r="UGH67" s="122"/>
      <c r="UGI67" s="122"/>
      <c r="UGJ67" s="122"/>
      <c r="UGK67" s="122"/>
      <c r="UGL67" s="122"/>
      <c r="UGM67" s="122"/>
      <c r="UGN67" s="122"/>
      <c r="UGO67" s="122"/>
      <c r="UGP67" s="122"/>
      <c r="UGQ67" s="122"/>
      <c r="UGR67" s="122"/>
      <c r="UGS67" s="122"/>
      <c r="UGT67" s="122"/>
      <c r="UGU67" s="122"/>
      <c r="UGV67" s="122"/>
      <c r="UGW67" s="122"/>
      <c r="UGX67" s="122"/>
      <c r="UGY67" s="122"/>
      <c r="UGZ67" s="122"/>
      <c r="UHA67" s="122"/>
      <c r="UHB67" s="122"/>
      <c r="UHC67" s="122"/>
      <c r="UHD67" s="122"/>
      <c r="UHE67" s="122"/>
      <c r="UHF67" s="122"/>
      <c r="UHG67" s="122"/>
      <c r="UHH67" s="122"/>
      <c r="UHI67" s="122"/>
      <c r="UHJ67" s="122"/>
      <c r="UHK67" s="122"/>
      <c r="UHL67" s="122"/>
      <c r="UHM67" s="122"/>
      <c r="UHN67" s="122"/>
      <c r="UHO67" s="122"/>
      <c r="UHP67" s="122"/>
      <c r="UHQ67" s="122"/>
      <c r="UHR67" s="122"/>
      <c r="UHS67" s="122"/>
      <c r="UHT67" s="122"/>
      <c r="UHU67" s="122"/>
      <c r="UHV67" s="122"/>
      <c r="UHW67" s="122"/>
      <c r="UHX67" s="122"/>
      <c r="UHY67" s="122"/>
      <c r="UHZ67" s="122"/>
      <c r="UIA67" s="122"/>
      <c r="UIB67" s="122"/>
      <c r="UIC67" s="122"/>
      <c r="UID67" s="122"/>
      <c r="UIE67" s="122"/>
      <c r="UIF67" s="122"/>
      <c r="UIG67" s="122"/>
      <c r="UIH67" s="122"/>
      <c r="UII67" s="122"/>
      <c r="UIJ67" s="122"/>
      <c r="UIK67" s="122"/>
      <c r="UIL67" s="122"/>
      <c r="UIM67" s="122"/>
      <c r="UIN67" s="122"/>
      <c r="UIO67" s="122"/>
      <c r="UIP67" s="122"/>
      <c r="UIQ67" s="122"/>
      <c r="UIR67" s="122"/>
      <c r="UIS67" s="122"/>
      <c r="UIT67" s="122"/>
      <c r="UIU67" s="122"/>
      <c r="UIV67" s="122"/>
      <c r="UIW67" s="122"/>
      <c r="UIX67" s="122"/>
      <c r="UIY67" s="122"/>
      <c r="UIZ67" s="122"/>
      <c r="UJA67" s="122"/>
      <c r="UJB67" s="122"/>
      <c r="UJC67" s="122"/>
      <c r="UJD67" s="122"/>
      <c r="UJE67" s="122"/>
      <c r="UJF67" s="122"/>
      <c r="UJG67" s="122"/>
      <c r="UJH67" s="122"/>
      <c r="UJI67" s="122"/>
      <c r="UJJ67" s="122"/>
      <c r="UJK67" s="122"/>
      <c r="UJL67" s="122"/>
      <c r="UJM67" s="122"/>
      <c r="UJN67" s="122"/>
      <c r="UJO67" s="122"/>
      <c r="UJP67" s="122"/>
      <c r="UJQ67" s="122"/>
      <c r="UJR67" s="122"/>
      <c r="UJS67" s="122"/>
      <c r="UJT67" s="122"/>
      <c r="UJU67" s="122"/>
      <c r="UJV67" s="122"/>
      <c r="UJW67" s="122"/>
      <c r="UJX67" s="122"/>
      <c r="UJY67" s="122"/>
      <c r="UJZ67" s="122"/>
      <c r="UKA67" s="122"/>
      <c r="UKB67" s="122"/>
      <c r="UKC67" s="122"/>
      <c r="UKD67" s="122"/>
      <c r="UKE67" s="122"/>
      <c r="UKF67" s="122"/>
      <c r="UKG67" s="122"/>
      <c r="UKH67" s="122"/>
      <c r="UKI67" s="122"/>
      <c r="UKJ67" s="122"/>
      <c r="UKK67" s="122"/>
      <c r="UKL67" s="122"/>
      <c r="UKM67" s="122"/>
      <c r="UKN67" s="122"/>
      <c r="UKO67" s="122"/>
      <c r="UKP67" s="122"/>
      <c r="UKQ67" s="122"/>
      <c r="UKR67" s="122"/>
      <c r="UKS67" s="122"/>
      <c r="UKT67" s="122"/>
      <c r="UKU67" s="122"/>
      <c r="UKV67" s="122"/>
      <c r="UKW67" s="122"/>
      <c r="UKX67" s="122"/>
      <c r="UKY67" s="122"/>
      <c r="UKZ67" s="122"/>
      <c r="ULA67" s="122"/>
      <c r="ULB67" s="122"/>
      <c r="ULC67" s="122"/>
      <c r="ULD67" s="122"/>
      <c r="ULE67" s="122"/>
      <c r="ULF67" s="122"/>
      <c r="ULG67" s="122"/>
      <c r="ULH67" s="122"/>
      <c r="ULI67" s="122"/>
      <c r="ULJ67" s="122"/>
      <c r="ULK67" s="122"/>
      <c r="ULL67" s="122"/>
      <c r="ULM67" s="122"/>
      <c r="ULN67" s="122"/>
      <c r="ULO67" s="122"/>
      <c r="ULP67" s="122"/>
      <c r="ULQ67" s="122"/>
      <c r="ULR67" s="122"/>
      <c r="ULS67" s="122"/>
      <c r="ULT67" s="122"/>
      <c r="ULU67" s="122"/>
      <c r="ULV67" s="122"/>
      <c r="ULW67" s="122"/>
      <c r="ULX67" s="122"/>
      <c r="ULY67" s="122"/>
      <c r="ULZ67" s="122"/>
      <c r="UMA67" s="122"/>
      <c r="UMB67" s="122"/>
      <c r="UMC67" s="122"/>
      <c r="UMD67" s="122"/>
      <c r="UME67" s="122"/>
      <c r="UMF67" s="122"/>
      <c r="UMG67" s="122"/>
      <c r="UMH67" s="122"/>
      <c r="UMI67" s="122"/>
      <c r="UMJ67" s="122"/>
      <c r="UMK67" s="122"/>
      <c r="UML67" s="122"/>
      <c r="UMM67" s="122"/>
      <c r="UMN67" s="122"/>
      <c r="UMO67" s="122"/>
      <c r="UMP67" s="122"/>
      <c r="UMQ67" s="122"/>
      <c r="UMR67" s="122"/>
      <c r="UMS67" s="122"/>
      <c r="UMT67" s="122"/>
      <c r="UMU67" s="122"/>
      <c r="UMV67" s="122"/>
      <c r="UMW67" s="122"/>
      <c r="UMX67" s="122"/>
      <c r="UMY67" s="122"/>
      <c r="UMZ67" s="122"/>
      <c r="UNA67" s="122"/>
      <c r="UNB67" s="122"/>
      <c r="UNC67" s="122"/>
      <c r="UND67" s="122"/>
      <c r="UNE67" s="122"/>
      <c r="UNF67" s="122"/>
      <c r="UNG67" s="122"/>
      <c r="UNH67" s="122"/>
      <c r="UNI67" s="122"/>
      <c r="UNJ67" s="122"/>
      <c r="UNK67" s="122"/>
      <c r="UNL67" s="122"/>
      <c r="UNM67" s="122"/>
      <c r="UNN67" s="122"/>
      <c r="UNO67" s="122"/>
      <c r="UNP67" s="122"/>
      <c r="UNQ67" s="122"/>
      <c r="UNR67" s="122"/>
      <c r="UNS67" s="122"/>
      <c r="UNT67" s="122"/>
      <c r="UNU67" s="122"/>
      <c r="UNV67" s="122"/>
      <c r="UNW67" s="122"/>
      <c r="UNX67" s="122"/>
      <c r="UNY67" s="122"/>
      <c r="UNZ67" s="122"/>
      <c r="UOA67" s="122"/>
      <c r="UOB67" s="122"/>
      <c r="UOC67" s="122"/>
      <c r="UOD67" s="122"/>
      <c r="UOE67" s="122"/>
      <c r="UOF67" s="122"/>
      <c r="UOG67" s="122"/>
      <c r="UOH67" s="122"/>
      <c r="UOI67" s="122"/>
      <c r="UOJ67" s="122"/>
      <c r="UOK67" s="122"/>
      <c r="UOL67" s="122"/>
      <c r="UOM67" s="122"/>
      <c r="UON67" s="122"/>
      <c r="UOO67" s="122"/>
      <c r="UOP67" s="122"/>
      <c r="UOQ67" s="122"/>
      <c r="UOR67" s="122"/>
      <c r="UOS67" s="122"/>
      <c r="UOT67" s="122"/>
      <c r="UOU67" s="122"/>
      <c r="UOV67" s="122"/>
      <c r="UOW67" s="122"/>
      <c r="UOX67" s="122"/>
      <c r="UOY67" s="122"/>
      <c r="UOZ67" s="122"/>
      <c r="UPA67" s="122"/>
      <c r="UPB67" s="122"/>
      <c r="UPC67" s="122"/>
      <c r="UPD67" s="122"/>
      <c r="UPE67" s="122"/>
      <c r="UPF67" s="122"/>
      <c r="UPG67" s="122"/>
      <c r="UPH67" s="122"/>
      <c r="UPI67" s="122"/>
      <c r="UPJ67" s="122"/>
      <c r="UPK67" s="122"/>
      <c r="UPL67" s="122"/>
      <c r="UPM67" s="122"/>
      <c r="UPN67" s="122"/>
      <c r="UPO67" s="122"/>
      <c r="UPP67" s="122"/>
      <c r="UPQ67" s="122"/>
      <c r="UPR67" s="122"/>
      <c r="UPS67" s="122"/>
      <c r="UPT67" s="122"/>
      <c r="UPU67" s="122"/>
      <c r="UPV67" s="122"/>
      <c r="UPW67" s="122"/>
      <c r="UPX67" s="122"/>
      <c r="UPY67" s="122"/>
      <c r="UPZ67" s="122"/>
      <c r="UQA67" s="122"/>
      <c r="UQB67" s="122"/>
      <c r="UQC67" s="122"/>
      <c r="UQD67" s="122"/>
      <c r="UQE67" s="122"/>
      <c r="UQF67" s="122"/>
      <c r="UQG67" s="122"/>
      <c r="UQH67" s="122"/>
      <c r="UQI67" s="122"/>
      <c r="UQJ67" s="122"/>
      <c r="UQK67" s="122"/>
      <c r="UQL67" s="122"/>
      <c r="UQM67" s="122"/>
      <c r="UQN67" s="122"/>
      <c r="UQO67" s="122"/>
      <c r="UQP67" s="122"/>
      <c r="UQQ67" s="122"/>
      <c r="UQR67" s="122"/>
      <c r="UQS67" s="122"/>
      <c r="UQT67" s="122"/>
      <c r="UQU67" s="122"/>
      <c r="UQV67" s="122"/>
      <c r="UQW67" s="122"/>
      <c r="UQX67" s="122"/>
      <c r="UQY67" s="122"/>
      <c r="UQZ67" s="122"/>
      <c r="URA67" s="122"/>
      <c r="URB67" s="122"/>
      <c r="URC67" s="122"/>
      <c r="URD67" s="122"/>
      <c r="URE67" s="122"/>
      <c r="URF67" s="122"/>
      <c r="URG67" s="122"/>
      <c r="URH67" s="122"/>
      <c r="URI67" s="122"/>
      <c r="URJ67" s="122"/>
      <c r="URK67" s="122"/>
      <c r="URL67" s="122"/>
      <c r="URM67" s="122"/>
      <c r="URN67" s="122"/>
      <c r="URO67" s="122"/>
      <c r="URP67" s="122"/>
      <c r="URQ67" s="122"/>
      <c r="URR67" s="122"/>
      <c r="URS67" s="122"/>
      <c r="URT67" s="122"/>
      <c r="URU67" s="122"/>
      <c r="URV67" s="122"/>
      <c r="URW67" s="122"/>
      <c r="URX67" s="122"/>
      <c r="URY67" s="122"/>
      <c r="URZ67" s="122"/>
      <c r="USA67" s="122"/>
      <c r="USB67" s="122"/>
      <c r="USC67" s="122"/>
      <c r="USD67" s="122"/>
      <c r="USE67" s="122"/>
      <c r="USF67" s="122"/>
      <c r="USG67" s="122"/>
      <c r="USH67" s="122"/>
      <c r="USI67" s="122"/>
      <c r="USJ67" s="122"/>
      <c r="USK67" s="122"/>
      <c r="USL67" s="122"/>
      <c r="USM67" s="122"/>
      <c r="USN67" s="122"/>
      <c r="USO67" s="122"/>
      <c r="USP67" s="122"/>
      <c r="USQ67" s="122"/>
      <c r="USR67" s="122"/>
      <c r="USS67" s="122"/>
      <c r="UST67" s="122"/>
      <c r="USU67" s="122"/>
      <c r="USV67" s="122"/>
      <c r="USW67" s="122"/>
      <c r="USX67" s="122"/>
      <c r="USY67" s="122"/>
      <c r="USZ67" s="122"/>
      <c r="UTA67" s="122"/>
      <c r="UTB67" s="122"/>
      <c r="UTC67" s="122"/>
      <c r="UTD67" s="122"/>
      <c r="UTE67" s="122"/>
      <c r="UTF67" s="122"/>
      <c r="UTG67" s="122"/>
      <c r="UTH67" s="122"/>
      <c r="UTI67" s="122"/>
      <c r="UTJ67" s="122"/>
      <c r="UTK67" s="122"/>
      <c r="UTL67" s="122"/>
      <c r="UTM67" s="122"/>
      <c r="UTN67" s="122"/>
      <c r="UTO67" s="122"/>
      <c r="UTP67" s="122"/>
      <c r="UTQ67" s="122"/>
      <c r="UTR67" s="122"/>
      <c r="UTS67" s="122"/>
      <c r="UTT67" s="122"/>
      <c r="UTU67" s="122"/>
      <c r="UTV67" s="122"/>
      <c r="UTW67" s="122"/>
      <c r="UTX67" s="122"/>
      <c r="UTY67" s="122"/>
      <c r="UTZ67" s="122"/>
      <c r="UUA67" s="122"/>
      <c r="UUB67" s="122"/>
      <c r="UUC67" s="122"/>
      <c r="UUD67" s="122"/>
      <c r="UUE67" s="122"/>
      <c r="UUF67" s="122"/>
      <c r="UUG67" s="122"/>
      <c r="UUH67" s="122"/>
      <c r="UUI67" s="122"/>
      <c r="UUJ67" s="122"/>
      <c r="UUK67" s="122"/>
      <c r="UUL67" s="122"/>
      <c r="UUM67" s="122"/>
      <c r="UUN67" s="122"/>
      <c r="UUO67" s="122"/>
      <c r="UUP67" s="122"/>
      <c r="UUQ67" s="122"/>
      <c r="UUR67" s="122"/>
      <c r="UUS67" s="122"/>
      <c r="UUT67" s="122"/>
      <c r="UUU67" s="122"/>
      <c r="UUV67" s="122"/>
      <c r="UUW67" s="122"/>
      <c r="UUX67" s="122"/>
      <c r="UUY67" s="122"/>
      <c r="UUZ67" s="122"/>
      <c r="UVA67" s="122"/>
      <c r="UVB67" s="122"/>
      <c r="UVC67" s="122"/>
      <c r="UVD67" s="122"/>
      <c r="UVE67" s="122"/>
      <c r="UVF67" s="122"/>
      <c r="UVG67" s="122"/>
      <c r="UVH67" s="122"/>
      <c r="UVI67" s="122"/>
      <c r="UVJ67" s="122"/>
      <c r="UVK67" s="122"/>
      <c r="UVL67" s="122"/>
      <c r="UVM67" s="122"/>
      <c r="UVN67" s="122"/>
      <c r="UVO67" s="122"/>
      <c r="UVP67" s="122"/>
      <c r="UVQ67" s="122"/>
      <c r="UVR67" s="122"/>
      <c r="UVS67" s="122"/>
      <c r="UVT67" s="122"/>
      <c r="UVU67" s="122"/>
      <c r="UVV67" s="122"/>
      <c r="UVW67" s="122"/>
      <c r="UVX67" s="122"/>
      <c r="UVY67" s="122"/>
      <c r="UVZ67" s="122"/>
      <c r="UWA67" s="122"/>
      <c r="UWB67" s="122"/>
      <c r="UWC67" s="122"/>
      <c r="UWD67" s="122"/>
      <c r="UWE67" s="122"/>
      <c r="UWF67" s="122"/>
      <c r="UWG67" s="122"/>
      <c r="UWH67" s="122"/>
      <c r="UWI67" s="122"/>
      <c r="UWJ67" s="122"/>
      <c r="UWK67" s="122"/>
      <c r="UWL67" s="122"/>
      <c r="UWM67" s="122"/>
      <c r="UWN67" s="122"/>
      <c r="UWO67" s="122"/>
      <c r="UWP67" s="122"/>
      <c r="UWQ67" s="122"/>
      <c r="UWR67" s="122"/>
      <c r="UWS67" s="122"/>
      <c r="UWT67" s="122"/>
      <c r="UWU67" s="122"/>
      <c r="UWV67" s="122"/>
      <c r="UWW67" s="122"/>
      <c r="UWX67" s="122"/>
      <c r="UWY67" s="122"/>
      <c r="UWZ67" s="122"/>
      <c r="UXA67" s="122"/>
      <c r="UXB67" s="122"/>
      <c r="UXC67" s="122"/>
      <c r="UXD67" s="122"/>
      <c r="UXE67" s="122"/>
      <c r="UXF67" s="122"/>
      <c r="UXG67" s="122"/>
      <c r="UXH67" s="122"/>
      <c r="UXI67" s="122"/>
      <c r="UXJ67" s="122"/>
      <c r="UXK67" s="122"/>
      <c r="UXL67" s="122"/>
      <c r="UXM67" s="122"/>
      <c r="UXN67" s="122"/>
      <c r="UXO67" s="122"/>
      <c r="UXP67" s="122"/>
      <c r="UXQ67" s="122"/>
      <c r="UXR67" s="122"/>
      <c r="UXS67" s="122"/>
      <c r="UXT67" s="122"/>
      <c r="UXU67" s="122"/>
      <c r="UXV67" s="122"/>
      <c r="UXW67" s="122"/>
      <c r="UXX67" s="122"/>
      <c r="UXY67" s="122"/>
      <c r="UXZ67" s="122"/>
      <c r="UYA67" s="122"/>
      <c r="UYB67" s="122"/>
      <c r="UYC67" s="122"/>
      <c r="UYD67" s="122"/>
      <c r="UYE67" s="122"/>
      <c r="UYF67" s="122"/>
      <c r="UYG67" s="122"/>
      <c r="UYH67" s="122"/>
      <c r="UYI67" s="122"/>
      <c r="UYJ67" s="122"/>
      <c r="UYK67" s="122"/>
      <c r="UYL67" s="122"/>
      <c r="UYM67" s="122"/>
      <c r="UYN67" s="122"/>
      <c r="UYO67" s="122"/>
      <c r="UYP67" s="122"/>
      <c r="UYQ67" s="122"/>
      <c r="UYR67" s="122"/>
      <c r="UYS67" s="122"/>
      <c r="UYT67" s="122"/>
      <c r="UYU67" s="122"/>
      <c r="UYV67" s="122"/>
      <c r="UYW67" s="122"/>
      <c r="UYX67" s="122"/>
      <c r="UYY67" s="122"/>
      <c r="UYZ67" s="122"/>
      <c r="UZA67" s="122"/>
      <c r="UZB67" s="122"/>
      <c r="UZC67" s="122"/>
      <c r="UZD67" s="122"/>
      <c r="UZE67" s="122"/>
      <c r="UZF67" s="122"/>
      <c r="UZG67" s="122"/>
      <c r="UZH67" s="122"/>
      <c r="UZI67" s="122"/>
      <c r="UZJ67" s="122"/>
      <c r="UZK67" s="122"/>
      <c r="UZL67" s="122"/>
      <c r="UZM67" s="122"/>
      <c r="UZN67" s="122"/>
      <c r="UZO67" s="122"/>
      <c r="UZP67" s="122"/>
      <c r="UZQ67" s="122"/>
      <c r="UZR67" s="122"/>
      <c r="UZS67" s="122"/>
      <c r="UZT67" s="122"/>
      <c r="UZU67" s="122"/>
      <c r="UZV67" s="122"/>
      <c r="UZW67" s="122"/>
      <c r="UZX67" s="122"/>
      <c r="UZY67" s="122"/>
      <c r="UZZ67" s="122"/>
      <c r="VAA67" s="122"/>
      <c r="VAB67" s="122"/>
      <c r="VAC67" s="122"/>
      <c r="VAD67" s="122"/>
      <c r="VAE67" s="122"/>
      <c r="VAF67" s="122"/>
      <c r="VAG67" s="122"/>
      <c r="VAH67" s="122"/>
      <c r="VAI67" s="122"/>
      <c r="VAJ67" s="122"/>
      <c r="VAK67" s="122"/>
      <c r="VAL67" s="122"/>
      <c r="VAM67" s="122"/>
      <c r="VAN67" s="122"/>
      <c r="VAO67" s="122"/>
      <c r="VAP67" s="122"/>
      <c r="VAQ67" s="122"/>
      <c r="VAR67" s="122"/>
      <c r="VAS67" s="122"/>
      <c r="VAT67" s="122"/>
      <c r="VAU67" s="122"/>
      <c r="VAV67" s="122"/>
      <c r="VAW67" s="122"/>
      <c r="VAX67" s="122"/>
      <c r="VAY67" s="122"/>
      <c r="VAZ67" s="122"/>
      <c r="VBA67" s="122"/>
      <c r="VBB67" s="122"/>
      <c r="VBC67" s="122"/>
      <c r="VBD67" s="122"/>
      <c r="VBE67" s="122"/>
      <c r="VBF67" s="122"/>
      <c r="VBG67" s="122"/>
      <c r="VBH67" s="122"/>
      <c r="VBI67" s="122"/>
      <c r="VBJ67" s="122"/>
      <c r="VBK67" s="122"/>
      <c r="VBL67" s="122"/>
      <c r="VBM67" s="122"/>
      <c r="VBN67" s="122"/>
      <c r="VBO67" s="122"/>
      <c r="VBP67" s="122"/>
      <c r="VBQ67" s="122"/>
      <c r="VBR67" s="122"/>
      <c r="VBS67" s="122"/>
      <c r="VBT67" s="122"/>
      <c r="VBU67" s="122"/>
      <c r="VBV67" s="122"/>
      <c r="VBW67" s="122"/>
      <c r="VBX67" s="122"/>
      <c r="VBY67" s="122"/>
      <c r="VBZ67" s="122"/>
      <c r="VCA67" s="122"/>
      <c r="VCB67" s="122"/>
      <c r="VCC67" s="122"/>
      <c r="VCD67" s="122"/>
      <c r="VCE67" s="122"/>
      <c r="VCF67" s="122"/>
      <c r="VCG67" s="122"/>
      <c r="VCH67" s="122"/>
      <c r="VCI67" s="122"/>
      <c r="VCJ67" s="122"/>
      <c r="VCK67" s="122"/>
      <c r="VCL67" s="122"/>
      <c r="VCM67" s="122"/>
      <c r="VCN67" s="122"/>
      <c r="VCO67" s="122"/>
      <c r="VCP67" s="122"/>
      <c r="VCQ67" s="122"/>
      <c r="VCR67" s="122"/>
      <c r="VCS67" s="122"/>
      <c r="VCT67" s="122"/>
      <c r="VCU67" s="122"/>
      <c r="VCV67" s="122"/>
      <c r="VCW67" s="122"/>
      <c r="VCX67" s="122"/>
      <c r="VCY67" s="122"/>
      <c r="VCZ67" s="122"/>
      <c r="VDA67" s="122"/>
      <c r="VDB67" s="122"/>
      <c r="VDC67" s="122"/>
      <c r="VDD67" s="122"/>
      <c r="VDE67" s="122"/>
      <c r="VDF67" s="122"/>
      <c r="VDG67" s="122"/>
      <c r="VDH67" s="122"/>
      <c r="VDI67" s="122"/>
      <c r="VDJ67" s="122"/>
      <c r="VDK67" s="122"/>
      <c r="VDL67" s="122"/>
      <c r="VDM67" s="122"/>
      <c r="VDN67" s="122"/>
      <c r="VDO67" s="122"/>
      <c r="VDP67" s="122"/>
      <c r="VDQ67" s="122"/>
      <c r="VDR67" s="122"/>
      <c r="VDS67" s="122"/>
      <c r="VDT67" s="122"/>
      <c r="VDU67" s="122"/>
      <c r="VDV67" s="122"/>
      <c r="VDW67" s="122"/>
      <c r="VDX67" s="122"/>
      <c r="VDY67" s="122"/>
      <c r="VDZ67" s="122"/>
      <c r="VEA67" s="122"/>
      <c r="VEB67" s="122"/>
      <c r="VEC67" s="122"/>
      <c r="VED67" s="122"/>
      <c r="VEE67" s="122"/>
      <c r="VEF67" s="122"/>
      <c r="VEG67" s="122"/>
      <c r="VEH67" s="122"/>
      <c r="VEI67" s="122"/>
      <c r="VEJ67" s="122"/>
      <c r="VEK67" s="122"/>
      <c r="VEL67" s="122"/>
      <c r="VEM67" s="122"/>
      <c r="VEN67" s="122"/>
      <c r="VEO67" s="122"/>
      <c r="VEP67" s="122"/>
      <c r="VEQ67" s="122"/>
      <c r="VER67" s="122"/>
      <c r="VES67" s="122"/>
      <c r="VET67" s="122"/>
      <c r="VEU67" s="122"/>
      <c r="VEV67" s="122"/>
      <c r="VEW67" s="122"/>
      <c r="VEX67" s="122"/>
      <c r="VEY67" s="122"/>
      <c r="VEZ67" s="122"/>
      <c r="VFA67" s="122"/>
      <c r="VFB67" s="122"/>
      <c r="VFC67" s="122"/>
      <c r="VFD67" s="122"/>
      <c r="VFE67" s="122"/>
      <c r="VFF67" s="122"/>
      <c r="VFG67" s="122"/>
      <c r="VFH67" s="122"/>
      <c r="VFI67" s="122"/>
      <c r="VFJ67" s="122"/>
      <c r="VFK67" s="122"/>
      <c r="VFL67" s="122"/>
      <c r="VFM67" s="122"/>
      <c r="VFN67" s="122"/>
      <c r="VFO67" s="122"/>
      <c r="VFP67" s="122"/>
      <c r="VFQ67" s="122"/>
      <c r="VFR67" s="122"/>
      <c r="VFS67" s="122"/>
      <c r="VFT67" s="122"/>
      <c r="VFU67" s="122"/>
      <c r="VFV67" s="122"/>
      <c r="VFW67" s="122"/>
      <c r="VFX67" s="122"/>
      <c r="VFY67" s="122"/>
      <c r="VFZ67" s="122"/>
      <c r="VGA67" s="122"/>
      <c r="VGB67" s="122"/>
      <c r="VGC67" s="122"/>
      <c r="VGD67" s="122"/>
      <c r="VGE67" s="122"/>
      <c r="VGF67" s="122"/>
      <c r="VGG67" s="122"/>
      <c r="VGH67" s="122"/>
      <c r="VGI67" s="122"/>
      <c r="VGJ67" s="122"/>
      <c r="VGK67" s="122"/>
      <c r="VGL67" s="122"/>
      <c r="VGM67" s="122"/>
      <c r="VGN67" s="122"/>
      <c r="VGO67" s="122"/>
      <c r="VGP67" s="122"/>
      <c r="VGQ67" s="122"/>
      <c r="VGR67" s="122"/>
      <c r="VGS67" s="122"/>
      <c r="VGT67" s="122"/>
      <c r="VGU67" s="122"/>
      <c r="VGV67" s="122"/>
      <c r="VGW67" s="122"/>
      <c r="VGX67" s="122"/>
      <c r="VGY67" s="122"/>
      <c r="VGZ67" s="122"/>
      <c r="VHA67" s="122"/>
      <c r="VHB67" s="122"/>
      <c r="VHC67" s="122"/>
      <c r="VHD67" s="122"/>
      <c r="VHE67" s="122"/>
      <c r="VHF67" s="122"/>
      <c r="VHG67" s="122"/>
      <c r="VHH67" s="122"/>
      <c r="VHI67" s="122"/>
      <c r="VHJ67" s="122"/>
      <c r="VHK67" s="122"/>
      <c r="VHL67" s="122"/>
      <c r="VHM67" s="122"/>
      <c r="VHN67" s="122"/>
      <c r="VHO67" s="122"/>
      <c r="VHP67" s="122"/>
      <c r="VHQ67" s="122"/>
      <c r="VHR67" s="122"/>
      <c r="VHS67" s="122"/>
      <c r="VHT67" s="122"/>
      <c r="VHU67" s="122"/>
      <c r="VHV67" s="122"/>
      <c r="VHW67" s="122"/>
      <c r="VHX67" s="122"/>
      <c r="VHY67" s="122"/>
      <c r="VHZ67" s="122"/>
      <c r="VIA67" s="122"/>
      <c r="VIB67" s="122"/>
      <c r="VIC67" s="122"/>
      <c r="VID67" s="122"/>
      <c r="VIE67" s="122"/>
      <c r="VIF67" s="122"/>
      <c r="VIG67" s="122"/>
      <c r="VIH67" s="122"/>
      <c r="VII67" s="122"/>
      <c r="VIJ67" s="122"/>
      <c r="VIK67" s="122"/>
      <c r="VIL67" s="122"/>
      <c r="VIM67" s="122"/>
      <c r="VIN67" s="122"/>
      <c r="VIO67" s="122"/>
      <c r="VIP67" s="122"/>
      <c r="VIQ67" s="122"/>
      <c r="VIR67" s="122"/>
      <c r="VIS67" s="122"/>
      <c r="VIT67" s="122"/>
      <c r="VIU67" s="122"/>
      <c r="VIV67" s="122"/>
      <c r="VIW67" s="122"/>
      <c r="VIX67" s="122"/>
      <c r="VIY67" s="122"/>
      <c r="VIZ67" s="122"/>
      <c r="VJA67" s="122"/>
      <c r="VJB67" s="122"/>
      <c r="VJC67" s="122"/>
      <c r="VJD67" s="122"/>
      <c r="VJE67" s="122"/>
      <c r="VJF67" s="122"/>
      <c r="VJG67" s="122"/>
      <c r="VJH67" s="122"/>
      <c r="VJI67" s="122"/>
      <c r="VJJ67" s="122"/>
      <c r="VJK67" s="122"/>
      <c r="VJL67" s="122"/>
      <c r="VJM67" s="122"/>
      <c r="VJN67" s="122"/>
      <c r="VJO67" s="122"/>
      <c r="VJP67" s="122"/>
      <c r="VJQ67" s="122"/>
      <c r="VJR67" s="122"/>
      <c r="VJS67" s="122"/>
      <c r="VJT67" s="122"/>
      <c r="VJU67" s="122"/>
      <c r="VJV67" s="122"/>
      <c r="VJW67" s="122"/>
      <c r="VJX67" s="122"/>
      <c r="VJY67" s="122"/>
      <c r="VJZ67" s="122"/>
      <c r="VKA67" s="122"/>
      <c r="VKB67" s="122"/>
      <c r="VKC67" s="122"/>
      <c r="VKD67" s="122"/>
      <c r="VKE67" s="122"/>
      <c r="VKF67" s="122"/>
      <c r="VKG67" s="122"/>
      <c r="VKH67" s="122"/>
      <c r="VKI67" s="122"/>
      <c r="VKJ67" s="122"/>
      <c r="VKK67" s="122"/>
      <c r="VKL67" s="122"/>
      <c r="VKM67" s="122"/>
      <c r="VKN67" s="122"/>
      <c r="VKO67" s="122"/>
      <c r="VKP67" s="122"/>
      <c r="VKQ67" s="122"/>
      <c r="VKR67" s="122"/>
      <c r="VKS67" s="122"/>
      <c r="VKT67" s="122"/>
      <c r="VKU67" s="122"/>
      <c r="VKV67" s="122"/>
      <c r="VKW67" s="122"/>
      <c r="VKX67" s="122"/>
      <c r="VKY67" s="122"/>
      <c r="VKZ67" s="122"/>
      <c r="VLA67" s="122"/>
      <c r="VLB67" s="122"/>
      <c r="VLC67" s="122"/>
      <c r="VLD67" s="122"/>
      <c r="VLE67" s="122"/>
      <c r="VLF67" s="122"/>
      <c r="VLG67" s="122"/>
      <c r="VLH67" s="122"/>
      <c r="VLI67" s="122"/>
      <c r="VLJ67" s="122"/>
      <c r="VLK67" s="122"/>
      <c r="VLL67" s="122"/>
      <c r="VLM67" s="122"/>
      <c r="VLN67" s="122"/>
      <c r="VLO67" s="122"/>
      <c r="VLP67" s="122"/>
      <c r="VLQ67" s="122"/>
      <c r="VLR67" s="122"/>
      <c r="VLS67" s="122"/>
      <c r="VLT67" s="122"/>
      <c r="VLU67" s="122"/>
      <c r="VLV67" s="122"/>
      <c r="VLW67" s="122"/>
      <c r="VLX67" s="122"/>
      <c r="VLY67" s="122"/>
      <c r="VLZ67" s="122"/>
      <c r="VMA67" s="122"/>
      <c r="VMB67" s="122"/>
      <c r="VMC67" s="122"/>
      <c r="VMD67" s="122"/>
      <c r="VME67" s="122"/>
      <c r="VMF67" s="122"/>
      <c r="VMG67" s="122"/>
      <c r="VMH67" s="122"/>
      <c r="VMI67" s="122"/>
      <c r="VMJ67" s="122"/>
      <c r="VMK67" s="122"/>
      <c r="VML67" s="122"/>
      <c r="VMM67" s="122"/>
      <c r="VMN67" s="122"/>
      <c r="VMO67" s="122"/>
      <c r="VMP67" s="122"/>
      <c r="VMQ67" s="122"/>
      <c r="VMR67" s="122"/>
      <c r="VMS67" s="122"/>
      <c r="VMT67" s="122"/>
      <c r="VMU67" s="122"/>
      <c r="VMV67" s="122"/>
      <c r="VMW67" s="122"/>
      <c r="VMX67" s="122"/>
      <c r="VMY67" s="122"/>
      <c r="VMZ67" s="122"/>
      <c r="VNA67" s="122"/>
      <c r="VNB67" s="122"/>
      <c r="VNC67" s="122"/>
      <c r="VND67" s="122"/>
      <c r="VNE67" s="122"/>
      <c r="VNF67" s="122"/>
      <c r="VNG67" s="122"/>
      <c r="VNH67" s="122"/>
      <c r="VNI67" s="122"/>
      <c r="VNJ67" s="122"/>
      <c r="VNK67" s="122"/>
      <c r="VNL67" s="122"/>
      <c r="VNM67" s="122"/>
      <c r="VNN67" s="122"/>
      <c r="VNO67" s="122"/>
      <c r="VNP67" s="122"/>
      <c r="VNQ67" s="122"/>
      <c r="VNR67" s="122"/>
      <c r="VNS67" s="122"/>
      <c r="VNT67" s="122"/>
      <c r="VNU67" s="122"/>
      <c r="VNV67" s="122"/>
      <c r="VNW67" s="122"/>
      <c r="VNX67" s="122"/>
      <c r="VNY67" s="122"/>
      <c r="VNZ67" s="122"/>
      <c r="VOA67" s="122"/>
      <c r="VOB67" s="122"/>
      <c r="VOC67" s="122"/>
      <c r="VOD67" s="122"/>
      <c r="VOE67" s="122"/>
      <c r="VOF67" s="122"/>
      <c r="VOG67" s="122"/>
      <c r="VOH67" s="122"/>
      <c r="VOI67" s="122"/>
      <c r="VOJ67" s="122"/>
      <c r="VOK67" s="122"/>
      <c r="VOL67" s="122"/>
      <c r="VOM67" s="122"/>
      <c r="VON67" s="122"/>
      <c r="VOO67" s="122"/>
      <c r="VOP67" s="122"/>
      <c r="VOQ67" s="122"/>
      <c r="VOR67" s="122"/>
      <c r="VOS67" s="122"/>
      <c r="VOT67" s="122"/>
      <c r="VOU67" s="122"/>
      <c r="VOV67" s="122"/>
      <c r="VOW67" s="122"/>
      <c r="VOX67" s="122"/>
      <c r="VOY67" s="122"/>
      <c r="VOZ67" s="122"/>
      <c r="VPA67" s="122"/>
      <c r="VPB67" s="122"/>
      <c r="VPC67" s="122"/>
      <c r="VPD67" s="122"/>
      <c r="VPE67" s="122"/>
      <c r="VPF67" s="122"/>
      <c r="VPG67" s="122"/>
      <c r="VPH67" s="122"/>
      <c r="VPI67" s="122"/>
      <c r="VPJ67" s="122"/>
      <c r="VPK67" s="122"/>
      <c r="VPL67" s="122"/>
      <c r="VPM67" s="122"/>
      <c r="VPN67" s="122"/>
      <c r="VPO67" s="122"/>
      <c r="VPP67" s="122"/>
      <c r="VPQ67" s="122"/>
      <c r="VPR67" s="122"/>
      <c r="VPS67" s="122"/>
      <c r="VPT67" s="122"/>
      <c r="VPU67" s="122"/>
      <c r="VPV67" s="122"/>
      <c r="VPW67" s="122"/>
      <c r="VPX67" s="122"/>
      <c r="VPY67" s="122"/>
      <c r="VPZ67" s="122"/>
      <c r="VQA67" s="122"/>
      <c r="VQB67" s="122"/>
      <c r="VQC67" s="122"/>
      <c r="VQD67" s="122"/>
      <c r="VQE67" s="122"/>
      <c r="VQF67" s="122"/>
      <c r="VQG67" s="122"/>
      <c r="VQH67" s="122"/>
      <c r="VQI67" s="122"/>
      <c r="VQJ67" s="122"/>
      <c r="VQK67" s="122"/>
      <c r="VQL67" s="122"/>
      <c r="VQM67" s="122"/>
      <c r="VQN67" s="122"/>
      <c r="VQO67" s="122"/>
      <c r="VQP67" s="122"/>
      <c r="VQQ67" s="122"/>
      <c r="VQR67" s="122"/>
      <c r="VQS67" s="122"/>
      <c r="VQT67" s="122"/>
      <c r="VQU67" s="122"/>
      <c r="VQV67" s="122"/>
      <c r="VQW67" s="122"/>
      <c r="VQX67" s="122"/>
      <c r="VQY67" s="122"/>
      <c r="VQZ67" s="122"/>
      <c r="VRA67" s="122"/>
      <c r="VRB67" s="122"/>
      <c r="VRC67" s="122"/>
      <c r="VRD67" s="122"/>
      <c r="VRE67" s="122"/>
      <c r="VRF67" s="122"/>
      <c r="VRG67" s="122"/>
      <c r="VRH67" s="122"/>
      <c r="VRI67" s="122"/>
      <c r="VRJ67" s="122"/>
      <c r="VRK67" s="122"/>
      <c r="VRL67" s="122"/>
      <c r="VRM67" s="122"/>
      <c r="VRN67" s="122"/>
      <c r="VRO67" s="122"/>
      <c r="VRP67" s="122"/>
      <c r="VRQ67" s="122"/>
      <c r="VRR67" s="122"/>
      <c r="VRS67" s="122"/>
      <c r="VRT67" s="122"/>
      <c r="VRU67" s="122"/>
      <c r="VRV67" s="122"/>
      <c r="VRW67" s="122"/>
      <c r="VRX67" s="122"/>
      <c r="VRY67" s="122"/>
      <c r="VRZ67" s="122"/>
      <c r="VSA67" s="122"/>
      <c r="VSB67" s="122"/>
      <c r="VSC67" s="122"/>
      <c r="VSD67" s="122"/>
      <c r="VSE67" s="122"/>
      <c r="VSF67" s="122"/>
      <c r="VSG67" s="122"/>
      <c r="VSH67" s="122"/>
      <c r="VSI67" s="122"/>
      <c r="VSJ67" s="122"/>
      <c r="VSK67" s="122"/>
      <c r="VSL67" s="122"/>
      <c r="VSM67" s="122"/>
      <c r="VSN67" s="122"/>
      <c r="VSO67" s="122"/>
      <c r="VSP67" s="122"/>
      <c r="VSQ67" s="122"/>
      <c r="VSR67" s="122"/>
      <c r="VSS67" s="122"/>
      <c r="VST67" s="122"/>
      <c r="VSU67" s="122"/>
      <c r="VSV67" s="122"/>
      <c r="VSW67" s="122"/>
      <c r="VSX67" s="122"/>
      <c r="VSY67" s="122"/>
      <c r="VSZ67" s="122"/>
      <c r="VTA67" s="122"/>
      <c r="VTB67" s="122"/>
      <c r="VTC67" s="122"/>
      <c r="VTD67" s="122"/>
      <c r="VTE67" s="122"/>
      <c r="VTF67" s="122"/>
      <c r="VTG67" s="122"/>
      <c r="VTH67" s="122"/>
      <c r="VTI67" s="122"/>
      <c r="VTJ67" s="122"/>
      <c r="VTK67" s="122"/>
      <c r="VTL67" s="122"/>
      <c r="VTM67" s="122"/>
      <c r="VTN67" s="122"/>
      <c r="VTO67" s="122"/>
      <c r="VTP67" s="122"/>
      <c r="VTQ67" s="122"/>
      <c r="VTR67" s="122"/>
      <c r="VTS67" s="122"/>
      <c r="VTT67" s="122"/>
      <c r="VTU67" s="122"/>
      <c r="VTV67" s="122"/>
      <c r="VTW67" s="122"/>
      <c r="VTX67" s="122"/>
      <c r="VTY67" s="122"/>
      <c r="VTZ67" s="122"/>
      <c r="VUA67" s="122"/>
      <c r="VUB67" s="122"/>
      <c r="VUC67" s="122"/>
      <c r="VUD67" s="122"/>
      <c r="VUE67" s="122"/>
      <c r="VUF67" s="122"/>
      <c r="VUG67" s="122"/>
      <c r="VUH67" s="122"/>
      <c r="VUI67" s="122"/>
      <c r="VUJ67" s="122"/>
      <c r="VUK67" s="122"/>
      <c r="VUL67" s="122"/>
      <c r="VUM67" s="122"/>
      <c r="VUN67" s="122"/>
      <c r="VUO67" s="122"/>
      <c r="VUP67" s="122"/>
      <c r="VUQ67" s="122"/>
      <c r="VUR67" s="122"/>
      <c r="VUS67" s="122"/>
      <c r="VUT67" s="122"/>
      <c r="VUU67" s="122"/>
      <c r="VUV67" s="122"/>
      <c r="VUW67" s="122"/>
      <c r="VUX67" s="122"/>
      <c r="VUY67" s="122"/>
      <c r="VUZ67" s="122"/>
      <c r="VVA67" s="122"/>
      <c r="VVB67" s="122"/>
      <c r="VVC67" s="122"/>
      <c r="VVD67" s="122"/>
      <c r="VVE67" s="122"/>
      <c r="VVF67" s="122"/>
      <c r="VVG67" s="122"/>
      <c r="VVH67" s="122"/>
      <c r="VVI67" s="122"/>
      <c r="VVJ67" s="122"/>
      <c r="VVK67" s="122"/>
      <c r="VVL67" s="122"/>
      <c r="VVM67" s="122"/>
      <c r="VVN67" s="122"/>
      <c r="VVO67" s="122"/>
      <c r="VVP67" s="122"/>
      <c r="VVQ67" s="122"/>
      <c r="VVR67" s="122"/>
      <c r="VVS67" s="122"/>
      <c r="VVT67" s="122"/>
      <c r="VVU67" s="122"/>
      <c r="VVV67" s="122"/>
      <c r="VVW67" s="122"/>
      <c r="VVX67" s="122"/>
      <c r="VVY67" s="122"/>
      <c r="VVZ67" s="122"/>
      <c r="VWA67" s="122"/>
      <c r="VWB67" s="122"/>
      <c r="VWC67" s="122"/>
      <c r="VWD67" s="122"/>
      <c r="VWE67" s="122"/>
      <c r="VWF67" s="122"/>
      <c r="VWG67" s="122"/>
      <c r="VWH67" s="122"/>
      <c r="VWI67" s="122"/>
      <c r="VWJ67" s="122"/>
      <c r="VWK67" s="122"/>
      <c r="VWL67" s="122"/>
      <c r="VWM67" s="122"/>
      <c r="VWN67" s="122"/>
      <c r="VWO67" s="122"/>
      <c r="VWP67" s="122"/>
      <c r="VWQ67" s="122"/>
      <c r="VWR67" s="122"/>
      <c r="VWS67" s="122"/>
      <c r="VWT67" s="122"/>
      <c r="VWU67" s="122"/>
      <c r="VWV67" s="122"/>
      <c r="VWW67" s="122"/>
      <c r="VWX67" s="122"/>
      <c r="VWY67" s="122"/>
      <c r="VWZ67" s="122"/>
      <c r="VXA67" s="122"/>
      <c r="VXB67" s="122"/>
      <c r="VXC67" s="122"/>
      <c r="VXD67" s="122"/>
      <c r="VXE67" s="122"/>
      <c r="VXF67" s="122"/>
      <c r="VXG67" s="122"/>
      <c r="VXH67" s="122"/>
      <c r="VXI67" s="122"/>
      <c r="VXJ67" s="122"/>
      <c r="VXK67" s="122"/>
      <c r="VXL67" s="122"/>
      <c r="VXM67" s="122"/>
      <c r="VXN67" s="122"/>
      <c r="VXO67" s="122"/>
      <c r="VXP67" s="122"/>
      <c r="VXQ67" s="122"/>
      <c r="VXR67" s="122"/>
      <c r="VXS67" s="122"/>
      <c r="VXT67" s="122"/>
      <c r="VXU67" s="122"/>
      <c r="VXV67" s="122"/>
      <c r="VXW67" s="122"/>
      <c r="VXX67" s="122"/>
      <c r="VXY67" s="122"/>
      <c r="VXZ67" s="122"/>
      <c r="VYA67" s="122"/>
      <c r="VYB67" s="122"/>
      <c r="VYC67" s="122"/>
      <c r="VYD67" s="122"/>
      <c r="VYE67" s="122"/>
      <c r="VYF67" s="122"/>
      <c r="VYG67" s="122"/>
      <c r="VYH67" s="122"/>
      <c r="VYI67" s="122"/>
      <c r="VYJ67" s="122"/>
      <c r="VYK67" s="122"/>
      <c r="VYL67" s="122"/>
      <c r="VYM67" s="122"/>
      <c r="VYN67" s="122"/>
      <c r="VYO67" s="122"/>
      <c r="VYP67" s="122"/>
      <c r="VYQ67" s="122"/>
      <c r="VYR67" s="122"/>
      <c r="VYS67" s="122"/>
      <c r="VYT67" s="122"/>
      <c r="VYU67" s="122"/>
      <c r="VYV67" s="122"/>
      <c r="VYW67" s="122"/>
      <c r="VYX67" s="122"/>
      <c r="VYY67" s="122"/>
      <c r="VYZ67" s="122"/>
      <c r="VZA67" s="122"/>
      <c r="VZB67" s="122"/>
      <c r="VZC67" s="122"/>
      <c r="VZD67" s="122"/>
      <c r="VZE67" s="122"/>
      <c r="VZF67" s="122"/>
      <c r="VZG67" s="122"/>
      <c r="VZH67" s="122"/>
      <c r="VZI67" s="122"/>
      <c r="VZJ67" s="122"/>
      <c r="VZK67" s="122"/>
      <c r="VZL67" s="122"/>
      <c r="VZM67" s="122"/>
      <c r="VZN67" s="122"/>
      <c r="VZO67" s="122"/>
      <c r="VZP67" s="122"/>
      <c r="VZQ67" s="122"/>
      <c r="VZR67" s="122"/>
      <c r="VZS67" s="122"/>
      <c r="VZT67" s="122"/>
      <c r="VZU67" s="122"/>
      <c r="VZV67" s="122"/>
      <c r="VZW67" s="122"/>
      <c r="VZX67" s="122"/>
      <c r="VZY67" s="122"/>
      <c r="VZZ67" s="122"/>
      <c r="WAA67" s="122"/>
      <c r="WAB67" s="122"/>
      <c r="WAC67" s="122"/>
      <c r="WAD67" s="122"/>
      <c r="WAE67" s="122"/>
      <c r="WAF67" s="122"/>
      <c r="WAG67" s="122"/>
      <c r="WAH67" s="122"/>
      <c r="WAI67" s="122"/>
      <c r="WAJ67" s="122"/>
      <c r="WAK67" s="122"/>
      <c r="WAL67" s="122"/>
      <c r="WAM67" s="122"/>
      <c r="WAN67" s="122"/>
      <c r="WAO67" s="122"/>
      <c r="WAP67" s="122"/>
      <c r="WAQ67" s="122"/>
      <c r="WAR67" s="122"/>
      <c r="WAS67" s="122"/>
      <c r="WAT67" s="122"/>
      <c r="WAU67" s="122"/>
      <c r="WAV67" s="122"/>
      <c r="WAW67" s="122"/>
      <c r="WAX67" s="122"/>
      <c r="WAY67" s="122"/>
      <c r="WAZ67" s="122"/>
      <c r="WBA67" s="122"/>
      <c r="WBB67" s="122"/>
      <c r="WBC67" s="122"/>
      <c r="WBD67" s="122"/>
      <c r="WBE67" s="122"/>
      <c r="WBF67" s="122"/>
      <c r="WBG67" s="122"/>
      <c r="WBH67" s="122"/>
      <c r="WBI67" s="122"/>
      <c r="WBJ67" s="122"/>
      <c r="WBK67" s="122"/>
      <c r="WBL67" s="122"/>
      <c r="WBM67" s="122"/>
      <c r="WBN67" s="122"/>
      <c r="WBO67" s="122"/>
      <c r="WBP67" s="122"/>
      <c r="WBQ67" s="122"/>
      <c r="WBR67" s="122"/>
      <c r="WBS67" s="122"/>
      <c r="WBT67" s="122"/>
      <c r="WBU67" s="122"/>
      <c r="WBV67" s="122"/>
      <c r="WBW67" s="122"/>
      <c r="WBX67" s="122"/>
      <c r="WBY67" s="122"/>
      <c r="WBZ67" s="122"/>
      <c r="WCA67" s="122"/>
      <c r="WCB67" s="122"/>
      <c r="WCC67" s="122"/>
      <c r="WCD67" s="122"/>
      <c r="WCE67" s="122"/>
      <c r="WCF67" s="122"/>
      <c r="WCG67" s="122"/>
      <c r="WCH67" s="122"/>
      <c r="WCI67" s="122"/>
      <c r="WCJ67" s="122"/>
      <c r="WCK67" s="122"/>
      <c r="WCL67" s="122"/>
      <c r="WCM67" s="122"/>
      <c r="WCN67" s="122"/>
      <c r="WCO67" s="122"/>
      <c r="WCP67" s="122"/>
      <c r="WCQ67" s="122"/>
      <c r="WCR67" s="122"/>
      <c r="WCS67" s="122"/>
      <c r="WCT67" s="122"/>
      <c r="WCU67" s="122"/>
      <c r="WCV67" s="122"/>
      <c r="WCW67" s="122"/>
      <c r="WCX67" s="122"/>
      <c r="WCY67" s="122"/>
      <c r="WCZ67" s="122"/>
      <c r="WDA67" s="122"/>
      <c r="WDB67" s="122"/>
      <c r="WDC67" s="122"/>
      <c r="WDD67" s="122"/>
      <c r="WDE67" s="122"/>
      <c r="WDF67" s="122"/>
      <c r="WDG67" s="122"/>
      <c r="WDH67" s="122"/>
      <c r="WDI67" s="122"/>
      <c r="WDJ67" s="122"/>
      <c r="WDK67" s="122"/>
      <c r="WDL67" s="122"/>
      <c r="WDM67" s="122"/>
      <c r="WDN67" s="122"/>
      <c r="WDO67" s="122"/>
      <c r="WDP67" s="122"/>
      <c r="WDQ67" s="122"/>
      <c r="WDR67" s="122"/>
      <c r="WDS67" s="122"/>
      <c r="WDT67" s="122"/>
      <c r="WDU67" s="122"/>
      <c r="WDV67" s="122"/>
      <c r="WDW67" s="122"/>
      <c r="WDX67" s="122"/>
      <c r="WDY67" s="122"/>
      <c r="WDZ67" s="122"/>
      <c r="WEA67" s="122"/>
      <c r="WEB67" s="122"/>
      <c r="WEC67" s="122"/>
      <c r="WED67" s="122"/>
      <c r="WEE67" s="122"/>
      <c r="WEF67" s="122"/>
      <c r="WEG67" s="122"/>
      <c r="WEH67" s="122"/>
      <c r="WEI67" s="122"/>
      <c r="WEJ67" s="122"/>
      <c r="WEK67" s="122"/>
      <c r="WEL67" s="122"/>
      <c r="WEM67" s="122"/>
      <c r="WEN67" s="122"/>
      <c r="WEO67" s="122"/>
      <c r="WEP67" s="122"/>
      <c r="WEQ67" s="122"/>
      <c r="WER67" s="122"/>
      <c r="WES67" s="122"/>
      <c r="WET67" s="122"/>
      <c r="WEU67" s="122"/>
      <c r="WEV67" s="122"/>
      <c r="WEW67" s="122"/>
      <c r="WEX67" s="122"/>
      <c r="WEY67" s="122"/>
      <c r="WEZ67" s="122"/>
      <c r="WFA67" s="122"/>
      <c r="WFB67" s="122"/>
      <c r="WFC67" s="122"/>
      <c r="WFD67" s="122"/>
      <c r="WFE67" s="122"/>
      <c r="WFF67" s="122"/>
      <c r="WFG67" s="122"/>
      <c r="WFH67" s="122"/>
      <c r="WFI67" s="122"/>
      <c r="WFJ67" s="122"/>
      <c r="WFK67" s="122"/>
      <c r="WFL67" s="122"/>
      <c r="WFM67" s="122"/>
      <c r="WFN67" s="122"/>
      <c r="WFO67" s="122"/>
      <c r="WFP67" s="122"/>
      <c r="WFQ67" s="122"/>
      <c r="WFR67" s="122"/>
      <c r="WFS67" s="122"/>
      <c r="WFT67" s="122"/>
      <c r="WFU67" s="122"/>
      <c r="WFV67" s="122"/>
      <c r="WFW67" s="122"/>
      <c r="WFX67" s="122"/>
      <c r="WFY67" s="122"/>
      <c r="WFZ67" s="122"/>
      <c r="WGA67" s="122"/>
      <c r="WGB67" s="122"/>
      <c r="WGC67" s="122"/>
      <c r="WGD67" s="122"/>
      <c r="WGE67" s="122"/>
      <c r="WGF67" s="122"/>
      <c r="WGG67" s="122"/>
      <c r="WGH67" s="122"/>
      <c r="WGI67" s="122"/>
      <c r="WGJ67" s="122"/>
      <c r="WGK67" s="122"/>
      <c r="WGL67" s="122"/>
      <c r="WGM67" s="122"/>
      <c r="WGN67" s="122"/>
      <c r="WGO67" s="122"/>
      <c r="WGP67" s="122"/>
      <c r="WGQ67" s="122"/>
      <c r="WGR67" s="122"/>
      <c r="WGS67" s="122"/>
      <c r="WGT67" s="122"/>
      <c r="WGU67" s="122"/>
      <c r="WGV67" s="122"/>
      <c r="WGW67" s="122"/>
      <c r="WGX67" s="122"/>
      <c r="WGY67" s="122"/>
      <c r="WGZ67" s="122"/>
      <c r="WHA67" s="122"/>
      <c r="WHB67" s="122"/>
      <c r="WHC67" s="122"/>
      <c r="WHD67" s="122"/>
      <c r="WHE67" s="122"/>
      <c r="WHF67" s="122"/>
      <c r="WHG67" s="122"/>
      <c r="WHH67" s="122"/>
      <c r="WHI67" s="122"/>
      <c r="WHJ67" s="122"/>
      <c r="WHK67" s="122"/>
      <c r="WHL67" s="122"/>
      <c r="WHM67" s="122"/>
      <c r="WHN67" s="122"/>
      <c r="WHO67" s="122"/>
      <c r="WHP67" s="122"/>
      <c r="WHQ67" s="122"/>
      <c r="WHR67" s="122"/>
      <c r="WHS67" s="122"/>
      <c r="WHT67" s="122"/>
      <c r="WHU67" s="122"/>
      <c r="WHV67" s="122"/>
      <c r="WHW67" s="122"/>
      <c r="WHX67" s="122"/>
      <c r="WHY67" s="122"/>
      <c r="WHZ67" s="122"/>
      <c r="WIA67" s="122"/>
      <c r="WIB67" s="122"/>
      <c r="WIC67" s="122"/>
      <c r="WID67" s="122"/>
      <c r="WIE67" s="122"/>
      <c r="WIF67" s="122"/>
      <c r="WIG67" s="122"/>
      <c r="WIH67" s="122"/>
      <c r="WII67" s="122"/>
      <c r="WIJ67" s="122"/>
      <c r="WIK67" s="122"/>
      <c r="WIL67" s="122"/>
      <c r="WIM67" s="122"/>
      <c r="WIN67" s="122"/>
      <c r="WIO67" s="122"/>
      <c r="WIP67" s="122"/>
      <c r="WIQ67" s="122"/>
      <c r="WIR67" s="122"/>
      <c r="WIS67" s="122"/>
      <c r="WIT67" s="122"/>
      <c r="WIU67" s="122"/>
      <c r="WIV67" s="122"/>
      <c r="WIW67" s="122"/>
      <c r="WIX67" s="122"/>
      <c r="WIY67" s="122"/>
      <c r="WIZ67" s="122"/>
      <c r="WJA67" s="122"/>
      <c r="WJB67" s="122"/>
      <c r="WJC67" s="122"/>
      <c r="WJD67" s="122"/>
      <c r="WJE67" s="122"/>
      <c r="WJF67" s="122"/>
      <c r="WJG67" s="122"/>
      <c r="WJH67" s="122"/>
      <c r="WJI67" s="122"/>
      <c r="WJJ67" s="122"/>
      <c r="WJK67" s="122"/>
      <c r="WJL67" s="122"/>
      <c r="WJM67" s="122"/>
      <c r="WJN67" s="122"/>
      <c r="WJO67" s="122"/>
      <c r="WJP67" s="122"/>
      <c r="WJQ67" s="122"/>
      <c r="WJR67" s="122"/>
      <c r="WJS67" s="122"/>
      <c r="WJT67" s="122"/>
      <c r="WJU67" s="122"/>
      <c r="WJV67" s="122"/>
      <c r="WJW67" s="122"/>
      <c r="WJX67" s="122"/>
      <c r="WJY67" s="122"/>
      <c r="WJZ67" s="122"/>
      <c r="WKA67" s="122"/>
      <c r="WKB67" s="122"/>
      <c r="WKC67" s="122"/>
      <c r="WKD67" s="122"/>
      <c r="WKE67" s="122"/>
      <c r="WKF67" s="122"/>
      <c r="WKG67" s="122"/>
      <c r="WKH67" s="122"/>
      <c r="WKI67" s="122"/>
      <c r="WKJ67" s="122"/>
      <c r="WKK67" s="122"/>
      <c r="WKL67" s="122"/>
      <c r="WKM67" s="122"/>
      <c r="WKN67" s="122"/>
      <c r="WKO67" s="122"/>
      <c r="WKP67" s="122"/>
      <c r="WKQ67" s="122"/>
      <c r="WKR67" s="122"/>
      <c r="WKS67" s="122"/>
      <c r="WKT67" s="122"/>
      <c r="WKU67" s="122"/>
      <c r="WKV67" s="122"/>
      <c r="WKW67" s="122"/>
      <c r="WKX67" s="122"/>
      <c r="WKY67" s="122"/>
      <c r="WKZ67" s="122"/>
      <c r="WLA67" s="122"/>
      <c r="WLB67" s="122"/>
      <c r="WLC67" s="122"/>
      <c r="WLD67" s="122"/>
      <c r="WLE67" s="122"/>
      <c r="WLF67" s="122"/>
      <c r="WLG67" s="122"/>
      <c r="WLH67" s="122"/>
      <c r="WLI67" s="122"/>
      <c r="WLJ67" s="122"/>
      <c r="WLK67" s="122"/>
      <c r="WLL67" s="122"/>
      <c r="WLM67" s="122"/>
      <c r="WLN67" s="122"/>
      <c r="WLO67" s="122"/>
      <c r="WLP67" s="122"/>
      <c r="WLQ67" s="122"/>
      <c r="WLR67" s="122"/>
      <c r="WLS67" s="122"/>
      <c r="WLT67" s="122"/>
      <c r="WLU67" s="122"/>
      <c r="WLV67" s="122"/>
      <c r="WLW67" s="122"/>
      <c r="WLX67" s="122"/>
      <c r="WLY67" s="122"/>
      <c r="WLZ67" s="122"/>
      <c r="WMA67" s="122"/>
      <c r="WMB67" s="122"/>
      <c r="WMC67" s="122"/>
      <c r="WMD67" s="122"/>
      <c r="WME67" s="122"/>
      <c r="WMF67" s="122"/>
      <c r="WMG67" s="122"/>
      <c r="WMH67" s="122"/>
      <c r="WMI67" s="122"/>
      <c r="WMJ67" s="122"/>
      <c r="WMK67" s="122"/>
      <c r="WML67" s="122"/>
      <c r="WMM67" s="122"/>
      <c r="WMN67" s="122"/>
      <c r="WMO67" s="122"/>
      <c r="WMP67" s="122"/>
      <c r="WMQ67" s="122"/>
      <c r="WMR67" s="122"/>
      <c r="WMS67" s="122"/>
      <c r="WMT67" s="122"/>
      <c r="WMU67" s="122"/>
      <c r="WMV67" s="122"/>
      <c r="WMW67" s="122"/>
      <c r="WMX67" s="122"/>
      <c r="WMY67" s="122"/>
      <c r="WMZ67" s="122"/>
      <c r="WNA67" s="122"/>
      <c r="WNB67" s="122"/>
      <c r="WNC67" s="122"/>
      <c r="WND67" s="122"/>
      <c r="WNE67" s="122"/>
      <c r="WNF67" s="122"/>
      <c r="WNG67" s="122"/>
      <c r="WNH67" s="122"/>
      <c r="WNI67" s="122"/>
      <c r="WNJ67" s="122"/>
      <c r="WNK67" s="122"/>
      <c r="WNL67" s="122"/>
      <c r="WNM67" s="122"/>
      <c r="WNN67" s="122"/>
      <c r="WNO67" s="122"/>
      <c r="WNP67" s="122"/>
      <c r="WNQ67" s="122"/>
      <c r="WNR67" s="122"/>
      <c r="WNS67" s="122"/>
      <c r="WNT67" s="122"/>
      <c r="WNU67" s="122"/>
      <c r="WNV67" s="122"/>
      <c r="WNW67" s="122"/>
      <c r="WNX67" s="122"/>
      <c r="WNY67" s="122"/>
      <c r="WNZ67" s="122"/>
      <c r="WOA67" s="122"/>
      <c r="WOB67" s="122"/>
      <c r="WOC67" s="122"/>
      <c r="WOD67" s="122"/>
      <c r="WOE67" s="122"/>
      <c r="WOF67" s="122"/>
      <c r="WOG67" s="122"/>
      <c r="WOH67" s="122"/>
      <c r="WOI67" s="122"/>
      <c r="WOJ67" s="122"/>
      <c r="WOK67" s="122"/>
      <c r="WOL67" s="122"/>
      <c r="WOM67" s="122"/>
      <c r="WON67" s="122"/>
      <c r="WOO67" s="122"/>
      <c r="WOP67" s="122"/>
      <c r="WOQ67" s="122"/>
      <c r="WOR67" s="122"/>
      <c r="WOS67" s="122"/>
      <c r="WOT67" s="122"/>
      <c r="WOU67" s="122"/>
      <c r="WOV67" s="122"/>
      <c r="WOW67" s="122"/>
      <c r="WOX67" s="122"/>
      <c r="WOY67" s="122"/>
      <c r="WOZ67" s="122"/>
      <c r="WPA67" s="122"/>
      <c r="WPB67" s="122"/>
      <c r="WPC67" s="122"/>
      <c r="WPD67" s="122"/>
      <c r="WPE67" s="122"/>
      <c r="WPF67" s="122"/>
      <c r="WPG67" s="122"/>
      <c r="WPH67" s="122"/>
      <c r="WPI67" s="122"/>
      <c r="WPJ67" s="122"/>
      <c r="WPK67" s="122"/>
      <c r="WPL67" s="122"/>
      <c r="WPM67" s="122"/>
      <c r="WPN67" s="122"/>
      <c r="WPO67" s="122"/>
      <c r="WPP67" s="122"/>
      <c r="WPQ67" s="122"/>
      <c r="WPR67" s="122"/>
      <c r="WPS67" s="122"/>
      <c r="WPT67" s="122"/>
      <c r="WPU67" s="122"/>
      <c r="WPV67" s="122"/>
      <c r="WPW67" s="122"/>
      <c r="WPX67" s="122"/>
      <c r="WPY67" s="122"/>
      <c r="WPZ67" s="122"/>
      <c r="WQA67" s="122"/>
      <c r="WQB67" s="122"/>
      <c r="WQC67" s="122"/>
      <c r="WQD67" s="122"/>
      <c r="WQE67" s="122"/>
      <c r="WQF67" s="122"/>
      <c r="WQG67" s="122"/>
      <c r="WQH67" s="122"/>
      <c r="WQI67" s="122"/>
      <c r="WQJ67" s="122"/>
      <c r="WQK67" s="122"/>
      <c r="WQL67" s="122"/>
      <c r="WQM67" s="122"/>
      <c r="WQN67" s="122"/>
      <c r="WQO67" s="122"/>
      <c r="WQP67" s="122"/>
      <c r="WQQ67" s="122"/>
      <c r="WQR67" s="122"/>
      <c r="WQS67" s="122"/>
      <c r="WQT67" s="122"/>
      <c r="WQU67" s="122"/>
      <c r="WQV67" s="122"/>
      <c r="WQW67" s="122"/>
      <c r="WQX67" s="122"/>
      <c r="WQY67" s="122"/>
      <c r="WQZ67" s="122"/>
      <c r="WRA67" s="122"/>
      <c r="WRB67" s="122"/>
      <c r="WRC67" s="122"/>
      <c r="WRD67" s="122"/>
      <c r="WRE67" s="122"/>
      <c r="WRF67" s="122"/>
      <c r="WRG67" s="122"/>
      <c r="WRH67" s="122"/>
      <c r="WRI67" s="122"/>
      <c r="WRJ67" s="122"/>
      <c r="WRK67" s="122"/>
      <c r="WRL67" s="122"/>
      <c r="WRM67" s="122"/>
      <c r="WRN67" s="122"/>
      <c r="WRO67" s="122"/>
      <c r="WRP67" s="122"/>
      <c r="WRQ67" s="122"/>
      <c r="WRR67" s="122"/>
      <c r="WRS67" s="122"/>
      <c r="WRT67" s="122"/>
      <c r="WRU67" s="122"/>
      <c r="WRV67" s="122"/>
      <c r="WRW67" s="122"/>
      <c r="WRX67" s="122"/>
      <c r="WRY67" s="122"/>
      <c r="WRZ67" s="122"/>
      <c r="WSA67" s="122"/>
      <c r="WSB67" s="122"/>
      <c r="WSC67" s="122"/>
      <c r="WSD67" s="122"/>
      <c r="WSE67" s="122"/>
      <c r="WSF67" s="122"/>
      <c r="WSG67" s="122"/>
      <c r="WSH67" s="122"/>
      <c r="WSI67" s="122"/>
      <c r="WSJ67" s="122"/>
      <c r="WSK67" s="122"/>
      <c r="WSL67" s="122"/>
      <c r="WSM67" s="122"/>
      <c r="WSN67" s="122"/>
      <c r="WSO67" s="122"/>
      <c r="WSP67" s="122"/>
      <c r="WSQ67" s="122"/>
      <c r="WSR67" s="122"/>
      <c r="WSS67" s="122"/>
      <c r="WST67" s="122"/>
      <c r="WSU67" s="122"/>
      <c r="WSV67" s="122"/>
      <c r="WSW67" s="122"/>
      <c r="WSX67" s="122"/>
      <c r="WSY67" s="122"/>
      <c r="WSZ67" s="122"/>
      <c r="WTA67" s="122"/>
      <c r="WTB67" s="122"/>
      <c r="WTC67" s="122"/>
      <c r="WTD67" s="122"/>
      <c r="WTE67" s="122"/>
      <c r="WTF67" s="122"/>
      <c r="WTG67" s="122"/>
      <c r="WTH67" s="122"/>
      <c r="WTI67" s="122"/>
      <c r="WTJ67" s="122"/>
      <c r="WTK67" s="122"/>
      <c r="WTL67" s="122"/>
      <c r="WTM67" s="122"/>
      <c r="WTN67" s="122"/>
      <c r="WTO67" s="122"/>
      <c r="WTP67" s="122"/>
      <c r="WTQ67" s="122"/>
      <c r="WTR67" s="122"/>
      <c r="WTS67" s="122"/>
      <c r="WTT67" s="122"/>
      <c r="WTU67" s="122"/>
      <c r="WTV67" s="122"/>
      <c r="WTW67" s="122"/>
      <c r="WTX67" s="122"/>
      <c r="WTY67" s="122"/>
      <c r="WTZ67" s="122"/>
      <c r="WUA67" s="122"/>
      <c r="WUB67" s="122"/>
      <c r="WUC67" s="122"/>
      <c r="WUD67" s="122"/>
      <c r="WUE67" s="122"/>
      <c r="WUF67" s="122"/>
      <c r="WUG67" s="122"/>
      <c r="WUH67" s="122"/>
      <c r="WUI67" s="122"/>
      <c r="WUJ67" s="122"/>
      <c r="WUK67" s="122"/>
      <c r="WUL67" s="122"/>
      <c r="WUM67" s="122"/>
      <c r="WUN67" s="122"/>
      <c r="WUO67" s="122"/>
      <c r="WUP67" s="122"/>
      <c r="WUQ67" s="122"/>
      <c r="WUR67" s="122"/>
      <c r="WUS67" s="122"/>
      <c r="WUT67" s="122"/>
      <c r="WUU67" s="122"/>
      <c r="WUV67" s="122"/>
      <c r="WUW67" s="122"/>
      <c r="WUX67" s="122"/>
      <c r="WUY67" s="122"/>
      <c r="WUZ67" s="122"/>
      <c r="WVA67" s="122"/>
      <c r="WVB67" s="122"/>
      <c r="WVC67" s="122"/>
      <c r="WVD67" s="122"/>
      <c r="WVE67" s="122"/>
      <c r="WVF67" s="122"/>
      <c r="WVG67" s="122"/>
      <c r="WVH67" s="122"/>
      <c r="WVI67" s="122"/>
      <c r="WVJ67" s="122"/>
      <c r="WVK67" s="122"/>
      <c r="WVL67" s="122"/>
      <c r="WVM67" s="122"/>
      <c r="WVN67" s="122"/>
      <c r="WVO67" s="122"/>
      <c r="WVP67" s="122"/>
      <c r="WVQ67" s="122"/>
      <c r="WVR67" s="122"/>
      <c r="WVS67" s="122"/>
      <c r="WVT67" s="122"/>
      <c r="WVU67" s="122"/>
      <c r="WVV67" s="122"/>
      <c r="WVW67" s="122"/>
      <c r="WVX67" s="122"/>
      <c r="WVY67" s="122"/>
      <c r="WVZ67" s="122"/>
      <c r="WWA67" s="122"/>
      <c r="WWB67" s="122"/>
      <c r="WWC67" s="122"/>
      <c r="WWD67" s="122"/>
      <c r="WWE67" s="122"/>
      <c r="WWF67" s="122"/>
      <c r="WWG67" s="122"/>
      <c r="WWH67" s="122"/>
      <c r="WWI67" s="122"/>
      <c r="WWJ67" s="122"/>
      <c r="WWK67" s="122"/>
      <c r="WWL67" s="122"/>
      <c r="WWM67" s="122"/>
      <c r="WWN67" s="122"/>
      <c r="WWO67" s="122"/>
      <c r="WWP67" s="122"/>
      <c r="WWQ67" s="122"/>
      <c r="WWR67" s="122"/>
      <c r="WWS67" s="122"/>
      <c r="WWT67" s="122"/>
      <c r="WWU67" s="122"/>
      <c r="WWV67" s="122"/>
      <c r="WWW67" s="122"/>
      <c r="WWX67" s="122"/>
      <c r="WWY67" s="122"/>
      <c r="WWZ67" s="122"/>
      <c r="WXA67" s="122"/>
      <c r="WXB67" s="122"/>
      <c r="WXC67" s="122"/>
      <c r="WXD67" s="122"/>
      <c r="WXE67" s="122"/>
      <c r="WXF67" s="122"/>
      <c r="WXG67" s="122"/>
      <c r="WXH67" s="122"/>
      <c r="WXI67" s="122"/>
      <c r="WXJ67" s="122"/>
      <c r="WXK67" s="122"/>
      <c r="WXL67" s="122"/>
      <c r="WXM67" s="122"/>
      <c r="WXN67" s="122"/>
      <c r="WXO67" s="122"/>
      <c r="WXP67" s="122"/>
      <c r="WXQ67" s="122"/>
      <c r="WXR67" s="122"/>
      <c r="WXS67" s="122"/>
      <c r="WXT67" s="122"/>
      <c r="WXU67" s="122"/>
      <c r="WXV67" s="122"/>
      <c r="WXW67" s="122"/>
      <c r="WXX67" s="122"/>
      <c r="WXY67" s="122"/>
      <c r="WXZ67" s="122"/>
      <c r="WYA67" s="122"/>
      <c r="WYB67" s="122"/>
      <c r="WYC67" s="122"/>
      <c r="WYD67" s="122"/>
      <c r="WYE67" s="122"/>
      <c r="WYF67" s="122"/>
      <c r="WYG67" s="122"/>
      <c r="WYH67" s="122"/>
      <c r="WYI67" s="122"/>
      <c r="WYJ67" s="122"/>
      <c r="WYK67" s="122"/>
      <c r="WYL67" s="122"/>
      <c r="WYM67" s="122"/>
      <c r="WYN67" s="122"/>
      <c r="WYO67" s="122"/>
      <c r="WYP67" s="122"/>
      <c r="WYQ67" s="122"/>
      <c r="WYR67" s="122"/>
      <c r="WYS67" s="122"/>
      <c r="WYT67" s="122"/>
      <c r="WYU67" s="122"/>
      <c r="WYV67" s="122"/>
      <c r="WYW67" s="122"/>
      <c r="WYX67" s="122"/>
      <c r="WYY67" s="122"/>
      <c r="WYZ67" s="122"/>
      <c r="WZA67" s="122"/>
      <c r="WZB67" s="122"/>
      <c r="WZC67" s="122"/>
      <c r="WZD67" s="122"/>
      <c r="WZE67" s="122"/>
      <c r="WZF67" s="122"/>
      <c r="WZG67" s="122"/>
      <c r="WZH67" s="122"/>
      <c r="WZI67" s="122"/>
      <c r="WZJ67" s="122"/>
      <c r="WZK67" s="122"/>
      <c r="WZL67" s="122"/>
      <c r="WZM67" s="122"/>
      <c r="WZN67" s="122"/>
      <c r="WZO67" s="122"/>
      <c r="WZP67" s="122"/>
      <c r="WZQ67" s="122"/>
      <c r="WZR67" s="122"/>
      <c r="WZS67" s="122"/>
      <c r="WZT67" s="122"/>
      <c r="WZU67" s="122"/>
      <c r="WZV67" s="122"/>
      <c r="WZW67" s="122"/>
      <c r="WZX67" s="122"/>
      <c r="WZY67" s="122"/>
      <c r="WZZ67" s="122"/>
      <c r="XAA67" s="122"/>
      <c r="XAB67" s="122"/>
      <c r="XAC67" s="122"/>
      <c r="XAD67" s="122"/>
      <c r="XAE67" s="122"/>
      <c r="XAF67" s="122"/>
      <c r="XAG67" s="122"/>
      <c r="XAH67" s="122"/>
      <c r="XAI67" s="122"/>
      <c r="XAJ67" s="122"/>
      <c r="XAK67" s="122"/>
      <c r="XAL67" s="122"/>
      <c r="XAM67" s="122"/>
      <c r="XAN67" s="122"/>
      <c r="XAO67" s="122"/>
      <c r="XAP67" s="122"/>
      <c r="XAQ67" s="122"/>
      <c r="XAR67" s="122"/>
      <c r="XAS67" s="122"/>
      <c r="XAT67" s="122"/>
      <c r="XAU67" s="122"/>
      <c r="XAV67" s="122"/>
      <c r="XAW67" s="122"/>
      <c r="XAX67" s="122"/>
      <c r="XAY67" s="122"/>
      <c r="XAZ67" s="122"/>
      <c r="XBA67" s="122"/>
      <c r="XBB67" s="122"/>
      <c r="XBC67" s="122"/>
      <c r="XBD67" s="122"/>
      <c r="XBE67" s="122"/>
      <c r="XBF67" s="122"/>
      <c r="XBG67" s="122"/>
      <c r="XBH67" s="122"/>
      <c r="XBI67" s="122"/>
      <c r="XBJ67" s="122"/>
      <c r="XBK67" s="122"/>
      <c r="XBL67" s="122"/>
      <c r="XBM67" s="122"/>
      <c r="XBN67" s="122"/>
      <c r="XBO67" s="122"/>
      <c r="XBP67" s="122"/>
      <c r="XBQ67" s="122"/>
      <c r="XBR67" s="122"/>
      <c r="XBS67" s="122"/>
      <c r="XBT67" s="122"/>
      <c r="XBU67" s="122"/>
      <c r="XBV67" s="122"/>
      <c r="XBW67" s="122"/>
      <c r="XBX67" s="122"/>
      <c r="XBY67" s="122"/>
      <c r="XBZ67" s="122"/>
      <c r="XCA67" s="122"/>
      <c r="XCB67" s="122"/>
      <c r="XCC67" s="122"/>
      <c r="XCD67" s="122"/>
      <c r="XCE67" s="122"/>
      <c r="XCF67" s="122"/>
      <c r="XCG67" s="122"/>
      <c r="XCH67" s="122"/>
      <c r="XCI67" s="122"/>
      <c r="XCJ67" s="122"/>
      <c r="XCK67" s="122"/>
      <c r="XCL67" s="122"/>
      <c r="XCM67" s="122"/>
      <c r="XCN67" s="122"/>
      <c r="XCO67" s="122"/>
      <c r="XCP67" s="122"/>
      <c r="XCQ67" s="122"/>
      <c r="XCR67" s="122"/>
      <c r="XCS67" s="122"/>
      <c r="XCT67" s="122"/>
      <c r="XCU67" s="122"/>
      <c r="XCV67" s="122"/>
      <c r="XCW67" s="122"/>
      <c r="XCX67" s="122"/>
      <c r="XCY67" s="122"/>
      <c r="XCZ67" s="122"/>
      <c r="XDA67" s="122"/>
      <c r="XDB67" s="122"/>
      <c r="XDC67" s="122"/>
      <c r="XDD67" s="122"/>
      <c r="XDE67" s="122"/>
      <c r="XDF67" s="122"/>
      <c r="XDG67" s="122"/>
      <c r="XDH67" s="122"/>
      <c r="XDI67" s="122"/>
      <c r="XDJ67" s="122"/>
      <c r="XDK67" s="122"/>
      <c r="XDL67" s="122"/>
      <c r="XDM67" s="122"/>
      <c r="XDN67" s="122"/>
      <c r="XDO67" s="122"/>
      <c r="XDP67" s="122"/>
      <c r="XDQ67" s="122"/>
      <c r="XDR67" s="122"/>
      <c r="XDS67" s="122"/>
      <c r="XDT67" s="122"/>
      <c r="XDU67" s="122"/>
      <c r="XDV67" s="122"/>
      <c r="XDW67" s="122"/>
      <c r="XDX67" s="122"/>
      <c r="XDY67" s="122"/>
      <c r="XDZ67" s="122"/>
      <c r="XEA67" s="122"/>
      <c r="XEB67" s="122"/>
      <c r="XEC67" s="122"/>
      <c r="XED67" s="122"/>
      <c r="XEE67" s="122"/>
      <c r="XEF67" s="122"/>
      <c r="XEG67" s="122"/>
      <c r="XEH67" s="122"/>
      <c r="XEI67" s="122"/>
      <c r="XEJ67" s="122"/>
      <c r="XEK67" s="122"/>
      <c r="XEL67" s="122"/>
      <c r="XEM67" s="122"/>
      <c r="XEN67" s="122"/>
      <c r="XEO67" s="122"/>
      <c r="XEP67" s="122"/>
      <c r="XEQ67" s="122"/>
      <c r="XER67" s="122"/>
      <c r="XES67" s="122"/>
      <c r="XET67" s="122"/>
      <c r="XEU67" s="122"/>
      <c r="XEV67" s="122"/>
      <c r="XEW67" s="122"/>
      <c r="XEX67" s="122"/>
      <c r="XEY67" s="122"/>
      <c r="XEZ67" s="122"/>
      <c r="XFA67" s="122"/>
      <c r="XFB67" s="122"/>
      <c r="XFC67" s="122"/>
      <c r="XFD67" s="122"/>
    </row>
  </sheetData>
  <mergeCells count="1">
    <mergeCell ref="B2:B4"/>
  </mergeCells>
  <conditionalFormatting sqref="C62:L62">
    <cfRule type="containsText" dxfId="133" priority="1" operator="containsText" text="Validé">
      <formula>NOT(ISERROR(SEARCH("Validé",C62)))</formula>
    </cfRule>
    <cfRule type="containsText" dxfId="132" priority="2" operator="containsText" text="Erreur">
      <formula>NOT(ISERROR(SEARCH("Erreur",C62)))</formula>
    </cfRule>
  </conditionalFormatting>
  <conditionalFormatting sqref="C59:M59">
    <cfRule type="containsText" dxfId="131" priority="3" operator="containsText" text="Equilibré">
      <formula>NOT(ISERROR(SEARCH("Equilibré",C59)))</formula>
    </cfRule>
    <cfRule type="containsText" dxfId="130" priority="4" operator="containsText" text="Erreur">
      <formula>NOT(ISERROR(SEARCH("Erreur",C59)))</formula>
    </cfRule>
    <cfRule type="containsText" dxfId="129" priority="5" operator="containsText" text="Validé">
      <formula>NOT(ISERROR(SEARCH("Validé",C59)))</formula>
    </cfRule>
    <cfRule type="containsText" dxfId="128" priority="6" operator="containsText" text="Erreur">
      <formula>NOT(ISERROR(SEARCH("Erreur",C59)))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1C0F7-FB94-184B-928B-BC31DB644569}">
  <sheetPr codeName="Feuil32">
    <tabColor theme="9" tint="0.79998168889431442"/>
  </sheetPr>
  <dimension ref="A2:XFD67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N9" sqref="N9"/>
    </sheetView>
  </sheetViews>
  <sheetFormatPr baseColWidth="10" defaultColWidth="10.7109375" defaultRowHeight="15.75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/>
      <c r="H3" s="248">
        <v>45535</v>
      </c>
      <c r="I3" s="248">
        <v>45900</v>
      </c>
      <c r="J3" s="248">
        <v>46265</v>
      </c>
      <c r="K3" s="248">
        <v>46630</v>
      </c>
      <c r="L3" s="248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0</v>
      </c>
      <c r="D8" s="128">
        <f t="shared" si="0"/>
        <v>0</v>
      </c>
      <c r="E8" s="128">
        <f t="shared" si="0"/>
        <v>0</v>
      </c>
      <c r="F8" s="128">
        <f>SUM(F9:F11)</f>
        <v>0</v>
      </c>
      <c r="G8" s="128"/>
      <c r="H8" s="128">
        <f t="shared" ref="H8:L8" si="1">SUM(H9:H11)</f>
        <v>0</v>
      </c>
      <c r="I8" s="128">
        <v>2066375</v>
      </c>
      <c r="J8" s="128">
        <v>1875524</v>
      </c>
      <c r="K8" s="128">
        <v>1684673</v>
      </c>
      <c r="L8" s="128">
        <f t="shared" si="1"/>
        <v>0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88"/>
      <c r="N10" s="188"/>
      <c r="O10" s="188"/>
    </row>
    <row r="11" spans="2:15">
      <c r="B11" s="131" t="s">
        <v>197</v>
      </c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0</v>
      </c>
      <c r="D13" s="128">
        <f t="shared" si="2"/>
        <v>0</v>
      </c>
      <c r="E13" s="128">
        <f t="shared" si="2"/>
        <v>0</v>
      </c>
      <c r="F13" s="128">
        <f>SUM(F14:F16,F17:F19)</f>
        <v>0</v>
      </c>
      <c r="G13" s="128"/>
      <c r="H13" s="128">
        <f>SUM(H14:H20)</f>
        <v>0</v>
      </c>
      <c r="I13" s="128">
        <f>SUM(I14:I20)</f>
        <v>964966</v>
      </c>
      <c r="J13" s="128">
        <f>SUM(J14:J20)</f>
        <v>1220856</v>
      </c>
      <c r="K13" s="128">
        <f>SUM(K14:K20)</f>
        <v>1607691</v>
      </c>
      <c r="L13" s="128">
        <f>SUM(L14:L20)</f>
        <v>0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>
        <v>342656</v>
      </c>
      <c r="J14" s="132">
        <v>369761</v>
      </c>
      <c r="K14" s="132">
        <v>406395</v>
      </c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/>
      <c r="E16" s="132"/>
      <c r="F16" s="132"/>
      <c r="G16" s="132"/>
      <c r="H16" s="132"/>
      <c r="I16" s="132">
        <v>229996</v>
      </c>
      <c r="J16" s="132">
        <v>253004</v>
      </c>
      <c r="K16" s="132">
        <v>278296</v>
      </c>
      <c r="L16" s="132"/>
      <c r="M16" s="136"/>
      <c r="N16" s="136"/>
      <c r="O16" s="136"/>
    </row>
    <row r="17" spans="2:15 16384:16384">
      <c r="B17" s="131" t="s">
        <v>202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6"/>
      <c r="N17" s="136"/>
      <c r="O17" s="136"/>
    </row>
    <row r="18" spans="2:15 16384:16384">
      <c r="B18" s="131" t="s">
        <v>203</v>
      </c>
      <c r="C18" s="132"/>
      <c r="D18" s="132"/>
      <c r="E18" s="132"/>
      <c r="F18" s="132"/>
      <c r="G18" s="132"/>
      <c r="H18" s="132"/>
      <c r="I18" s="132">
        <v>392314</v>
      </c>
      <c r="J18" s="132">
        <v>598091</v>
      </c>
      <c r="K18" s="132">
        <v>923000</v>
      </c>
      <c r="L18" s="132"/>
      <c r="M18" s="136"/>
      <c r="N18" s="136"/>
      <c r="O18" s="136"/>
    </row>
    <row r="19" spans="2:15 16384:16384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 16384:16384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 16384:16384">
      <c r="B21" s="130" t="s">
        <v>188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5 16384:16384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 16384:16384">
      <c r="B23" s="139" t="s">
        <v>205</v>
      </c>
      <c r="C23" s="140">
        <f>+C6+C8+C13+C21</f>
        <v>0</v>
      </c>
      <c r="D23" s="140">
        <f t="shared" ref="D23:L23" si="3">+D6+D8+D13+D21</f>
        <v>0</v>
      </c>
      <c r="E23" s="140">
        <f t="shared" si="3"/>
        <v>0</v>
      </c>
      <c r="F23" s="140">
        <f t="shared" si="3"/>
        <v>0</v>
      </c>
      <c r="G23" s="271"/>
      <c r="H23" s="140">
        <f t="shared" si="3"/>
        <v>0</v>
      </c>
      <c r="I23" s="140">
        <f t="shared" si="3"/>
        <v>3031341</v>
      </c>
      <c r="J23" s="140">
        <f t="shared" si="3"/>
        <v>3096380</v>
      </c>
      <c r="K23" s="140">
        <f t="shared" si="3"/>
        <v>3292364</v>
      </c>
      <c r="L23" s="140">
        <f t="shared" si="3"/>
        <v>0</v>
      </c>
    </row>
    <row r="24" spans="2:15 16384:16384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 16384:16384">
      <c r="B25" s="130" t="s">
        <v>111</v>
      </c>
      <c r="C25" s="128">
        <f t="shared" ref="C25:E25" si="4">SUM(C26:C31)</f>
        <v>0</v>
      </c>
      <c r="D25" s="128">
        <f t="shared" si="4"/>
        <v>0</v>
      </c>
      <c r="E25" s="128">
        <f t="shared" si="4"/>
        <v>0</v>
      </c>
      <c r="F25" s="128">
        <f t="shared" ref="F25:L25" si="5">SUM(F26:F31)</f>
        <v>0</v>
      </c>
      <c r="G25" s="128"/>
      <c r="H25" s="128">
        <f t="shared" si="5"/>
        <v>0</v>
      </c>
      <c r="I25" s="128">
        <f t="shared" si="5"/>
        <v>878141</v>
      </c>
      <c r="J25" s="128">
        <f t="shared" si="5"/>
        <v>1167645</v>
      </c>
      <c r="K25" s="128">
        <f t="shared" si="5"/>
        <v>1595694</v>
      </c>
      <c r="L25" s="128">
        <f t="shared" si="5"/>
        <v>0</v>
      </c>
    </row>
    <row r="26" spans="2:15 16384:16384">
      <c r="B26" s="131" t="s">
        <v>206</v>
      </c>
      <c r="C26" s="132"/>
      <c r="D26" s="132"/>
      <c r="E26" s="132"/>
      <c r="F26" s="132"/>
      <c r="G26" s="132"/>
      <c r="H26" s="132"/>
      <c r="I26" s="132">
        <v>50000</v>
      </c>
      <c r="J26" s="132">
        <v>50000</v>
      </c>
      <c r="K26" s="132">
        <v>50000</v>
      </c>
      <c r="L26" s="132"/>
    </row>
    <row r="27" spans="2:15 16384:16384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 16384:16384">
      <c r="B28" s="131" t="s">
        <v>65</v>
      </c>
      <c r="C28" s="132"/>
      <c r="D28" s="132"/>
      <c r="E28" s="132"/>
      <c r="F28" s="132"/>
      <c r="G28" s="132"/>
      <c r="H28" s="132"/>
      <c r="I28" s="132"/>
      <c r="J28" s="132">
        <f>I28+I29</f>
        <v>278141</v>
      </c>
      <c r="K28" s="132">
        <f>J28+J29</f>
        <v>617645</v>
      </c>
      <c r="L28" s="132"/>
      <c r="N28" s="134"/>
      <c r="O28" s="134"/>
      <c r="XFD28" s="132"/>
    </row>
    <row r="29" spans="2:15 16384:16384">
      <c r="B29" s="131" t="s">
        <v>32</v>
      </c>
      <c r="C29" s="132"/>
      <c r="D29" s="132"/>
      <c r="E29" s="132"/>
      <c r="F29" s="132"/>
      <c r="G29" s="132"/>
      <c r="H29" s="132"/>
      <c r="I29" s="132">
        <f>'Profilyss - P&amp;L'!H145</f>
        <v>278141</v>
      </c>
      <c r="J29" s="132">
        <f>'Profilyss - P&amp;L'!I145</f>
        <v>339504</v>
      </c>
      <c r="K29" s="132">
        <f>'Profilyss - P&amp;L'!J145</f>
        <v>478049</v>
      </c>
      <c r="L29" s="132"/>
      <c r="N29" s="134"/>
    </row>
    <row r="30" spans="2:15 16384:16384">
      <c r="B30" s="131" t="s">
        <v>208</v>
      </c>
      <c r="C30" s="132"/>
      <c r="D30" s="132"/>
      <c r="E30" s="132"/>
      <c r="F30" s="132"/>
      <c r="G30" s="132"/>
      <c r="H30" s="132"/>
      <c r="I30" s="132">
        <v>550000</v>
      </c>
      <c r="J30" s="132">
        <v>500000</v>
      </c>
      <c r="K30" s="132">
        <v>450000</v>
      </c>
      <c r="L30" s="132"/>
    </row>
    <row r="31" spans="2:15 16384:16384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 16384:16384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6">SUM(C34:C36)</f>
        <v>0</v>
      </c>
      <c r="D33" s="128">
        <f t="shared" si="6"/>
        <v>0</v>
      </c>
      <c r="E33" s="128">
        <f t="shared" si="6"/>
        <v>0</v>
      </c>
      <c r="F33" s="128">
        <f t="shared" si="6"/>
        <v>0</v>
      </c>
      <c r="G33" s="128"/>
      <c r="H33" s="128">
        <f t="shared" si="6"/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  <c r="L33" s="128">
        <f t="shared" si="6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>+C38+C39</f>
        <v>0</v>
      </c>
      <c r="D37" s="185">
        <f>+D38+D39</f>
        <v>0</v>
      </c>
      <c r="E37" s="185">
        <f>+E38+E39</f>
        <v>0</v>
      </c>
      <c r="F37" s="185">
        <f>+F38+F39</f>
        <v>0</v>
      </c>
      <c r="G37" s="185"/>
      <c r="H37" s="185"/>
      <c r="I37" s="185">
        <v>1970469</v>
      </c>
      <c r="J37" s="185">
        <v>1732369</v>
      </c>
      <c r="K37" s="185">
        <v>1485368</v>
      </c>
      <c r="L37" s="185"/>
      <c r="M37" s="190"/>
      <c r="N37" s="190"/>
      <c r="O37" s="190"/>
    </row>
    <row r="38" spans="2:17">
      <c r="B38" s="131" t="s">
        <v>213</v>
      </c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89"/>
      <c r="N38" s="189"/>
      <c r="O38" s="189"/>
      <c r="Q38" s="134"/>
    </row>
    <row r="39" spans="2:17">
      <c r="B39" s="131" t="s">
        <v>214</v>
      </c>
      <c r="C39" s="132"/>
      <c r="D39" s="132"/>
      <c r="E39" s="132"/>
      <c r="F39" s="132"/>
      <c r="G39" s="132"/>
      <c r="H39" s="132">
        <f>SUM(H40:H40)</f>
        <v>0</v>
      </c>
      <c r="I39" s="132">
        <f>SUM(I40:I40)</f>
        <v>0</v>
      </c>
      <c r="J39" s="132">
        <f>SUM(J40:J40)</f>
        <v>0</v>
      </c>
      <c r="K39" s="132">
        <f>SUM(K40:K40)</f>
        <v>0</v>
      </c>
      <c r="L39" s="132">
        <f>SUM(L40:L40)</f>
        <v>0</v>
      </c>
      <c r="M39" s="189"/>
      <c r="N39" s="189"/>
      <c r="O39" s="189"/>
    </row>
    <row r="40" spans="2:17">
      <c r="B40" s="147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211"/>
    </row>
    <row r="41" spans="2:17">
      <c r="B41" s="130" t="s">
        <v>215</v>
      </c>
      <c r="C41" s="128">
        <f t="shared" ref="C41:L41" si="7">SUM(C42:C48)</f>
        <v>0</v>
      </c>
      <c r="D41" s="128">
        <f t="shared" si="7"/>
        <v>0</v>
      </c>
      <c r="E41" s="128">
        <f t="shared" si="7"/>
        <v>0</v>
      </c>
      <c r="F41" s="128">
        <f t="shared" si="7"/>
        <v>0</v>
      </c>
      <c r="G41" s="128"/>
      <c r="H41" s="128">
        <f t="shared" si="7"/>
        <v>0</v>
      </c>
      <c r="I41" s="128">
        <f t="shared" si="7"/>
        <v>182731</v>
      </c>
      <c r="J41" s="128">
        <f t="shared" si="7"/>
        <v>196366</v>
      </c>
      <c r="K41" s="128">
        <f t="shared" si="7"/>
        <v>211302</v>
      </c>
      <c r="L41" s="128">
        <f t="shared" si="7"/>
        <v>0</v>
      </c>
      <c r="M41" s="187"/>
      <c r="N41" s="187"/>
      <c r="O41" s="187"/>
    </row>
    <row r="42" spans="2:17">
      <c r="B42" s="131" t="s">
        <v>216</v>
      </c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4"/>
      <c r="N42" s="134"/>
      <c r="O42" s="134"/>
    </row>
    <row r="43" spans="2:17">
      <c r="B43" s="131" t="s">
        <v>44</v>
      </c>
      <c r="C43" s="132"/>
      <c r="D43" s="132"/>
      <c r="E43" s="132"/>
      <c r="F43" s="132"/>
      <c r="G43" s="132"/>
      <c r="H43" s="132"/>
      <c r="I43" s="132">
        <v>160546</v>
      </c>
      <c r="J43" s="132">
        <v>172233</v>
      </c>
      <c r="K43" s="132">
        <v>185024</v>
      </c>
      <c r="L43" s="132"/>
      <c r="M43" s="134"/>
      <c r="N43" s="134"/>
      <c r="O43" s="134"/>
    </row>
    <row r="44" spans="2:17">
      <c r="B44" s="131" t="s">
        <v>217</v>
      </c>
      <c r="C44" s="132"/>
      <c r="D44" s="132"/>
      <c r="E44" s="132"/>
      <c r="F44" s="132"/>
      <c r="G44" s="132"/>
      <c r="H44" s="132"/>
      <c r="I44" s="132">
        <v>22185</v>
      </c>
      <c r="J44" s="132">
        <v>24133</v>
      </c>
      <c r="K44" s="132">
        <v>26278</v>
      </c>
      <c r="L44" s="132"/>
      <c r="M44" s="134"/>
      <c r="N44" s="134"/>
      <c r="O44" s="134"/>
    </row>
    <row r="45" spans="2:17">
      <c r="B45" s="131" t="s">
        <v>222</v>
      </c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4"/>
      <c r="N45" s="134"/>
      <c r="O45" s="134"/>
    </row>
    <row r="46" spans="2:17">
      <c r="B46" s="131" t="s">
        <v>218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4"/>
      <c r="N46" s="134"/>
      <c r="O46" s="134"/>
    </row>
    <row r="47" spans="2:17">
      <c r="B47" s="131" t="s">
        <v>219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4"/>
      <c r="N47" s="134"/>
      <c r="O47" s="134"/>
    </row>
    <row r="48" spans="2:17">
      <c r="B48" s="131"/>
      <c r="C48" s="135"/>
      <c r="D48" s="135"/>
      <c r="E48" s="135"/>
      <c r="F48" s="135"/>
      <c r="G48" s="135"/>
      <c r="H48" s="135"/>
      <c r="I48" s="135"/>
      <c r="J48" s="135"/>
      <c r="K48" s="135"/>
      <c r="L48" s="135"/>
    </row>
    <row r="49" spans="1:42">
      <c r="B49" s="130" t="s">
        <v>188</v>
      </c>
      <c r="C49" s="132"/>
      <c r="D49" s="135"/>
      <c r="E49" s="132"/>
      <c r="F49" s="132"/>
      <c r="G49" s="132"/>
      <c r="H49" s="132"/>
      <c r="I49" s="132"/>
      <c r="J49" s="132"/>
      <c r="K49" s="132"/>
      <c r="L49" s="132"/>
    </row>
    <row r="50" spans="1:42">
      <c r="B50" s="130"/>
      <c r="C50" s="135"/>
      <c r="D50" s="135"/>
      <c r="E50" s="135"/>
      <c r="F50" s="135"/>
      <c r="G50" s="135"/>
      <c r="H50" s="135"/>
      <c r="I50" s="135"/>
      <c r="J50" s="135"/>
      <c r="K50" s="135"/>
      <c r="L50" s="135"/>
    </row>
    <row r="51" spans="1:42">
      <c r="B51" s="139" t="s">
        <v>220</v>
      </c>
      <c r="C51" s="140">
        <f>+C25+C33+C37+C41+C49</f>
        <v>0</v>
      </c>
      <c r="D51" s="140">
        <f>+D25+D33+D37+D41+D49</f>
        <v>0</v>
      </c>
      <c r="E51" s="140">
        <f>+E25+E33+E37+E41+E49</f>
        <v>0</v>
      </c>
      <c r="F51" s="140">
        <f>+F25+F33+F37+F41+F49</f>
        <v>0</v>
      </c>
      <c r="G51" s="271"/>
      <c r="H51" s="140">
        <f>+H25+H33+H37+H41+H49</f>
        <v>0</v>
      </c>
      <c r="I51" s="140">
        <f>+I25+I33+I37+I41+I49</f>
        <v>3031341</v>
      </c>
      <c r="J51" s="140">
        <f>+J25+J33+J37+J41+J49</f>
        <v>3096380</v>
      </c>
      <c r="K51" s="140">
        <f>+K25+K33+K37+K41+K49</f>
        <v>3292364</v>
      </c>
      <c r="L51" s="140">
        <f>+L25+L33+L37+L41+L49</f>
        <v>0</v>
      </c>
    </row>
    <row r="52" spans="1:42">
      <c r="B52" s="141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42">
      <c r="B53" s="143" t="s">
        <v>221</v>
      </c>
      <c r="C53" s="144" t="str">
        <f>IF(ABS(C51-C23)&lt;2,"Equilibré","Erreur")</f>
        <v>Equilibré</v>
      </c>
      <c r="D53" s="144" t="str">
        <f>IF(ABS(D51-D23)&lt;2,"Equilibré","Erreur")</f>
        <v>Equilibré</v>
      </c>
      <c r="E53" s="144" t="str">
        <f>IF(ABS(E51-E23)&lt;2,"Equilibré","Erreur")</f>
        <v>Equilibré</v>
      </c>
      <c r="F53" s="144" t="str">
        <f>IF(ABS(F51-F23)&lt;2,"Equilibré","Erreur")</f>
        <v>Equilibré</v>
      </c>
      <c r="G53" s="252"/>
      <c r="H53" s="144" t="str">
        <f>IF(ABS(H51-H23)&lt;2,"Equilibré","Erreur")</f>
        <v>Equilibré</v>
      </c>
      <c r="I53" s="144" t="str">
        <f>IF(ABS(I51-I23)&lt;2,"Equilibré","Erreur")</f>
        <v>Equilibré</v>
      </c>
      <c r="J53" s="144" t="str">
        <f>IF(ABS(J51-J23)&lt;2,"Equilibré","Erreur")</f>
        <v>Equilibré</v>
      </c>
      <c r="K53" s="144" t="str">
        <f>IF(ABS(K51-K23)&lt;2,"Equilibré","Erreur")</f>
        <v>Equilibré</v>
      </c>
      <c r="L53" s="144" t="str">
        <f>IF(ABS(L51-L23)&lt;2,"Equilibré","Erreur")</f>
        <v>Equilibré</v>
      </c>
    </row>
    <row r="55" spans="1:42" s="32" customFormat="1">
      <c r="A55" s="83"/>
      <c r="B55" s="13" t="s">
        <v>68</v>
      </c>
      <c r="C55" s="14"/>
      <c r="D55" s="14"/>
      <c r="E55" s="14"/>
      <c r="F55" s="14"/>
      <c r="G55" s="52"/>
      <c r="H55" s="14"/>
      <c r="I55" s="14"/>
      <c r="J55" s="14"/>
      <c r="K55" s="14"/>
      <c r="L55" s="14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</row>
    <row r="56" spans="1:42" s="32" customFormat="1">
      <c r="A56" s="83"/>
      <c r="B56" s="15" t="s">
        <v>42</v>
      </c>
      <c r="C56" s="23">
        <f>C14/('Probois 43 - P&amp;L'!C33/365)</f>
        <v>0</v>
      </c>
      <c r="D56" s="23">
        <f>D14/('Probois 43 - P&amp;L'!D33/365)</f>
        <v>0</v>
      </c>
      <c r="E56" s="23">
        <f>E14/('Probois 43 - P&amp;L'!E33/365)</f>
        <v>0</v>
      </c>
      <c r="F56" s="23">
        <f>F14/('Probois 43 - P&amp;L'!F33/365)</f>
        <v>0</v>
      </c>
      <c r="G56" s="272"/>
      <c r="H56" s="23"/>
      <c r="I56" s="23">
        <f>I14/('Profilyss - P&amp;L'!H15/365)</f>
        <v>54.378017391304347</v>
      </c>
      <c r="J56" s="23">
        <f>J14/('Profilyss - P&amp;L'!I15/365)</f>
        <v>53.344966403162054</v>
      </c>
      <c r="K56" s="23">
        <f>K14/('Profilyss - P&amp;L'!J15/365)</f>
        <v>53.300098814229244</v>
      </c>
      <c r="L56" s="23">
        <f>L14/('Probois 43 - P&amp;L'!L33/365)</f>
        <v>0</v>
      </c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</row>
    <row r="57" spans="1:42" s="32" customFormat="1">
      <c r="A57" s="83"/>
      <c r="B57" s="15" t="s">
        <v>69</v>
      </c>
      <c r="C57" s="23">
        <f>C16/('Probois 43 - P&amp;L'!C33/365)</f>
        <v>0</v>
      </c>
      <c r="D57" s="23">
        <f>D16/('Probois 43 - P&amp;L'!D33/365)</f>
        <v>0</v>
      </c>
      <c r="E57" s="23">
        <f>E16/('Probois 43 - P&amp;L'!E33/365)</f>
        <v>0</v>
      </c>
      <c r="F57" s="23">
        <f>F16/('Probois 43 - P&amp;L'!F33/365)</f>
        <v>0</v>
      </c>
      <c r="G57" s="272"/>
      <c r="H57" s="23"/>
      <c r="I57" s="23">
        <f>I16/('Profilyss - P&amp;L'!H15/365)</f>
        <v>36.499365217391301</v>
      </c>
      <c r="J57" s="23">
        <f>J16/('Profilyss - P&amp;L'!I15/365)</f>
        <v>36.500577075098818</v>
      </c>
      <c r="K57" s="23">
        <f>K16/('Profilyss - P&amp;L'!J15/365)</f>
        <v>36.499475386273801</v>
      </c>
      <c r="L57" s="23">
        <f>L16/('Probois 43 - P&amp;L'!L33/365)</f>
        <v>0</v>
      </c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</row>
    <row r="58" spans="1:42" s="32" customFormat="1">
      <c r="A58" s="83"/>
      <c r="B58" s="15" t="s">
        <v>70</v>
      </c>
      <c r="C58" s="23">
        <f>C43/('Probois 43 - P&amp;L'!C33/365)</f>
        <v>0</v>
      </c>
      <c r="D58" s="23">
        <f>D43/('Probois 43 - P&amp;L'!D33/365)</f>
        <v>0</v>
      </c>
      <c r="E58" s="23">
        <f>E43/('Probois 43 - P&amp;L'!E33/365)</f>
        <v>0</v>
      </c>
      <c r="F58" s="23">
        <f>F43/('Probois 43 - P&amp;L'!F33/365)</f>
        <v>0</v>
      </c>
      <c r="G58" s="272"/>
      <c r="H58" s="23"/>
      <c r="I58" s="23">
        <f>I43/('Profilyss - P&amp;L'!H15/365)</f>
        <v>25.477952173913042</v>
      </c>
      <c r="J58" s="23">
        <f>J43/('Profilyss - P&amp;L'!I15/365)</f>
        <v>24.847843873517785</v>
      </c>
      <c r="K58" s="23">
        <f>K43/('Profilyss - P&amp;L'!J15/365)</f>
        <v>24.266532518864533</v>
      </c>
      <c r="L58" s="23">
        <f>L43/('Probois 43 - P&amp;L'!L33/365)</f>
        <v>0</v>
      </c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</row>
    <row r="59" spans="1:42" s="168" customFormat="1">
      <c r="B59" s="24" t="s">
        <v>71</v>
      </c>
      <c r="C59" s="310">
        <f>(C14+C16-C43)/('Probois 43 - P&amp;L'!C33/365)</f>
        <v>0</v>
      </c>
      <c r="D59" s="310">
        <f>(D14+D16-D43)/('Probois 43 - P&amp;L'!D33/365)</f>
        <v>0</v>
      </c>
      <c r="E59" s="310">
        <f>(E14+E16-E43)/('Probois 43 - P&amp;L'!E33/365)</f>
        <v>0</v>
      </c>
      <c r="F59" s="310">
        <f>(F14+F16-F43)/('Probois 43 - P&amp;L'!F33/365)</f>
        <v>0</v>
      </c>
      <c r="G59" s="280"/>
      <c r="H59" s="310"/>
      <c r="I59" s="310">
        <f>(I14+I16-I43)/('Profilyss - P&amp;L'!H15/365)</f>
        <v>65.399430434782602</v>
      </c>
      <c r="J59" s="310">
        <f>(J14+J16-J43)/('Profilyss - P&amp;L'!I15/365)</f>
        <v>64.99769960474309</v>
      </c>
      <c r="K59" s="310">
        <f>(K14+K16-K43)/('Profilyss - P&amp;L'!J15/365)</f>
        <v>65.533041681638522</v>
      </c>
      <c r="L59" s="310">
        <f>(L14+L16-L43)/('Probois 43 - P&amp;L'!L33/365)</f>
        <v>0</v>
      </c>
    </row>
    <row r="60" spans="1:42">
      <c r="B60" s="25" t="s">
        <v>50</v>
      </c>
      <c r="C60" s="26">
        <f>(SUM(C14:C17,C19)-SUM(C42:C47))/('Probois 43 - P&amp;L'!C33/365)</f>
        <v>0</v>
      </c>
      <c r="D60" s="26">
        <f>(SUM(D14:D17,D19)-SUM(D42:D47))/('Probois 43 - P&amp;L'!D33/365)</f>
        <v>0</v>
      </c>
      <c r="E60" s="26">
        <f>(SUM(E14:E17,E19)-SUM(E42:E47))/('Probois 43 - P&amp;L'!E33/365)</f>
        <v>0</v>
      </c>
      <c r="F60" s="26">
        <f>(SUM(F14:F17,F19)-SUM(F42:F47))/('Probois 43 - P&amp;L'!F33/365)</f>
        <v>0</v>
      </c>
      <c r="G60" s="280"/>
      <c r="H60" s="26"/>
      <c r="I60" s="26">
        <f>(SUM(I14:I17,I19)-SUM(I42:I47))/('Profilyss - P&amp;L'!H15/365)</f>
        <v>61.878767391304351</v>
      </c>
      <c r="J60" s="26">
        <f>(SUM(J14:J17,J19)-SUM(J42:J47))/('Profilyss - P&amp;L'!I15/365)</f>
        <v>61.516061264822135</v>
      </c>
      <c r="K60" s="26">
        <f>(SUM(K14:K17,K19)-SUM(K42:K47))/('Profilyss - P&amp;L'!J15/365)</f>
        <v>62.08659180740208</v>
      </c>
      <c r="L60" s="26">
        <f>(SUM(L14:L17,L19)-SUM(L42:L47))/('Probois 43 - P&amp;L'!L33/365)</f>
        <v>0</v>
      </c>
    </row>
    <row r="61" spans="1:42">
      <c r="B61" s="25" t="s">
        <v>72</v>
      </c>
      <c r="C61" s="27">
        <f t="shared" ref="C61:L61" si="8">C23</f>
        <v>0</v>
      </c>
      <c r="D61" s="27">
        <f t="shared" si="8"/>
        <v>0</v>
      </c>
      <c r="E61" s="27">
        <f t="shared" si="8"/>
        <v>0</v>
      </c>
      <c r="F61" s="27">
        <f t="shared" si="8"/>
        <v>0</v>
      </c>
      <c r="G61" s="281"/>
      <c r="H61" s="27"/>
      <c r="I61" s="27">
        <f t="shared" si="8"/>
        <v>3031341</v>
      </c>
      <c r="J61" s="27">
        <f t="shared" ref="J61:K61" si="9">J23</f>
        <v>3096380</v>
      </c>
      <c r="K61" s="27">
        <f t="shared" si="9"/>
        <v>3292364</v>
      </c>
      <c r="L61" s="27">
        <f t="shared" si="8"/>
        <v>0</v>
      </c>
    </row>
    <row r="62" spans="1:42">
      <c r="B62" s="28" t="s">
        <v>73</v>
      </c>
      <c r="C62" s="29" t="e">
        <f t="shared" ref="C62:L62" si="10">(C37-C18)/C25</f>
        <v>#DIV/0!</v>
      </c>
      <c r="D62" s="29" t="e">
        <f t="shared" si="10"/>
        <v>#DIV/0!</v>
      </c>
      <c r="E62" s="29" t="e">
        <f t="shared" si="10"/>
        <v>#DIV/0!</v>
      </c>
      <c r="F62" s="29" t="e">
        <f t="shared" si="10"/>
        <v>#DIV/0!</v>
      </c>
      <c r="G62" s="282"/>
      <c r="H62" s="29"/>
      <c r="I62" s="29">
        <f t="shared" si="10"/>
        <v>1.7971544433069404</v>
      </c>
      <c r="J62" s="29">
        <f t="shared" ref="J62:K62" si="11">(J37-J18)/J25</f>
        <v>0.971423677573235</v>
      </c>
      <c r="K62" s="29">
        <f t="shared" si="11"/>
        <v>0.35242847312830655</v>
      </c>
      <c r="L62" s="29" t="e">
        <f t="shared" si="10"/>
        <v>#DIV/0!</v>
      </c>
    </row>
    <row r="63" spans="1:42">
      <c r="B63" s="17" t="s">
        <v>74</v>
      </c>
      <c r="C63" s="30">
        <f>(C37-C18)/'Probois 43 - P&amp;L'!C218</f>
        <v>0</v>
      </c>
      <c r="D63" s="30">
        <f>(D37-D18)/'Probois 43 - P&amp;L'!D218</f>
        <v>0</v>
      </c>
      <c r="E63" s="30">
        <f>(E37-E18)/'Probois 43 - P&amp;L'!E218</f>
        <v>0</v>
      </c>
      <c r="F63" s="30">
        <f>(F37-F18)/'Probois 43 - P&amp;L'!F218</f>
        <v>0</v>
      </c>
      <c r="G63" s="282"/>
      <c r="H63" s="30"/>
      <c r="I63" s="30">
        <f>(I37-I18)/'Profilyss - P&amp;L'!H95</f>
        <v>3.2030163849249762</v>
      </c>
      <c r="J63" s="30">
        <f>(J37-J18)/'Profilyss - P&amp;L'!I95</f>
        <v>2.0793249532999818</v>
      </c>
      <c r="K63" s="30">
        <f>(K37-K18)/'Profilyss - P&amp;L'!J95</f>
        <v>0.83295637838870651</v>
      </c>
      <c r="L63" s="30">
        <f>(L37-L18)/'Probois 43 - P&amp;L'!L218</f>
        <v>0</v>
      </c>
    </row>
    <row r="65" spans="3:9">
      <c r="I65" s="146"/>
    </row>
    <row r="66" spans="3:9">
      <c r="C66" s="146"/>
      <c r="D66" s="146"/>
      <c r="E66" s="146"/>
      <c r="F66" s="146"/>
      <c r="G66" s="146"/>
    </row>
    <row r="67" spans="3:9">
      <c r="D67" s="146"/>
      <c r="E67" s="146"/>
      <c r="F67" s="146"/>
      <c r="G67" s="146"/>
    </row>
  </sheetData>
  <mergeCells count="1">
    <mergeCell ref="B2:B4"/>
  </mergeCells>
  <conditionalFormatting sqref="C53:L53">
    <cfRule type="containsText" dxfId="127" priority="1" operator="containsText" text="Equilibré">
      <formula>NOT(ISERROR(SEARCH("Equilibré",C53)))</formula>
    </cfRule>
    <cfRule type="containsText" dxfId="126" priority="2" operator="containsText" text="Erreur">
      <formula>NOT(ISERROR(SEARCH("Erreur",C53)))</formula>
    </cfRule>
    <cfRule type="containsText" dxfId="125" priority="3" operator="containsText" text="Validé">
      <formula>NOT(ISERROR(SEARCH("Validé",C53)))</formula>
    </cfRule>
    <cfRule type="containsText" dxfId="124" priority="4" operator="containsText" text="Erreur">
      <formula>NOT(ISERROR(SEARCH("Erreur",C53)))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3E64-923B-504E-96D0-3C0C8FEB8833}">
  <sheetPr codeName="Feuil27">
    <tabColor rgb="FF006C4C"/>
  </sheetPr>
  <dimension ref="A1:AQ148"/>
  <sheetViews>
    <sheetView showGridLines="0" zoomScale="85" zoomScaleNormal="85" workbookViewId="0">
      <pane xSplit="2" ySplit="5" topLeftCell="C53" activePane="bottomRight" state="frozen"/>
      <selection pane="topRight" activeCell="C1" sqref="C1"/>
      <selection pane="bottomLeft" activeCell="A5" sqref="A5"/>
      <selection pane="bottomRight" activeCell="N18" sqref="N18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84"/>
      <c r="L2" s="247" t="s">
        <v>705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246"/>
      <c r="H3" s="181" t="s">
        <v>260</v>
      </c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44196</v>
      </c>
      <c r="D4" s="54">
        <v>44561</v>
      </c>
      <c r="E4" s="54">
        <v>44926</v>
      </c>
      <c r="F4" s="54">
        <v>45291</v>
      </c>
      <c r="G4" s="54"/>
      <c r="H4" s="119" t="s">
        <v>875</v>
      </c>
      <c r="I4" s="119" t="s">
        <v>876</v>
      </c>
      <c r="J4" s="119" t="s">
        <v>877</v>
      </c>
      <c r="K4" s="119" t="s">
        <v>878</v>
      </c>
      <c r="L4" s="119" t="s">
        <v>879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>
      <c r="A8" s="83"/>
      <c r="B8" s="83" t="s">
        <v>166</v>
      </c>
      <c r="C8" s="88">
        <f>SUM(C9:C11)</f>
        <v>0</v>
      </c>
      <c r="D8" s="88">
        <f>SUM(D9:D11)</f>
        <v>24355</v>
      </c>
      <c r="E8" s="88">
        <f>SUM(E9:E11)</f>
        <v>25092</v>
      </c>
      <c r="F8" s="88">
        <f>SUM(F9:F11)</f>
        <v>29886</v>
      </c>
      <c r="G8" s="88"/>
      <c r="H8" s="88">
        <f>SUM(H9:H11)</f>
        <v>29886</v>
      </c>
      <c r="I8" s="88">
        <f t="shared" ref="I8:L8" si="0">SUM(I9:I11)</f>
        <v>29886</v>
      </c>
      <c r="J8" s="88">
        <f t="shared" si="0"/>
        <v>29886</v>
      </c>
      <c r="K8" s="88">
        <f t="shared" si="0"/>
        <v>29886</v>
      </c>
      <c r="L8" s="88">
        <f t="shared" si="0"/>
        <v>29886</v>
      </c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2">
      <c r="A9" s="83"/>
      <c r="B9" s="106" t="s">
        <v>706</v>
      </c>
      <c r="C9" s="95"/>
      <c r="D9" s="95">
        <v>19800</v>
      </c>
      <c r="E9" s="95">
        <v>20500</v>
      </c>
      <c r="F9" s="95">
        <v>21900</v>
      </c>
      <c r="G9" s="95"/>
      <c r="H9" s="95">
        <v>21900</v>
      </c>
      <c r="I9" s="95">
        <v>21900</v>
      </c>
      <c r="J9" s="95">
        <v>21900</v>
      </c>
      <c r="K9" s="95">
        <v>21900</v>
      </c>
      <c r="L9" s="95">
        <v>21900</v>
      </c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2">
      <c r="A10" s="83"/>
      <c r="B10" s="106" t="s">
        <v>707</v>
      </c>
      <c r="C10" s="95"/>
      <c r="D10" s="95">
        <v>4555</v>
      </c>
      <c r="E10" s="95">
        <v>4592</v>
      </c>
      <c r="F10" s="95">
        <v>7986</v>
      </c>
      <c r="G10" s="95"/>
      <c r="H10" s="95">
        <v>7986</v>
      </c>
      <c r="I10" s="95">
        <v>7986</v>
      </c>
      <c r="J10" s="95">
        <v>7986</v>
      </c>
      <c r="K10" s="95">
        <v>7986</v>
      </c>
      <c r="L10" s="95">
        <v>7986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2">
      <c r="A11" s="83"/>
      <c r="B11" s="243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>
      <c r="A12" s="83"/>
      <c r="B12" s="98" t="s">
        <v>7</v>
      </c>
      <c r="C12" s="99">
        <f>C6+C8+C7</f>
        <v>0</v>
      </c>
      <c r="D12" s="99">
        <f>D6+D8+D7</f>
        <v>24355</v>
      </c>
      <c r="E12" s="99">
        <f>E6+E8+E7</f>
        <v>25092</v>
      </c>
      <c r="F12" s="99">
        <f>F6+F8+F7</f>
        <v>29886</v>
      </c>
      <c r="G12" s="275"/>
      <c r="H12" s="99">
        <f>H6+H8+H7</f>
        <v>29886</v>
      </c>
      <c r="I12" s="99">
        <f t="shared" ref="I12:L12" si="1">I6+I8+I7</f>
        <v>29886</v>
      </c>
      <c r="J12" s="99">
        <f t="shared" si="1"/>
        <v>29886</v>
      </c>
      <c r="K12" s="99">
        <f t="shared" si="1"/>
        <v>29886</v>
      </c>
      <c r="L12" s="99">
        <f t="shared" si="1"/>
        <v>29886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>
      <c r="A13" s="83"/>
      <c r="B13" s="97" t="s">
        <v>8</v>
      </c>
      <c r="C13" s="89">
        <v>0</v>
      </c>
      <c r="D13" s="89">
        <v>0</v>
      </c>
      <c r="E13" s="89">
        <v>0</v>
      </c>
      <c r="F13" s="89">
        <v>0</v>
      </c>
      <c r="G13" s="89"/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>
      <c r="A14" s="83"/>
      <c r="B14" s="97" t="s">
        <v>9</v>
      </c>
      <c r="C14" s="169">
        <f>'Probois 43'!C10</f>
        <v>0</v>
      </c>
      <c r="D14" s="169">
        <f>'Probois 43'!D10</f>
        <v>0</v>
      </c>
      <c r="E14" s="169">
        <f>'Probois 43'!E10</f>
        <v>0</v>
      </c>
      <c r="F14" s="169">
        <f>'Probois 43'!F10</f>
        <v>0</v>
      </c>
      <c r="G14" s="169"/>
      <c r="H14" s="169">
        <f>'Probois 43'!H10</f>
        <v>0</v>
      </c>
      <c r="I14" s="169">
        <f>'Probois 43'!I10</f>
        <v>0</v>
      </c>
      <c r="J14" s="169">
        <f>'Probois 43'!J10</f>
        <v>0</v>
      </c>
      <c r="K14" s="169">
        <f>'Probois 43'!K10</f>
        <v>0</v>
      </c>
      <c r="L14" s="169">
        <f>'Probois 43'!L10</f>
        <v>0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>
      <c r="A15" s="83"/>
      <c r="B15" s="100" t="s">
        <v>14</v>
      </c>
      <c r="C15" s="99">
        <f>C12+C13+C14</f>
        <v>0</v>
      </c>
      <c r="D15" s="99">
        <f>D12+D13+D14</f>
        <v>24355</v>
      </c>
      <c r="E15" s="99">
        <f>E12+E13+E14</f>
        <v>25092</v>
      </c>
      <c r="F15" s="99">
        <f>F12+F13+F14</f>
        <v>29886</v>
      </c>
      <c r="G15" s="275"/>
      <c r="H15" s="99">
        <f>H12+H13+H14</f>
        <v>29886</v>
      </c>
      <c r="I15" s="99">
        <f t="shared" ref="I15:L15" si="2">I12+I13+I14</f>
        <v>29886</v>
      </c>
      <c r="J15" s="99">
        <f t="shared" si="2"/>
        <v>29886</v>
      </c>
      <c r="K15" s="99">
        <f t="shared" si="2"/>
        <v>29886</v>
      </c>
      <c r="L15" s="99">
        <f t="shared" si="2"/>
        <v>29886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6.5" thickBot="1">
      <c r="A16" s="83"/>
      <c r="B16" s="101" t="s">
        <v>106</v>
      </c>
      <c r="C16" s="102" t="e">
        <f>C15/C15</f>
        <v>#DIV/0!</v>
      </c>
      <c r="D16" s="102">
        <f t="shared" ref="D16:F16" si="3">D15/D15</f>
        <v>1</v>
      </c>
      <c r="E16" s="102">
        <f t="shared" si="3"/>
        <v>1</v>
      </c>
      <c r="F16" s="102">
        <f t="shared" si="3"/>
        <v>1</v>
      </c>
      <c r="G16" s="276"/>
      <c r="H16" s="102">
        <f t="shared" ref="H16:L16" si="4">H15/H15</f>
        <v>1</v>
      </c>
      <c r="I16" s="102">
        <f t="shared" si="4"/>
        <v>1</v>
      </c>
      <c r="J16" s="102">
        <f t="shared" si="4"/>
        <v>1</v>
      </c>
      <c r="K16" s="102">
        <f t="shared" si="4"/>
        <v>1</v>
      </c>
      <c r="L16" s="102">
        <f t="shared" si="4"/>
        <v>1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collapsed="1">
      <c r="A17" s="83"/>
      <c r="B17" s="103" t="s">
        <v>167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>
      <c r="A18" s="83"/>
      <c r="B18" s="103" t="s">
        <v>168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>
      <c r="A19" s="83"/>
      <c r="B19" s="83" t="s">
        <v>190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>
      <c r="A20" s="107"/>
      <c r="B20" s="108" t="s">
        <v>169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8"/>
      <c r="N20" s="108"/>
      <c r="O20" s="109"/>
      <c r="P20" s="109"/>
      <c r="Q20" s="109"/>
      <c r="R20" s="109"/>
      <c r="S20" s="109"/>
      <c r="T20" s="109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</row>
    <row r="21" spans="1:43" ht="15.75">
      <c r="A21" s="83"/>
      <c r="B21" s="100" t="s">
        <v>16</v>
      </c>
      <c r="C21" s="99">
        <f>C15+C17+C18+C19+C20</f>
        <v>0</v>
      </c>
      <c r="D21" s="99">
        <f>D15+D17+D18+D19+D20</f>
        <v>24355</v>
      </c>
      <c r="E21" s="99">
        <f>E15+E17+E18+E19+E20</f>
        <v>25092</v>
      </c>
      <c r="F21" s="99">
        <f>F15+F17+F18+F19+F20</f>
        <v>29886</v>
      </c>
      <c r="G21" s="275"/>
      <c r="H21" s="99">
        <f>H15+H17+H18+H19+H20</f>
        <v>29886</v>
      </c>
      <c r="I21" s="99">
        <f t="shared" ref="I21:L21" si="5">I15+I17+I18+I19+I20</f>
        <v>29886</v>
      </c>
      <c r="J21" s="99">
        <f t="shared" si="5"/>
        <v>29886</v>
      </c>
      <c r="K21" s="99">
        <f t="shared" si="5"/>
        <v>29886</v>
      </c>
      <c r="L21" s="99">
        <f t="shared" si="5"/>
        <v>29886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6.5" thickBot="1">
      <c r="A22" s="107"/>
      <c r="B22" s="101" t="s">
        <v>106</v>
      </c>
      <c r="C22" s="102" t="e">
        <f>C21/C15</f>
        <v>#DIV/0!</v>
      </c>
      <c r="D22" s="102">
        <f>D21/D15</f>
        <v>1</v>
      </c>
      <c r="E22" s="102">
        <f>E21/E15</f>
        <v>1</v>
      </c>
      <c r="F22" s="102">
        <f>F21/F15</f>
        <v>1</v>
      </c>
      <c r="G22" s="276"/>
      <c r="H22" s="102">
        <f>H21/H15</f>
        <v>1</v>
      </c>
      <c r="I22" s="102">
        <f t="shared" ref="I22:L22" si="6">I21/I15</f>
        <v>1</v>
      </c>
      <c r="J22" s="102">
        <f t="shared" si="6"/>
        <v>1</v>
      </c>
      <c r="K22" s="102">
        <f t="shared" si="6"/>
        <v>1</v>
      </c>
      <c r="L22" s="102">
        <f t="shared" si="6"/>
        <v>1</v>
      </c>
      <c r="M22" s="108"/>
      <c r="N22" s="108"/>
      <c r="O22" s="109"/>
      <c r="P22" s="109"/>
      <c r="Q22" s="109"/>
      <c r="R22" s="109"/>
      <c r="S22" s="109"/>
      <c r="T22" s="109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</row>
    <row r="23" spans="1:43" ht="15.75">
      <c r="A23" s="107"/>
      <c r="B23" s="108" t="s">
        <v>170</v>
      </c>
      <c r="C23" s="104">
        <f>C25+C26+C27+C28+C29+C30+C31+C32+C38+C40+C41+C39</f>
        <v>0</v>
      </c>
      <c r="D23" s="104">
        <f>D25+D26+D27+D28+D29+D30+D31+D32+D38+D40+D41+D39</f>
        <v>-3797</v>
      </c>
      <c r="E23" s="104">
        <f>E25+E26+E27+E28+E29+E30+E31+E32+E38+E40+E41+E39</f>
        <v>-2165</v>
      </c>
      <c r="F23" s="104">
        <f>F25+F26+F27+F28+F29+F30+F31+F32+F38+F40+F41+F39</f>
        <v>-1007</v>
      </c>
      <c r="G23" s="104"/>
      <c r="H23" s="104">
        <f>H25+H26+H27+H28+H29+H30+H31+H32+H38+H40+H41+H39</f>
        <v>-1007</v>
      </c>
      <c r="I23" s="104">
        <f t="shared" ref="I23:L23" si="7">I25+I26+I27+I28+I29+I30+I31+I32+I38+I40+I41+I39</f>
        <v>-1007</v>
      </c>
      <c r="J23" s="104">
        <f t="shared" si="7"/>
        <v>-1007</v>
      </c>
      <c r="K23" s="104">
        <f t="shared" si="7"/>
        <v>-1007</v>
      </c>
      <c r="L23" s="104">
        <f t="shared" si="7"/>
        <v>-1007</v>
      </c>
      <c r="M23" s="108"/>
      <c r="N23" s="108"/>
      <c r="O23" s="109"/>
      <c r="P23" s="109"/>
      <c r="Q23" s="109"/>
      <c r="R23" s="109"/>
      <c r="S23" s="109"/>
      <c r="T23" s="109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</row>
    <row r="24" spans="1:43" outlineLevel="1"/>
    <row r="25" spans="1:43" s="92" customFormat="1" ht="12.75" outlineLevel="1">
      <c r="A25" s="90"/>
      <c r="B25" s="105" t="s">
        <v>171</v>
      </c>
      <c r="C25" s="91">
        <v>0</v>
      </c>
      <c r="D25" s="91">
        <v>0</v>
      </c>
      <c r="E25" s="91">
        <v>0</v>
      </c>
      <c r="F25" s="91">
        <v>0</v>
      </c>
      <c r="G25" s="91"/>
      <c r="H25" s="91">
        <v>0</v>
      </c>
      <c r="I25" s="91">
        <v>0</v>
      </c>
      <c r="J25" s="91">
        <v>0</v>
      </c>
      <c r="K25" s="91">
        <v>0</v>
      </c>
      <c r="L25" s="91">
        <v>0</v>
      </c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</row>
    <row r="26" spans="1:43" s="92" customFormat="1" ht="12.75" outlineLevel="1">
      <c r="A26" s="90"/>
      <c r="B26" s="105" t="s">
        <v>172</v>
      </c>
      <c r="C26" s="91">
        <v>0</v>
      </c>
      <c r="D26" s="91">
        <v>0</v>
      </c>
      <c r="E26" s="91">
        <v>0</v>
      </c>
      <c r="F26" s="91">
        <v>0</v>
      </c>
      <c r="G26" s="91"/>
      <c r="H26" s="91">
        <v>0</v>
      </c>
      <c r="I26" s="91">
        <v>0</v>
      </c>
      <c r="J26" s="91">
        <v>0</v>
      </c>
      <c r="K26" s="91">
        <v>0</v>
      </c>
      <c r="L26" s="91">
        <v>0</v>
      </c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</row>
    <row r="27" spans="1:43" s="92" customFormat="1" ht="12.75" outlineLevel="1">
      <c r="A27" s="90"/>
      <c r="B27" s="105" t="s">
        <v>173</v>
      </c>
      <c r="C27" s="91">
        <v>0</v>
      </c>
      <c r="D27" s="91">
        <v>0</v>
      </c>
      <c r="E27" s="91">
        <v>0</v>
      </c>
      <c r="F27" s="91">
        <v>0</v>
      </c>
      <c r="G27" s="91"/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</row>
    <row r="28" spans="1:43" s="92" customFormat="1" ht="12.75" outlineLevel="1">
      <c r="A28" s="90"/>
      <c r="B28" s="105" t="s">
        <v>174</v>
      </c>
      <c r="C28" s="91">
        <v>0</v>
      </c>
      <c r="D28" s="91">
        <v>0</v>
      </c>
      <c r="E28" s="91">
        <v>0</v>
      </c>
      <c r="F28" s="91">
        <v>0</v>
      </c>
      <c r="G28" s="91"/>
      <c r="H28" s="91">
        <v>0</v>
      </c>
      <c r="I28" s="91">
        <v>0</v>
      </c>
      <c r="J28" s="91">
        <v>0</v>
      </c>
      <c r="K28" s="91">
        <v>0</v>
      </c>
      <c r="L28" s="91">
        <v>0</v>
      </c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</row>
    <row r="29" spans="1:43" s="92" customFormat="1" ht="12.75" outlineLevel="1">
      <c r="A29" s="90"/>
      <c r="B29" s="105" t="s">
        <v>175</v>
      </c>
      <c r="C29" s="91">
        <v>0</v>
      </c>
      <c r="D29" s="91">
        <v>0</v>
      </c>
      <c r="E29" s="91">
        <v>0</v>
      </c>
      <c r="F29" s="91">
        <v>0</v>
      </c>
      <c r="G29" s="91"/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</row>
    <row r="30" spans="1:43" s="92" customFormat="1" ht="12.75" outlineLevel="1">
      <c r="A30" s="90"/>
      <c r="B30" s="105" t="s">
        <v>176</v>
      </c>
      <c r="C30" s="91">
        <v>0</v>
      </c>
      <c r="D30" s="91">
        <v>0</v>
      </c>
      <c r="E30" s="91">
        <v>0</v>
      </c>
      <c r="F30" s="91">
        <v>0</v>
      </c>
      <c r="G30" s="91"/>
      <c r="H30" s="91">
        <v>0</v>
      </c>
      <c r="I30" s="91">
        <v>0</v>
      </c>
      <c r="J30" s="91">
        <v>0</v>
      </c>
      <c r="K30" s="91">
        <v>0</v>
      </c>
      <c r="L30" s="91">
        <v>0</v>
      </c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</row>
    <row r="31" spans="1:43" s="92" customFormat="1" ht="12.75" outlineLevel="1">
      <c r="A31" s="90"/>
      <c r="B31" s="105" t="s">
        <v>177</v>
      </c>
      <c r="C31" s="91">
        <v>0</v>
      </c>
      <c r="D31" s="91">
        <v>0</v>
      </c>
      <c r="E31" s="91">
        <v>0</v>
      </c>
      <c r="F31" s="91">
        <v>0</v>
      </c>
      <c r="G31" s="91"/>
      <c r="H31" s="91">
        <v>0</v>
      </c>
      <c r="I31" s="91">
        <v>0</v>
      </c>
      <c r="J31" s="91">
        <v>0</v>
      </c>
      <c r="K31" s="91">
        <v>0</v>
      </c>
      <c r="L31" s="91">
        <v>0</v>
      </c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</row>
    <row r="32" spans="1:43" s="92" customFormat="1" ht="12.75" outlineLevel="1">
      <c r="A32" s="90"/>
      <c r="B32" s="105" t="s">
        <v>143</v>
      </c>
      <c r="C32" s="91">
        <f>SUM(C33:C37)</f>
        <v>0</v>
      </c>
      <c r="D32" s="91">
        <f>SUM(D33:D37)</f>
        <v>-3490</v>
      </c>
      <c r="E32" s="91">
        <f>SUM(E33:E37)</f>
        <v>-1917</v>
      </c>
      <c r="F32" s="91">
        <f>SUM(F33:F37)</f>
        <v>-687</v>
      </c>
      <c r="G32" s="91"/>
      <c r="H32" s="91">
        <f>SUM(H33:H37)</f>
        <v>-687</v>
      </c>
      <c r="I32" s="91">
        <f t="shared" ref="I32:L32" si="8">SUM(I33:I37)</f>
        <v>-687</v>
      </c>
      <c r="J32" s="91">
        <f t="shared" si="8"/>
        <v>-687</v>
      </c>
      <c r="K32" s="91">
        <f t="shared" si="8"/>
        <v>-687</v>
      </c>
      <c r="L32" s="91">
        <f t="shared" si="8"/>
        <v>-687</v>
      </c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</row>
    <row r="33" spans="1:43" ht="15.75" outlineLevel="2">
      <c r="A33" s="83"/>
      <c r="B33" s="106" t="s">
        <v>708</v>
      </c>
      <c r="C33" s="95"/>
      <c r="D33" s="95">
        <v>-2000</v>
      </c>
      <c r="E33" s="95">
        <v>-1247</v>
      </c>
      <c r="F33" s="95"/>
      <c r="G33" s="95"/>
      <c r="H33" s="95"/>
      <c r="I33" s="95"/>
      <c r="J33" s="95"/>
      <c r="K33" s="95"/>
      <c r="L33" s="95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 outlineLevel="2">
      <c r="A34" s="83"/>
      <c r="B34" s="106" t="s">
        <v>711</v>
      </c>
      <c r="C34" s="95"/>
      <c r="D34" s="95">
        <v>-847</v>
      </c>
      <c r="E34" s="95"/>
      <c r="F34" s="95"/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2">
      <c r="A35" s="83"/>
      <c r="B35" s="106" t="s">
        <v>710</v>
      </c>
      <c r="C35" s="95"/>
      <c r="D35" s="95">
        <v>-643</v>
      </c>
      <c r="E35" s="95">
        <v>-662</v>
      </c>
      <c r="F35" s="95">
        <v>-687</v>
      </c>
      <c r="G35" s="95"/>
      <c r="H35" s="95">
        <v>-687</v>
      </c>
      <c r="I35" s="95">
        <v>-687</v>
      </c>
      <c r="J35" s="95">
        <v>-687</v>
      </c>
      <c r="K35" s="95">
        <v>-687</v>
      </c>
      <c r="L35" s="95">
        <v>-687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2">
      <c r="A36" s="83"/>
      <c r="B36" s="106" t="s">
        <v>709</v>
      </c>
      <c r="C36" s="95"/>
      <c r="E36" s="95">
        <v>-8</v>
      </c>
      <c r="F36" s="95"/>
      <c r="G36" s="95"/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2">
      <c r="A37" s="83"/>
      <c r="B37" s="106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s="92" customFormat="1" ht="12.75" outlineLevel="1">
      <c r="A38" s="90"/>
      <c r="B38" s="105" t="s">
        <v>178</v>
      </c>
      <c r="C38" s="91">
        <v>0</v>
      </c>
      <c r="D38" s="91">
        <v>0</v>
      </c>
      <c r="E38" s="91">
        <v>0</v>
      </c>
      <c r="F38" s="91">
        <v>0</v>
      </c>
      <c r="G38" s="91"/>
      <c r="H38" s="91">
        <v>0</v>
      </c>
      <c r="I38" s="91">
        <v>0</v>
      </c>
      <c r="J38" s="91">
        <v>0</v>
      </c>
      <c r="K38" s="91">
        <v>0</v>
      </c>
      <c r="L38" s="91">
        <v>0</v>
      </c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</row>
    <row r="39" spans="1:43" s="92" customFormat="1" ht="12.75" outlineLevel="1">
      <c r="A39" s="90"/>
      <c r="B39" s="105" t="s">
        <v>590</v>
      </c>
      <c r="C39" s="91">
        <v>0</v>
      </c>
      <c r="D39" s="91">
        <v>0</v>
      </c>
      <c r="E39" s="91">
        <v>0</v>
      </c>
      <c r="F39" s="91">
        <v>0</v>
      </c>
      <c r="G39" s="91"/>
      <c r="H39" s="91">
        <v>0</v>
      </c>
      <c r="I39" s="91">
        <v>0</v>
      </c>
      <c r="J39" s="91">
        <v>0</v>
      </c>
      <c r="K39" s="91">
        <v>0</v>
      </c>
      <c r="L39" s="91">
        <v>0</v>
      </c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s="92" customFormat="1" ht="12.75" outlineLevel="1">
      <c r="A40" s="90"/>
      <c r="B40" s="105" t="s">
        <v>179</v>
      </c>
      <c r="C40" s="91">
        <v>0</v>
      </c>
      <c r="D40" s="91">
        <v>0</v>
      </c>
      <c r="E40" s="91">
        <v>0</v>
      </c>
      <c r="F40" s="91">
        <v>0</v>
      </c>
      <c r="G40" s="91"/>
      <c r="H40" s="91">
        <v>0</v>
      </c>
      <c r="I40" s="91">
        <v>0</v>
      </c>
      <c r="J40" s="91">
        <v>0</v>
      </c>
      <c r="K40" s="91">
        <v>0</v>
      </c>
      <c r="L40" s="91">
        <v>0</v>
      </c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</row>
    <row r="41" spans="1:43" s="92" customFormat="1" ht="12.75" outlineLevel="1">
      <c r="A41" s="90"/>
      <c r="B41" s="105" t="s">
        <v>180</v>
      </c>
      <c r="C41" s="91">
        <f>SUM(C42:C44)</f>
        <v>0</v>
      </c>
      <c r="D41" s="91">
        <f>SUM(D42:D44)</f>
        <v>-307</v>
      </c>
      <c r="E41" s="91">
        <f>SUM(E42:E44)</f>
        <v>-248</v>
      </c>
      <c r="F41" s="91">
        <f>SUM(F42:F44)</f>
        <v>-320</v>
      </c>
      <c r="G41" s="91"/>
      <c r="H41" s="91">
        <f>SUM(H42:H44)</f>
        <v>-320</v>
      </c>
      <c r="I41" s="91">
        <f t="shared" ref="I41:L41" si="9">SUM(I42:I44)</f>
        <v>-320</v>
      </c>
      <c r="J41" s="91">
        <f t="shared" si="9"/>
        <v>-320</v>
      </c>
      <c r="K41" s="91">
        <f t="shared" si="9"/>
        <v>-320</v>
      </c>
      <c r="L41" s="91">
        <f t="shared" si="9"/>
        <v>-320</v>
      </c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</row>
    <row r="42" spans="1:43" ht="15.75" outlineLevel="2">
      <c r="A42" s="83"/>
      <c r="B42" s="106" t="s">
        <v>712</v>
      </c>
      <c r="C42" s="95"/>
      <c r="D42" s="95">
        <v>-307</v>
      </c>
      <c r="E42" s="95">
        <v>-248</v>
      </c>
      <c r="F42" s="95">
        <v>-320</v>
      </c>
      <c r="G42" s="95"/>
      <c r="H42" s="95">
        <v>-320</v>
      </c>
      <c r="I42" s="95">
        <v>-320</v>
      </c>
      <c r="J42" s="95">
        <v>-320</v>
      </c>
      <c r="K42" s="95">
        <v>-320</v>
      </c>
      <c r="L42" s="95">
        <v>-320</v>
      </c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2">
      <c r="A43" s="83"/>
      <c r="B43" s="106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243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>
      <c r="A45" s="83"/>
      <c r="B45" s="100" t="s">
        <v>181</v>
      </c>
      <c r="C45" s="110">
        <f>C21+C23</f>
        <v>0</v>
      </c>
      <c r="D45" s="110">
        <f>D21+D23</f>
        <v>20558</v>
      </c>
      <c r="E45" s="110">
        <f>E21+E23</f>
        <v>22927</v>
      </c>
      <c r="F45" s="110">
        <f>F21+F23</f>
        <v>28879</v>
      </c>
      <c r="G45" s="277"/>
      <c r="H45" s="110">
        <f>H21+H23</f>
        <v>28879</v>
      </c>
      <c r="I45" s="110">
        <f t="shared" ref="I45:L45" si="10">I21+I23</f>
        <v>28879</v>
      </c>
      <c r="J45" s="110">
        <f t="shared" si="10"/>
        <v>28879</v>
      </c>
      <c r="K45" s="110">
        <f t="shared" si="10"/>
        <v>28879</v>
      </c>
      <c r="L45" s="110">
        <f t="shared" si="10"/>
        <v>28879</v>
      </c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6.5" thickBot="1">
      <c r="A46" s="83"/>
      <c r="B46" s="101" t="s">
        <v>106</v>
      </c>
      <c r="C46" s="102" t="e">
        <f>C45/C15</f>
        <v>#DIV/0!</v>
      </c>
      <c r="D46" s="102">
        <f>D45/D15</f>
        <v>0.84409772120714432</v>
      </c>
      <c r="E46" s="102">
        <f>E45/E15</f>
        <v>0.91371751952813651</v>
      </c>
      <c r="F46" s="102">
        <f>F45/F15</f>
        <v>0.96630529344843741</v>
      </c>
      <c r="G46" s="276"/>
      <c r="H46" s="102">
        <f>H45/H15</f>
        <v>0.96630529344843741</v>
      </c>
      <c r="I46" s="102">
        <f t="shared" ref="I46:L46" si="11">I45/I15</f>
        <v>0.96630529344843741</v>
      </c>
      <c r="J46" s="102">
        <f t="shared" si="11"/>
        <v>0.96630529344843741</v>
      </c>
      <c r="K46" s="102">
        <f t="shared" si="11"/>
        <v>0.96630529344843741</v>
      </c>
      <c r="L46" s="102">
        <f t="shared" si="11"/>
        <v>0.96630529344843741</v>
      </c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>
      <c r="A47" s="107"/>
      <c r="B47" s="83" t="s">
        <v>262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8"/>
      <c r="N47" s="108"/>
      <c r="O47" s="109"/>
      <c r="P47" s="109"/>
      <c r="Q47" s="109"/>
      <c r="R47" s="109"/>
      <c r="S47" s="109"/>
      <c r="T47" s="109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</row>
    <row r="48" spans="1:43" ht="15.75">
      <c r="A48" s="107"/>
      <c r="B48" s="97" t="s">
        <v>22</v>
      </c>
      <c r="C48" s="104">
        <f>SUM(C49:C51)</f>
        <v>0</v>
      </c>
      <c r="D48" s="104">
        <f t="shared" ref="D48:F48" si="12">SUM(D49:D51)</f>
        <v>-5163</v>
      </c>
      <c r="E48" s="104">
        <f t="shared" si="12"/>
        <v>-6932</v>
      </c>
      <c r="F48" s="104">
        <f t="shared" si="12"/>
        <v>-8137</v>
      </c>
      <c r="G48" s="104"/>
      <c r="H48" s="104">
        <f t="shared" ref="H48:L48" si="13">SUM(H49:H51)</f>
        <v>-8137</v>
      </c>
      <c r="I48" s="104">
        <f t="shared" si="13"/>
        <v>-8137</v>
      </c>
      <c r="J48" s="104">
        <f t="shared" si="13"/>
        <v>-8137</v>
      </c>
      <c r="K48" s="104">
        <f t="shared" si="13"/>
        <v>-8137</v>
      </c>
      <c r="L48" s="104">
        <f t="shared" si="13"/>
        <v>-8137</v>
      </c>
      <c r="M48" s="108"/>
      <c r="N48" s="108"/>
      <c r="O48" s="109"/>
      <c r="P48" s="109"/>
      <c r="Q48" s="109"/>
      <c r="R48" s="109"/>
      <c r="S48" s="109"/>
      <c r="T48" s="109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</row>
    <row r="49" spans="1:43" ht="15.75" outlineLevel="1">
      <c r="A49" s="83"/>
      <c r="B49" s="106" t="s">
        <v>719</v>
      </c>
      <c r="C49" s="95"/>
      <c r="D49" s="95"/>
      <c r="E49" s="95"/>
      <c r="F49" s="95">
        <v>-151</v>
      </c>
      <c r="G49" s="95"/>
      <c r="H49" s="95">
        <v>-151</v>
      </c>
      <c r="I49" s="95">
        <v>-151</v>
      </c>
      <c r="J49" s="95">
        <v>-151</v>
      </c>
      <c r="K49" s="95">
        <v>-151</v>
      </c>
      <c r="L49" s="95">
        <v>-151</v>
      </c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 t="s">
        <v>713</v>
      </c>
      <c r="C50" s="95"/>
      <c r="D50" s="95">
        <v>-4555</v>
      </c>
      <c r="E50" s="95">
        <v>-4592</v>
      </c>
      <c r="F50" s="95">
        <v>-7986</v>
      </c>
      <c r="G50" s="95"/>
      <c r="H50" s="95">
        <v>-7986</v>
      </c>
      <c r="I50" s="95">
        <v>-7986</v>
      </c>
      <c r="J50" s="95">
        <v>-7986</v>
      </c>
      <c r="K50" s="95">
        <v>-7986</v>
      </c>
      <c r="L50" s="95">
        <v>-7986</v>
      </c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 outlineLevel="1">
      <c r="A51" s="83"/>
      <c r="B51" s="106" t="s">
        <v>714</v>
      </c>
      <c r="C51" s="95"/>
      <c r="D51" s="95">
        <v>-608</v>
      </c>
      <c r="E51" s="95">
        <v>-2340</v>
      </c>
      <c r="F51" s="95"/>
      <c r="G51" s="95"/>
      <c r="H51" s="95"/>
      <c r="I51" s="95"/>
      <c r="J51" s="95"/>
      <c r="K51" s="95"/>
      <c r="L51" s="95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>
      <c r="A52" s="107"/>
      <c r="B52" s="97" t="s">
        <v>21</v>
      </c>
      <c r="C52" s="89">
        <v>0</v>
      </c>
      <c r="D52" s="89">
        <v>0</v>
      </c>
      <c r="E52" s="89">
        <v>0</v>
      </c>
      <c r="F52" s="89">
        <v>0</v>
      </c>
      <c r="G52" s="89"/>
      <c r="H52" s="89">
        <v>0</v>
      </c>
      <c r="I52" s="89">
        <v>0</v>
      </c>
      <c r="J52" s="89">
        <v>0</v>
      </c>
      <c r="K52" s="89">
        <v>0</v>
      </c>
      <c r="L52" s="89">
        <v>0</v>
      </c>
      <c r="M52" s="108"/>
      <c r="N52" s="108"/>
      <c r="O52" s="109"/>
      <c r="P52" s="109"/>
      <c r="Q52" s="109"/>
      <c r="R52" s="109"/>
      <c r="S52" s="109"/>
      <c r="T52" s="109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</row>
    <row r="53" spans="1:43" ht="15.75">
      <c r="A53" s="83"/>
      <c r="B53" s="97" t="s">
        <v>20</v>
      </c>
      <c r="C53" s="89">
        <v>0</v>
      </c>
      <c r="D53" s="89">
        <v>0</v>
      </c>
      <c r="E53" s="89">
        <v>0</v>
      </c>
      <c r="F53" s="89">
        <v>0</v>
      </c>
      <c r="G53" s="89"/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>
      <c r="A54" s="83"/>
      <c r="B54" s="100" t="s">
        <v>24</v>
      </c>
      <c r="C54" s="110">
        <f>C45+C47+C48+C52+C53</f>
        <v>0</v>
      </c>
      <c r="D54" s="110">
        <f>D45+D47+D48+D52+D53</f>
        <v>15395</v>
      </c>
      <c r="E54" s="110">
        <f>E45+E47+E48+E52+E53</f>
        <v>15995</v>
      </c>
      <c r="F54" s="110">
        <f>F45+F47+F48+F52+F53</f>
        <v>20742</v>
      </c>
      <c r="G54" s="277"/>
      <c r="H54" s="110">
        <f>H45+H47+H48+H52+H53</f>
        <v>20742</v>
      </c>
      <c r="I54" s="110">
        <f t="shared" ref="I54:L54" si="14">I45+I47+I48+I52+I53</f>
        <v>20742</v>
      </c>
      <c r="J54" s="110">
        <f t="shared" si="14"/>
        <v>20742</v>
      </c>
      <c r="K54" s="110">
        <f t="shared" si="14"/>
        <v>20742</v>
      </c>
      <c r="L54" s="110">
        <f t="shared" si="14"/>
        <v>20742</v>
      </c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6.5" thickBot="1">
      <c r="A55" s="83"/>
      <c r="B55" s="101" t="s">
        <v>106</v>
      </c>
      <c r="C55" s="102" t="e">
        <f>C54/C15</f>
        <v>#DIV/0!</v>
      </c>
      <c r="D55" s="102">
        <f>D54/D15</f>
        <v>0.63210839663313489</v>
      </c>
      <c r="E55" s="102">
        <f>E54/E15</f>
        <v>0.63745416865933369</v>
      </c>
      <c r="F55" s="102">
        <f>F54/F15</f>
        <v>0.69403734189921706</v>
      </c>
      <c r="G55" s="276"/>
      <c r="H55" s="102">
        <f>H54/H15</f>
        <v>0.69403734189921706</v>
      </c>
      <c r="I55" s="102">
        <f t="shared" ref="I55:L55" si="15">I54/I15</f>
        <v>0.69403734189921706</v>
      </c>
      <c r="J55" s="102">
        <f t="shared" si="15"/>
        <v>0.69403734189921706</v>
      </c>
      <c r="K55" s="102">
        <f t="shared" si="15"/>
        <v>0.69403734189921706</v>
      </c>
      <c r="L55" s="102">
        <f t="shared" si="15"/>
        <v>0.69403734189921706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>
      <c r="A56" s="83"/>
      <c r="B56" s="97" t="s">
        <v>183</v>
      </c>
      <c r="C56" s="89">
        <f>SUM(C57:C58)</f>
        <v>0</v>
      </c>
      <c r="D56" s="89">
        <f>SUM(D57:D58)</f>
        <v>0</v>
      </c>
      <c r="E56" s="89">
        <f>SUM(E57:E58)</f>
        <v>0</v>
      </c>
      <c r="F56" s="89">
        <f>SUM(F57:F58)</f>
        <v>0</v>
      </c>
      <c r="G56" s="89"/>
      <c r="H56" s="89">
        <f>SUM(H57:H58)</f>
        <v>0</v>
      </c>
      <c r="I56" s="89">
        <f t="shared" ref="I56:L56" si="16">SUM(I57:I58)</f>
        <v>0</v>
      </c>
      <c r="J56" s="89">
        <f t="shared" si="16"/>
        <v>0</v>
      </c>
      <c r="K56" s="89">
        <f t="shared" si="16"/>
        <v>0</v>
      </c>
      <c r="L56" s="89">
        <f t="shared" si="16"/>
        <v>0</v>
      </c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 outlineLevel="1">
      <c r="A57" s="83"/>
      <c r="B57" s="106" t="s">
        <v>673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5.75" outlineLevel="1">
      <c r="A58" s="83"/>
      <c r="B58" s="106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>
      <c r="A59" s="83"/>
      <c r="B59" s="97" t="s">
        <v>12</v>
      </c>
      <c r="C59" s="89">
        <f t="shared" ref="C59:L59" si="17">C60</f>
        <v>0</v>
      </c>
      <c r="D59" s="89">
        <f t="shared" si="17"/>
        <v>0</v>
      </c>
      <c r="E59" s="89">
        <f t="shared" si="17"/>
        <v>0</v>
      </c>
      <c r="F59" s="89">
        <f t="shared" si="17"/>
        <v>1</v>
      </c>
      <c r="G59" s="89"/>
      <c r="H59" s="89">
        <f t="shared" si="17"/>
        <v>1</v>
      </c>
      <c r="I59" s="89">
        <f t="shared" si="17"/>
        <v>1</v>
      </c>
      <c r="J59" s="89">
        <f t="shared" si="17"/>
        <v>1</v>
      </c>
      <c r="K59" s="89">
        <f t="shared" si="17"/>
        <v>1</v>
      </c>
      <c r="L59" s="89">
        <f t="shared" si="17"/>
        <v>1</v>
      </c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 t="s">
        <v>581</v>
      </c>
      <c r="C60" s="95"/>
      <c r="D60" s="95"/>
      <c r="E60" s="95"/>
      <c r="F60" s="95">
        <v>1</v>
      </c>
      <c r="G60" s="95"/>
      <c r="H60" s="95">
        <v>1</v>
      </c>
      <c r="I60" s="95">
        <v>1</v>
      </c>
      <c r="J60" s="95">
        <v>1</v>
      </c>
      <c r="K60" s="95">
        <v>1</v>
      </c>
      <c r="L60" s="95">
        <v>1</v>
      </c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 outlineLevel="1">
      <c r="A61" s="83"/>
      <c r="B61" s="106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>
      <c r="A62" s="83"/>
      <c r="B62" s="97" t="s">
        <v>184</v>
      </c>
      <c r="C62" s="89">
        <f>C63</f>
        <v>0</v>
      </c>
      <c r="D62" s="89">
        <f t="shared" ref="D62:L62" si="18">D63</f>
        <v>-8519</v>
      </c>
      <c r="E62" s="89">
        <f t="shared" si="18"/>
        <v>-8519</v>
      </c>
      <c r="F62" s="89">
        <f t="shared" si="18"/>
        <v>-8519</v>
      </c>
      <c r="G62" s="89"/>
      <c r="H62" s="89">
        <f t="shared" si="18"/>
        <v>-8519</v>
      </c>
      <c r="I62" s="89">
        <f t="shared" si="18"/>
        <v>-8519</v>
      </c>
      <c r="J62" s="89">
        <f t="shared" si="18"/>
        <v>-8519</v>
      </c>
      <c r="K62" s="89">
        <f t="shared" si="18"/>
        <v>-8519</v>
      </c>
      <c r="L62" s="89">
        <f t="shared" si="18"/>
        <v>-8519</v>
      </c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715</v>
      </c>
      <c r="C63" s="95"/>
      <c r="D63" s="95">
        <v>-8519</v>
      </c>
      <c r="E63" s="95">
        <v>-8519</v>
      </c>
      <c r="F63" s="95">
        <v>-8519</v>
      </c>
      <c r="G63" s="95"/>
      <c r="H63" s="95">
        <v>-8519</v>
      </c>
      <c r="I63" s="95">
        <v>-8519</v>
      </c>
      <c r="J63" s="95">
        <v>-8519</v>
      </c>
      <c r="K63" s="95">
        <v>-8519</v>
      </c>
      <c r="L63" s="95">
        <v>-8519</v>
      </c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>
      <c r="A65" s="83"/>
      <c r="B65" s="97" t="s">
        <v>23</v>
      </c>
      <c r="C65" s="89">
        <f>SUM(C66:C67)</f>
        <v>0</v>
      </c>
      <c r="D65" s="89">
        <f>SUM(D66:D67)</f>
        <v>-1</v>
      </c>
      <c r="E65" s="89">
        <f>SUM(E66:E67)</f>
        <v>0</v>
      </c>
      <c r="F65" s="89">
        <f>SUM(F66:F67)</f>
        <v>-1</v>
      </c>
      <c r="G65" s="89"/>
      <c r="H65" s="89">
        <f>SUM(H66:H67)</f>
        <v>-1</v>
      </c>
      <c r="I65" s="89">
        <f t="shared" ref="I65:L65" si="19">SUM(I66:I67)</f>
        <v>-1</v>
      </c>
      <c r="J65" s="89">
        <f t="shared" si="19"/>
        <v>-1</v>
      </c>
      <c r="K65" s="89">
        <f t="shared" si="19"/>
        <v>-1</v>
      </c>
      <c r="L65" s="89">
        <f t="shared" si="19"/>
        <v>-1</v>
      </c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1">
      <c r="A66" s="83"/>
      <c r="B66" s="106" t="s">
        <v>633</v>
      </c>
      <c r="C66" s="95"/>
      <c r="D66" s="95">
        <v>-1</v>
      </c>
      <c r="E66" s="95"/>
      <c r="F66" s="95">
        <v>-1</v>
      </c>
      <c r="G66" s="95"/>
      <c r="H66" s="95">
        <v>-1</v>
      </c>
      <c r="I66" s="95">
        <v>-1</v>
      </c>
      <c r="J66" s="95">
        <v>-1</v>
      </c>
      <c r="K66" s="95">
        <v>-1</v>
      </c>
      <c r="L66" s="95">
        <v>-1</v>
      </c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1">
      <c r="A67" s="83"/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5.75">
      <c r="A68" s="83"/>
      <c r="B68" s="100" t="s">
        <v>26</v>
      </c>
      <c r="C68" s="110">
        <f>C54+C56+C59+C65+C62</f>
        <v>0</v>
      </c>
      <c r="D68" s="110">
        <f>D54+D56+D59+D65+D62</f>
        <v>6875</v>
      </c>
      <c r="E68" s="110">
        <f>E54+E56+E59+E65+E62</f>
        <v>7476</v>
      </c>
      <c r="F68" s="110">
        <f>F54+F56+F59+F65+F62</f>
        <v>12223</v>
      </c>
      <c r="G68" s="277"/>
      <c r="H68" s="110">
        <f>H54+H56+H59+H65+H62</f>
        <v>12223</v>
      </c>
      <c r="I68" s="110">
        <f t="shared" ref="I68:L68" si="20">I54+I56+I59+I65+I62</f>
        <v>12223</v>
      </c>
      <c r="J68" s="110">
        <f t="shared" si="20"/>
        <v>12223</v>
      </c>
      <c r="K68" s="110">
        <f t="shared" si="20"/>
        <v>12223</v>
      </c>
      <c r="L68" s="110">
        <f t="shared" si="20"/>
        <v>12223</v>
      </c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16.5" thickBot="1">
      <c r="A69" s="83"/>
      <c r="B69" s="101" t="s">
        <v>106</v>
      </c>
      <c r="C69" s="102" t="e">
        <f>C68/C15</f>
        <v>#DIV/0!</v>
      </c>
      <c r="D69" s="102">
        <f>D68/D15</f>
        <v>0.28228289878874974</v>
      </c>
      <c r="E69" s="102">
        <f>E68/E15</f>
        <v>0.29794356767097085</v>
      </c>
      <c r="F69" s="102">
        <f>F68/F15</f>
        <v>0.40898748577929467</v>
      </c>
      <c r="G69" s="276"/>
      <c r="H69" s="102">
        <f>H68/H15</f>
        <v>0.40898748577929467</v>
      </c>
      <c r="I69" s="102">
        <f t="shared" ref="I69:L69" si="21">I68/I15</f>
        <v>0.40898748577929467</v>
      </c>
      <c r="J69" s="102">
        <f t="shared" si="21"/>
        <v>0.40898748577929467</v>
      </c>
      <c r="K69" s="102">
        <f t="shared" si="21"/>
        <v>0.40898748577929467</v>
      </c>
      <c r="L69" s="102">
        <f t="shared" si="21"/>
        <v>0.40898748577929467</v>
      </c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s="111" customFormat="1" ht="15.75">
      <c r="A70" s="83"/>
      <c r="B70" s="97" t="s">
        <v>29</v>
      </c>
      <c r="C70" s="89">
        <f>C71+C72</f>
        <v>0</v>
      </c>
      <c r="D70" s="89">
        <f>D71+D72</f>
        <v>-996</v>
      </c>
      <c r="E70" s="89">
        <f>E71+E72</f>
        <v>-1147</v>
      </c>
      <c r="F70" s="89">
        <f>F71+F72</f>
        <v>-4100</v>
      </c>
      <c r="G70" s="89"/>
      <c r="H70" s="89">
        <f>H71+H72</f>
        <v>-4100</v>
      </c>
      <c r="I70" s="89">
        <f t="shared" ref="I70:L70" si="22">I71+I72</f>
        <v>-4100</v>
      </c>
      <c r="J70" s="89">
        <f t="shared" si="22"/>
        <v>-4100</v>
      </c>
      <c r="K70" s="89">
        <f t="shared" si="22"/>
        <v>-4100</v>
      </c>
      <c r="L70" s="89">
        <f t="shared" si="22"/>
        <v>-4100</v>
      </c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 outlineLevel="1">
      <c r="A71" s="83"/>
      <c r="B71" s="105" t="s">
        <v>27</v>
      </c>
      <c r="C71" s="91">
        <v>0</v>
      </c>
      <c r="D71" s="91">
        <v>0</v>
      </c>
      <c r="E71" s="91">
        <v>0</v>
      </c>
      <c r="F71" s="91">
        <v>0</v>
      </c>
      <c r="G71" s="91"/>
      <c r="H71" s="91">
        <v>0</v>
      </c>
      <c r="I71" s="91">
        <v>0</v>
      </c>
      <c r="J71" s="91">
        <v>0</v>
      </c>
      <c r="K71" s="91">
        <v>0</v>
      </c>
      <c r="L71" s="91">
        <v>0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5.75" outlineLevel="1">
      <c r="A72" s="83"/>
      <c r="B72" s="105" t="s">
        <v>185</v>
      </c>
      <c r="C72" s="91">
        <f>SUM(C73:C76)</f>
        <v>0</v>
      </c>
      <c r="D72" s="91">
        <f>SUM(D73:D76)</f>
        <v>-996</v>
      </c>
      <c r="E72" s="91">
        <f>SUM(E73:E76)</f>
        <v>-1147</v>
      </c>
      <c r="F72" s="91">
        <f>SUM(F73:F76)</f>
        <v>-4100</v>
      </c>
      <c r="G72" s="91"/>
      <c r="H72" s="91">
        <f>SUM(H73:H76)</f>
        <v>-4100</v>
      </c>
      <c r="I72" s="91">
        <f t="shared" ref="I72:L72" si="23">SUM(I73:I76)</f>
        <v>-4100</v>
      </c>
      <c r="J72" s="91">
        <f t="shared" si="23"/>
        <v>-4100</v>
      </c>
      <c r="K72" s="91">
        <f t="shared" si="23"/>
        <v>-4100</v>
      </c>
      <c r="L72" s="91">
        <f t="shared" si="23"/>
        <v>-4100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 outlineLevel="2">
      <c r="A73" s="83"/>
      <c r="B73" s="106" t="s">
        <v>716</v>
      </c>
      <c r="C73" s="95"/>
      <c r="D73" s="95">
        <v>-144</v>
      </c>
      <c r="E73" s="95">
        <v>-16</v>
      </c>
      <c r="F73" s="95"/>
      <c r="G73" s="95"/>
      <c r="H73" s="95"/>
      <c r="I73" s="95"/>
      <c r="J73" s="95"/>
      <c r="K73" s="95"/>
      <c r="L73" s="95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2">
      <c r="A74" s="83"/>
      <c r="B74" s="106" t="s">
        <v>717</v>
      </c>
      <c r="C74" s="95"/>
      <c r="D74" s="95">
        <v>-624</v>
      </c>
      <c r="E74" s="95">
        <v>-569</v>
      </c>
      <c r="F74" s="95">
        <v>-513</v>
      </c>
      <c r="G74" s="95"/>
      <c r="H74" s="95">
        <v>-513</v>
      </c>
      <c r="I74" s="95">
        <v>-513</v>
      </c>
      <c r="J74" s="95">
        <v>-513</v>
      </c>
      <c r="K74" s="95">
        <v>-513</v>
      </c>
      <c r="L74" s="95">
        <v>-513</v>
      </c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2">
      <c r="A75" s="83"/>
      <c r="B75" s="106" t="s">
        <v>718</v>
      </c>
      <c r="C75" s="95"/>
      <c r="D75" s="95">
        <v>-228</v>
      </c>
      <c r="E75" s="95">
        <v>-562</v>
      </c>
      <c r="F75" s="95">
        <v>-3587</v>
      </c>
      <c r="G75" s="95"/>
      <c r="H75" s="95">
        <v>-3587</v>
      </c>
      <c r="I75" s="95">
        <v>-3587</v>
      </c>
      <c r="J75" s="95">
        <v>-3587</v>
      </c>
      <c r="K75" s="95">
        <v>-3587</v>
      </c>
      <c r="L75" s="95">
        <v>-3587</v>
      </c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1">
      <c r="A76" s="83"/>
      <c r="B76" s="10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s="96" customFormat="1" ht="15.75">
      <c r="A77" s="93"/>
      <c r="B77" s="100" t="s">
        <v>264</v>
      </c>
      <c r="C77" s="110">
        <f>+C68+C70</f>
        <v>0</v>
      </c>
      <c r="D77" s="110">
        <f>+D68+D70</f>
        <v>5879</v>
      </c>
      <c r="E77" s="110">
        <f>+E68+E70</f>
        <v>6329</v>
      </c>
      <c r="F77" s="110">
        <f>+F68+F70</f>
        <v>8123</v>
      </c>
      <c r="G77" s="277"/>
      <c r="H77" s="110">
        <f>+H68+H70</f>
        <v>8123</v>
      </c>
      <c r="I77" s="110">
        <f t="shared" ref="I77:L77" si="24">+I68+I70</f>
        <v>8123</v>
      </c>
      <c r="J77" s="110">
        <f t="shared" si="24"/>
        <v>8123</v>
      </c>
      <c r="K77" s="110">
        <f t="shared" si="24"/>
        <v>8123</v>
      </c>
      <c r="L77" s="110">
        <f t="shared" si="24"/>
        <v>8123</v>
      </c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</row>
    <row r="78" spans="1:43" s="96" customFormat="1" ht="16.5" thickBot="1">
      <c r="A78" s="93"/>
      <c r="B78" s="101" t="s">
        <v>106</v>
      </c>
      <c r="C78" s="102" t="e">
        <f>+C77/C15</f>
        <v>#DIV/0!</v>
      </c>
      <c r="D78" s="102">
        <f>+D77/D15</f>
        <v>0.24138780537877233</v>
      </c>
      <c r="E78" s="102">
        <f>+E77/E15</f>
        <v>0.2522317870237526</v>
      </c>
      <c r="F78" s="102">
        <f>+F77/F15</f>
        <v>0.2717995047848491</v>
      </c>
      <c r="G78" s="276"/>
      <c r="H78" s="102">
        <f>+H77/H15</f>
        <v>0.2717995047848491</v>
      </c>
      <c r="I78" s="102">
        <f t="shared" ref="I78:L78" si="25">+I77/I15</f>
        <v>0.2717995047848491</v>
      </c>
      <c r="J78" s="102">
        <f t="shared" si="25"/>
        <v>0.2717995047848491</v>
      </c>
      <c r="K78" s="102">
        <f t="shared" si="25"/>
        <v>0.2717995047848491</v>
      </c>
      <c r="L78" s="102">
        <f t="shared" si="25"/>
        <v>0.2717995047848491</v>
      </c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</row>
    <row r="79" spans="1:43" ht="15.75">
      <c r="A79" s="83"/>
      <c r="B79" s="97" t="s">
        <v>30</v>
      </c>
      <c r="C79" s="89">
        <f>C80+C81</f>
        <v>0</v>
      </c>
      <c r="D79" s="89">
        <f>D80+D81</f>
        <v>0</v>
      </c>
      <c r="E79" s="89">
        <f>E80+E81</f>
        <v>0</v>
      </c>
      <c r="F79" s="89">
        <f>F80+F81</f>
        <v>0</v>
      </c>
      <c r="G79" s="89"/>
      <c r="H79" s="89">
        <f>H80+H81</f>
        <v>0</v>
      </c>
      <c r="I79" s="89">
        <f t="shared" ref="I79:L79" si="26">I80+I81</f>
        <v>0</v>
      </c>
      <c r="J79" s="89">
        <f t="shared" si="26"/>
        <v>0</v>
      </c>
      <c r="K79" s="89">
        <f t="shared" si="26"/>
        <v>0</v>
      </c>
      <c r="L79" s="89">
        <f t="shared" si="26"/>
        <v>0</v>
      </c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 outlineLevel="1">
      <c r="A80" s="83"/>
      <c r="B80" s="105" t="s">
        <v>186</v>
      </c>
      <c r="C80" s="91">
        <v>0</v>
      </c>
      <c r="D80" s="91">
        <v>0</v>
      </c>
      <c r="E80" s="91">
        <v>0</v>
      </c>
      <c r="F80" s="91">
        <v>0</v>
      </c>
      <c r="G80" s="91"/>
      <c r="H80" s="91">
        <v>0</v>
      </c>
      <c r="I80" s="91">
        <v>0</v>
      </c>
      <c r="J80" s="91">
        <v>0</v>
      </c>
      <c r="K80" s="91">
        <v>0</v>
      </c>
      <c r="L80" s="91">
        <v>0</v>
      </c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s="92" customFormat="1" ht="12.75" outlineLevel="1">
      <c r="A81" s="90"/>
      <c r="B81" s="105" t="s">
        <v>187</v>
      </c>
      <c r="C81" s="91">
        <f>SUM(C82:C82)</f>
        <v>0</v>
      </c>
      <c r="D81" s="91">
        <f>SUM(D82:D82)</f>
        <v>0</v>
      </c>
      <c r="E81" s="91">
        <f>SUM(E82:E82)</f>
        <v>0</v>
      </c>
      <c r="F81" s="91">
        <f>SUM(F82:F82)</f>
        <v>0</v>
      </c>
      <c r="G81" s="91"/>
      <c r="H81" s="91">
        <f>SUM(H82:H82)</f>
        <v>0</v>
      </c>
      <c r="I81" s="91">
        <f t="shared" ref="I81:L81" si="27">SUM(I82:I82)</f>
        <v>0</v>
      </c>
      <c r="J81" s="91">
        <f t="shared" si="27"/>
        <v>0</v>
      </c>
      <c r="K81" s="91">
        <f t="shared" si="27"/>
        <v>0</v>
      </c>
      <c r="L81" s="91">
        <f t="shared" si="27"/>
        <v>0</v>
      </c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</row>
    <row r="82" spans="1:43" ht="15.75" outlineLevel="1">
      <c r="A82" s="83"/>
      <c r="B82" s="106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>
      <c r="A83" s="83"/>
      <c r="B83" s="83" t="s">
        <v>259</v>
      </c>
      <c r="C83" s="89">
        <f>SUM(C84:C85)</f>
        <v>0</v>
      </c>
      <c r="D83" s="89">
        <f>SUM(D84:D85)</f>
        <v>0</v>
      </c>
      <c r="E83" s="89">
        <f>SUM(E84:E85)</f>
        <v>0</v>
      </c>
      <c r="F83" s="89">
        <f>SUM(F84:F85)</f>
        <v>0</v>
      </c>
      <c r="G83" s="89"/>
      <c r="H83" s="89">
        <f>SUM(H84:H85)</f>
        <v>0</v>
      </c>
      <c r="I83" s="89">
        <f t="shared" ref="I83:L83" si="28">SUM(I84:I85)</f>
        <v>0</v>
      </c>
      <c r="J83" s="89">
        <f t="shared" si="28"/>
        <v>0</v>
      </c>
      <c r="K83" s="89">
        <f t="shared" si="28"/>
        <v>0</v>
      </c>
      <c r="L83" s="89">
        <f t="shared" si="28"/>
        <v>0</v>
      </c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1">
      <c r="A84" s="83"/>
      <c r="B84" s="183" t="s">
        <v>694</v>
      </c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ht="15.75" outlineLevel="1">
      <c r="A85" s="83"/>
      <c r="B85" s="183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1">
      <c r="A86" s="83"/>
      <c r="B86" s="212" t="s">
        <v>265</v>
      </c>
      <c r="C86" s="89"/>
      <c r="D86" s="89"/>
      <c r="E86" s="89">
        <v>-1</v>
      </c>
      <c r="F86" s="89">
        <v>2</v>
      </c>
      <c r="G86" s="89"/>
      <c r="H86" s="89">
        <v>2</v>
      </c>
      <c r="I86" s="89">
        <v>2</v>
      </c>
      <c r="J86" s="89">
        <v>2</v>
      </c>
      <c r="K86" s="89">
        <v>2</v>
      </c>
      <c r="L86" s="89">
        <v>2</v>
      </c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1">
      <c r="A87" s="83"/>
      <c r="B87" s="83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>
      <c r="A88" s="83"/>
      <c r="B88" s="100" t="s">
        <v>32</v>
      </c>
      <c r="C88" s="182">
        <f>C68+C70+C79+C83+C86</f>
        <v>0</v>
      </c>
      <c r="D88" s="182">
        <f>D68+D70+D79+D83+D86</f>
        <v>5879</v>
      </c>
      <c r="E88" s="182">
        <f>E68+E70+E79+E83+E86</f>
        <v>6328</v>
      </c>
      <c r="F88" s="182">
        <f>F68+F70+F79+F83+F86</f>
        <v>8125</v>
      </c>
      <c r="G88" s="277"/>
      <c r="H88" s="182">
        <f>H68+H70+H79+H83+H86</f>
        <v>8125</v>
      </c>
      <c r="I88" s="182">
        <f t="shared" ref="I88:L88" si="29">I68+I70+I79+I83+I86</f>
        <v>8125</v>
      </c>
      <c r="J88" s="182">
        <f t="shared" si="29"/>
        <v>8125</v>
      </c>
      <c r="K88" s="182">
        <f t="shared" si="29"/>
        <v>8125</v>
      </c>
      <c r="L88" s="182">
        <f t="shared" si="29"/>
        <v>8125</v>
      </c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6.5" thickBot="1">
      <c r="A89" s="83"/>
      <c r="B89" s="101" t="s">
        <v>106</v>
      </c>
      <c r="C89" s="102" t="e">
        <f>C88/C15</f>
        <v>#DIV/0!</v>
      </c>
      <c r="D89" s="102">
        <f>D88/D15</f>
        <v>0.24138780537877233</v>
      </c>
      <c r="E89" s="102">
        <f>E88/E15</f>
        <v>0.25219193368404275</v>
      </c>
      <c r="F89" s="102">
        <f>F88/F15</f>
        <v>0.27186642575118786</v>
      </c>
      <c r="G89" s="276"/>
      <c r="H89" s="102">
        <f>H88/H15</f>
        <v>0.27186642575118786</v>
      </c>
      <c r="I89" s="102">
        <f t="shared" ref="I89:L89" si="30">I88/I15</f>
        <v>0.27186642575118786</v>
      </c>
      <c r="J89" s="102">
        <f t="shared" si="30"/>
        <v>0.27186642575118786</v>
      </c>
      <c r="K89" s="102">
        <f t="shared" si="30"/>
        <v>0.27186642575118786</v>
      </c>
      <c r="L89" s="102">
        <f t="shared" si="30"/>
        <v>0.27186642575118786</v>
      </c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>
      <c r="A91" s="83"/>
      <c r="B91" s="112" t="s">
        <v>189</v>
      </c>
      <c r="C91" s="113"/>
      <c r="D91" s="113"/>
      <c r="E91" s="113"/>
      <c r="F91" s="113"/>
      <c r="G91" s="278"/>
      <c r="H91" s="113"/>
      <c r="I91" s="113"/>
      <c r="J91" s="113"/>
      <c r="K91" s="113"/>
      <c r="L91" s="11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ht="15.75">
      <c r="A92" s="83"/>
      <c r="B92" s="114" t="s">
        <v>34</v>
      </c>
      <c r="C92" s="115" t="str">
        <f>IFERROR(C12/#REF!-1,"na ")</f>
        <v xml:space="preserve">na </v>
      </c>
      <c r="D92" s="115" t="str">
        <f t="shared" ref="D92:H92" si="31">IFERROR(D12/C12-1,"na ")</f>
        <v xml:space="preserve">na </v>
      </c>
      <c r="E92" s="115">
        <f t="shared" si="31"/>
        <v>3.026072675015401E-2</v>
      </c>
      <c r="F92" s="115">
        <f t="shared" si="31"/>
        <v>0.19105691056910579</v>
      </c>
      <c r="G92" s="279"/>
      <c r="H92" s="115" t="str">
        <f t="shared" si="31"/>
        <v xml:space="preserve">na </v>
      </c>
      <c r="I92" s="115">
        <f t="shared" ref="I92" si="32">IFERROR(I12/H12-1,"na ")</f>
        <v>0</v>
      </c>
      <c r="J92" s="115">
        <f t="shared" ref="J92" si="33">IFERROR(J12/I12-1,"na ")</f>
        <v>0</v>
      </c>
      <c r="K92" s="115">
        <f t="shared" ref="K92" si="34">IFERROR(K12/J12-1,"na ")</f>
        <v>0</v>
      </c>
      <c r="L92" s="115">
        <f t="shared" ref="L92" si="35">IFERROR(L12/K12-1,"na ")</f>
        <v>0</v>
      </c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</row>
    <row r="93" spans="1:43" ht="15.75">
      <c r="A93" s="83"/>
      <c r="B93" s="114" t="s">
        <v>16</v>
      </c>
      <c r="C93" s="115" t="e">
        <f t="shared" ref="C93:F93" si="36">C21/C12</f>
        <v>#DIV/0!</v>
      </c>
      <c r="D93" s="115">
        <f t="shared" si="36"/>
        <v>1</v>
      </c>
      <c r="E93" s="115">
        <f t="shared" si="36"/>
        <v>1</v>
      </c>
      <c r="F93" s="115">
        <f t="shared" si="36"/>
        <v>1</v>
      </c>
      <c r="G93" s="279"/>
      <c r="H93" s="115">
        <f t="shared" ref="H93:L93" si="37">H21/H12</f>
        <v>1</v>
      </c>
      <c r="I93" s="115">
        <f t="shared" si="37"/>
        <v>1</v>
      </c>
      <c r="J93" s="115">
        <f t="shared" si="37"/>
        <v>1</v>
      </c>
      <c r="K93" s="115">
        <f t="shared" si="37"/>
        <v>1</v>
      </c>
      <c r="L93" s="115">
        <f t="shared" si="37"/>
        <v>1</v>
      </c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>
      <c r="A94" s="83"/>
      <c r="B94" s="114" t="s">
        <v>24</v>
      </c>
      <c r="C94" s="115" t="e">
        <f t="shared" ref="C94:F94" si="38">C54/C12</f>
        <v>#DIV/0!</v>
      </c>
      <c r="D94" s="115">
        <f t="shared" si="38"/>
        <v>0.63210839663313489</v>
      </c>
      <c r="E94" s="115">
        <f t="shared" si="38"/>
        <v>0.63745416865933369</v>
      </c>
      <c r="F94" s="115">
        <f t="shared" si="38"/>
        <v>0.69403734189921706</v>
      </c>
      <c r="G94" s="279"/>
      <c r="H94" s="115">
        <f t="shared" ref="H94:L94" si="39">H54/H12</f>
        <v>0.69403734189921706</v>
      </c>
      <c r="I94" s="115">
        <f t="shared" si="39"/>
        <v>0.69403734189921706</v>
      </c>
      <c r="J94" s="115">
        <f t="shared" si="39"/>
        <v>0.69403734189921706</v>
      </c>
      <c r="K94" s="115">
        <f t="shared" si="39"/>
        <v>0.69403734189921706</v>
      </c>
      <c r="L94" s="115">
        <f t="shared" si="39"/>
        <v>0.69403734189921706</v>
      </c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>
      <c r="A95" s="83"/>
      <c r="B95" s="114" t="s">
        <v>26</v>
      </c>
      <c r="C95" s="115" t="e">
        <f t="shared" ref="C95:F95" si="40">C68/C12</f>
        <v>#DIV/0!</v>
      </c>
      <c r="D95" s="115">
        <f t="shared" si="40"/>
        <v>0.28228289878874974</v>
      </c>
      <c r="E95" s="115">
        <f t="shared" si="40"/>
        <v>0.29794356767097085</v>
      </c>
      <c r="F95" s="115">
        <f t="shared" si="40"/>
        <v>0.40898748577929467</v>
      </c>
      <c r="G95" s="279"/>
      <c r="H95" s="115">
        <f t="shared" ref="H95:L95" si="41">H68/H12</f>
        <v>0.40898748577929467</v>
      </c>
      <c r="I95" s="115">
        <f t="shared" si="41"/>
        <v>0.40898748577929467</v>
      </c>
      <c r="J95" s="115">
        <f t="shared" si="41"/>
        <v>0.40898748577929467</v>
      </c>
      <c r="K95" s="115">
        <f t="shared" si="41"/>
        <v>0.40898748577929467</v>
      </c>
      <c r="L95" s="115">
        <f t="shared" si="41"/>
        <v>0.40898748577929467</v>
      </c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>
      <c r="A96" s="83"/>
      <c r="B96" s="116" t="s">
        <v>35</v>
      </c>
      <c r="C96" s="117" t="e">
        <f t="shared" ref="C96:F96" si="42">C88/C12</f>
        <v>#DIV/0!</v>
      </c>
      <c r="D96" s="117">
        <f t="shared" si="42"/>
        <v>0.24138780537877233</v>
      </c>
      <c r="E96" s="117">
        <f t="shared" si="42"/>
        <v>0.25219193368404275</v>
      </c>
      <c r="F96" s="117">
        <f t="shared" si="42"/>
        <v>0.27186642575118786</v>
      </c>
      <c r="G96" s="279"/>
      <c r="H96" s="117">
        <f t="shared" ref="H96:L96" si="43">H88/H12</f>
        <v>0.27186642575118786</v>
      </c>
      <c r="I96" s="117">
        <f t="shared" si="43"/>
        <v>0.27186642575118786</v>
      </c>
      <c r="J96" s="117">
        <f t="shared" si="43"/>
        <v>0.27186642575118786</v>
      </c>
      <c r="K96" s="117">
        <f t="shared" si="43"/>
        <v>0.27186642575118786</v>
      </c>
      <c r="L96" s="117">
        <f t="shared" si="43"/>
        <v>0.27186642575118786</v>
      </c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ht="15.7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</row>
    <row r="100" spans="1:43" ht="15.75">
      <c r="A100" s="107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9"/>
      <c r="P100" s="109"/>
      <c r="Q100" s="109"/>
      <c r="R100" s="109"/>
      <c r="S100" s="109"/>
      <c r="T100" s="109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</row>
    <row r="101" spans="1:43" ht="15.75">
      <c r="A101" s="107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9"/>
      <c r="P101" s="109"/>
      <c r="Q101" s="109"/>
      <c r="R101" s="109"/>
      <c r="S101" s="109"/>
      <c r="T101" s="109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</row>
    <row r="102" spans="1:43" ht="15.75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9"/>
      <c r="P102" s="109"/>
      <c r="Q102" s="109"/>
      <c r="R102" s="109"/>
      <c r="S102" s="109"/>
      <c r="T102" s="109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</row>
    <row r="103" spans="1:43" ht="15.75">
      <c r="A103" s="107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9"/>
      <c r="P103" s="109"/>
      <c r="Q103" s="109"/>
      <c r="R103" s="109"/>
      <c r="S103" s="109"/>
      <c r="T103" s="109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</row>
    <row r="104" spans="1:43" ht="15.75">
      <c r="A104" s="107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9"/>
      <c r="P104" s="109"/>
      <c r="Q104" s="109"/>
      <c r="R104" s="109"/>
      <c r="S104" s="109"/>
      <c r="T104" s="109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</row>
    <row r="105" spans="1:43" ht="15.75">
      <c r="A105" s="107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9"/>
      <c r="P105" s="109"/>
      <c r="Q105" s="109"/>
      <c r="R105" s="109"/>
      <c r="S105" s="109"/>
      <c r="T105" s="109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</row>
    <row r="106" spans="1:43" ht="15.75">
      <c r="A106" s="107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9"/>
      <c r="P106" s="109"/>
      <c r="Q106" s="109"/>
      <c r="R106" s="109"/>
      <c r="S106" s="109"/>
      <c r="T106" s="109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</row>
    <row r="107" spans="1:43" ht="15.7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>
      <c r="A108" s="107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9"/>
      <c r="P108" s="109"/>
      <c r="Q108" s="109"/>
      <c r="R108" s="109"/>
      <c r="S108" s="109"/>
      <c r="T108" s="109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</row>
    <row r="109" spans="1:43" ht="15.75">
      <c r="A109" s="107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9"/>
      <c r="P109" s="109"/>
      <c r="Q109" s="109"/>
      <c r="R109" s="109"/>
      <c r="S109" s="109"/>
      <c r="T109" s="109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</row>
    <row r="110" spans="1:43" ht="15.75">
      <c r="A110" s="107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9"/>
      <c r="P110" s="109"/>
      <c r="Q110" s="109"/>
      <c r="R110" s="109"/>
      <c r="S110" s="109"/>
      <c r="T110" s="109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</row>
    <row r="111" spans="1:43" ht="15.75">
      <c r="A111" s="107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9"/>
      <c r="P111" s="109"/>
      <c r="Q111" s="109"/>
      <c r="R111" s="109"/>
      <c r="S111" s="109"/>
      <c r="T111" s="109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</row>
    <row r="112" spans="1:43" ht="15.75">
      <c r="A112" s="107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9"/>
      <c r="P112" s="109"/>
      <c r="Q112" s="109"/>
      <c r="R112" s="109"/>
      <c r="S112" s="109"/>
      <c r="T112" s="109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</row>
    <row r="113" spans="1:43" ht="15.7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9"/>
      <c r="P114" s="109"/>
      <c r="Q114" s="109"/>
      <c r="R114" s="109"/>
      <c r="S114" s="109"/>
      <c r="T114" s="109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</row>
    <row r="115" spans="1:43" ht="15.75">
      <c r="A115" s="107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9"/>
      <c r="P115" s="109"/>
      <c r="Q115" s="109"/>
      <c r="R115" s="109"/>
      <c r="S115" s="109"/>
      <c r="T115" s="109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</row>
    <row r="116" spans="1:43" ht="15.7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5.75">
      <c r="A117" s="107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9"/>
      <c r="P117" s="109"/>
      <c r="Q117" s="109"/>
      <c r="R117" s="109"/>
      <c r="S117" s="109"/>
      <c r="T117" s="109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</row>
    <row r="118" spans="1:43" ht="15.75">
      <c r="A118" s="107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9"/>
      <c r="P118" s="109"/>
      <c r="Q118" s="109"/>
      <c r="R118" s="109"/>
      <c r="S118" s="109"/>
      <c r="T118" s="109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</row>
    <row r="119" spans="1:43" ht="15.75">
      <c r="A119" s="107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9"/>
      <c r="P119" s="109"/>
      <c r="Q119" s="109"/>
      <c r="R119" s="109"/>
      <c r="S119" s="109"/>
      <c r="T119" s="109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</row>
    <row r="120" spans="1:43" ht="15.75">
      <c r="A120" s="107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9"/>
      <c r="P120" s="109"/>
      <c r="Q120" s="109"/>
      <c r="R120" s="109"/>
      <c r="S120" s="109"/>
      <c r="T120" s="109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</row>
    <row r="121" spans="1:43" ht="15.7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>
      <c r="A122" s="107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9"/>
      <c r="P122" s="109"/>
      <c r="Q122" s="109"/>
      <c r="R122" s="109"/>
      <c r="S122" s="109"/>
      <c r="T122" s="109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</row>
    <row r="123" spans="1:43" ht="15.75">
      <c r="A123" s="107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9"/>
      <c r="P123" s="109"/>
      <c r="Q123" s="109"/>
      <c r="R123" s="109"/>
      <c r="S123" s="109"/>
      <c r="T123" s="109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</row>
    <row r="124" spans="1:43" ht="15.75">
      <c r="A124" s="107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9"/>
      <c r="P124" s="109"/>
      <c r="Q124" s="109"/>
      <c r="R124" s="109"/>
      <c r="S124" s="109"/>
      <c r="T124" s="109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</row>
    <row r="125" spans="1:43" ht="15.75">
      <c r="A125" s="107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9"/>
      <c r="P125" s="109"/>
      <c r="Q125" s="109"/>
      <c r="R125" s="109"/>
      <c r="S125" s="109"/>
      <c r="T125" s="109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</row>
    <row r="126" spans="1:43" ht="15.7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9"/>
      <c r="P127" s="109"/>
      <c r="Q127" s="109"/>
      <c r="R127" s="109"/>
      <c r="S127" s="109"/>
      <c r="T127" s="109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</row>
    <row r="128" spans="1:43" ht="15.75">
      <c r="A128" s="107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9"/>
      <c r="P128" s="109"/>
      <c r="Q128" s="109"/>
      <c r="R128" s="109"/>
      <c r="S128" s="109"/>
      <c r="T128" s="109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</row>
    <row r="129" spans="1:43" ht="15.7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>
      <c r="A130" s="107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9"/>
      <c r="P130" s="109"/>
      <c r="Q130" s="109"/>
      <c r="R130" s="109"/>
      <c r="S130" s="109"/>
      <c r="T130" s="109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</row>
    <row r="131" spans="1:43" ht="15.75">
      <c r="A131" s="107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9"/>
      <c r="P131" s="109"/>
      <c r="Q131" s="109"/>
      <c r="R131" s="109"/>
      <c r="S131" s="109"/>
      <c r="T131" s="109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</row>
    <row r="132" spans="1:43" ht="15.75">
      <c r="A132" s="107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9"/>
      <c r="P132" s="109"/>
      <c r="Q132" s="109"/>
      <c r="R132" s="109"/>
      <c r="S132" s="109"/>
      <c r="T132" s="109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</row>
    <row r="133" spans="1:43" ht="15.75">
      <c r="A133" s="107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9"/>
      <c r="P133" s="109"/>
      <c r="Q133" s="109"/>
      <c r="R133" s="109"/>
      <c r="S133" s="109"/>
      <c r="T133" s="109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</row>
    <row r="134" spans="1:43" ht="15.75">
      <c r="A134" s="107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9"/>
      <c r="P134" s="109"/>
      <c r="Q134" s="109"/>
      <c r="R134" s="109"/>
      <c r="S134" s="109"/>
      <c r="T134" s="109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</row>
    <row r="135" spans="1:43" ht="15.75">
      <c r="A135" s="107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9"/>
      <c r="P135" s="109"/>
      <c r="Q135" s="109"/>
      <c r="R135" s="109"/>
      <c r="S135" s="109"/>
      <c r="T135" s="109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</row>
    <row r="136" spans="1:43" ht="15.75">
      <c r="A136" s="107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9"/>
      <c r="P136" s="109"/>
      <c r="Q136" s="109"/>
      <c r="R136" s="109"/>
      <c r="S136" s="109"/>
      <c r="T136" s="109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</row>
    <row r="137" spans="1:43" ht="15.75">
      <c r="A137" s="107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9"/>
      <c r="P137" s="109"/>
      <c r="Q137" s="109"/>
      <c r="R137" s="109"/>
      <c r="S137" s="109"/>
      <c r="T137" s="109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</row>
    <row r="138" spans="1:43" ht="15.7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ht="15.75">
      <c r="A139" s="107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9"/>
      <c r="P139" s="109"/>
      <c r="Q139" s="109"/>
      <c r="R139" s="109"/>
      <c r="S139" s="109"/>
      <c r="T139" s="109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</row>
    <row r="140" spans="1:43" ht="15.75">
      <c r="A140" s="107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9"/>
      <c r="P140" s="109"/>
      <c r="Q140" s="109"/>
      <c r="R140" s="109"/>
      <c r="S140" s="109"/>
      <c r="T140" s="109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</row>
    <row r="141" spans="1:43" ht="15.75">
      <c r="A141" s="107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9"/>
      <c r="P141" s="109"/>
      <c r="Q141" s="109"/>
      <c r="R141" s="109"/>
      <c r="S141" s="109"/>
      <c r="T141" s="109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</row>
    <row r="142" spans="1:43" ht="15.75">
      <c r="A142" s="107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9"/>
      <c r="P142" s="109"/>
      <c r="Q142" s="109"/>
      <c r="R142" s="109"/>
      <c r="S142" s="109"/>
      <c r="T142" s="109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</row>
    <row r="143" spans="1:43" ht="15.7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ht="15.75">
      <c r="A144" s="107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9"/>
      <c r="P144" s="109"/>
      <c r="Q144" s="109"/>
      <c r="R144" s="109"/>
      <c r="S144" s="109"/>
      <c r="T144" s="109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</row>
    <row r="145" spans="1:43" ht="15.75">
      <c r="A145" s="107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9"/>
      <c r="P145" s="109"/>
      <c r="Q145" s="109"/>
      <c r="R145" s="109"/>
      <c r="S145" s="109"/>
      <c r="T145" s="109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</row>
    <row r="146" spans="1:43" ht="15.75">
      <c r="A146" s="107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</row>
    <row r="147" spans="1:43" ht="15.75">
      <c r="A147" s="107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</row>
    <row r="148" spans="1:43" ht="15.7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6294B-C7C1-A74B-87D3-BECA4B910B80}">
  <sheetPr codeName="Feuil28">
    <tabColor rgb="FF006C4C"/>
  </sheetPr>
  <dimension ref="B2:Q71"/>
  <sheetViews>
    <sheetView showGridLines="0" zoomScale="85" zoomScaleNormal="85" workbookViewId="0">
      <pane xSplit="2" ySplit="5" topLeftCell="C9" activePane="bottomRight" state="frozen"/>
      <selection pane="topRight" activeCell="C1" sqref="C1"/>
      <selection pane="bottomLeft" activeCell="A4" sqref="A4"/>
      <selection pane="bottomRight" activeCell="L74" sqref="L74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44196</v>
      </c>
      <c r="D3" s="244">
        <v>44561</v>
      </c>
      <c r="E3" s="244">
        <v>44926</v>
      </c>
      <c r="F3" s="244">
        <v>45291</v>
      </c>
      <c r="G3" s="244"/>
      <c r="H3" s="121" t="str">
        <f>'SCI - P&amp;L'!H4</f>
        <v>31/12/2024</v>
      </c>
      <c r="I3" s="121" t="str">
        <f>'SCI - P&amp;L'!I4</f>
        <v>31/12/2025</v>
      </c>
      <c r="J3" s="121" t="str">
        <f>'SCI - P&amp;L'!J4</f>
        <v>31/12/2026</v>
      </c>
      <c r="K3" s="121" t="str">
        <f>'SCI - P&amp;L'!K4</f>
        <v>31/12/2027</v>
      </c>
      <c r="L3" s="121" t="str">
        <f>'SCI - P&amp;L'!L4</f>
        <v>31/12/2028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/>
      <c r="E8" s="191">
        <f>'SCI - P&amp;L'!E68</f>
        <v>7476</v>
      </c>
      <c r="F8" s="191">
        <f>'SCI - P&amp;L'!F68</f>
        <v>12223</v>
      </c>
      <c r="G8" s="152"/>
      <c r="H8" s="191">
        <f>'SCI - P&amp;L'!H68</f>
        <v>12223</v>
      </c>
      <c r="I8" s="191">
        <f>'SCI - P&amp;L'!I68</f>
        <v>12223</v>
      </c>
      <c r="J8" s="191">
        <f>'SCI - P&amp;L'!J68</f>
        <v>12223</v>
      </c>
      <c r="K8" s="191">
        <f>'SCI - P&amp;L'!K68</f>
        <v>12223</v>
      </c>
      <c r="L8" s="191">
        <f>'SCI - P&amp;L'!L68</f>
        <v>12223</v>
      </c>
      <c r="M8" s="191"/>
    </row>
    <row r="9" spans="2:13">
      <c r="B9" s="148" t="s">
        <v>225</v>
      </c>
      <c r="C9" s="191"/>
      <c r="D9" s="191"/>
      <c r="E9" s="191">
        <f>'SCI - P&amp;L'!E81</f>
        <v>0</v>
      </c>
      <c r="F9" s="191">
        <f>'SCI - P&amp;L'!F81</f>
        <v>0</v>
      </c>
      <c r="G9" s="152"/>
      <c r="H9" s="191">
        <f>'SCI - P&amp;L'!H81</f>
        <v>0</v>
      </c>
      <c r="I9" s="191">
        <f>'SCI - P&amp;L'!I81</f>
        <v>0</v>
      </c>
      <c r="J9" s="191">
        <f>'SCI - P&amp;L'!J81</f>
        <v>0</v>
      </c>
      <c r="K9" s="191">
        <f>'SCI - P&amp;L'!K81</f>
        <v>0</v>
      </c>
      <c r="L9" s="191">
        <f>'SCI - P&amp;L'!L81</f>
        <v>0</v>
      </c>
      <c r="M9" s="191"/>
    </row>
    <row r="10" spans="2:13">
      <c r="B10" s="148" t="s">
        <v>226</v>
      </c>
      <c r="C10" s="191"/>
      <c r="D10" s="191"/>
      <c r="E10" s="191">
        <f>'SCI - P&amp;L'!E80</f>
        <v>0</v>
      </c>
      <c r="F10" s="191">
        <f>'SCI - P&amp;L'!F80</f>
        <v>0</v>
      </c>
      <c r="G10" s="152"/>
      <c r="H10" s="191">
        <f>'SCI - P&amp;L'!H80</f>
        <v>0</v>
      </c>
      <c r="I10" s="191">
        <f>'SCI - P&amp;L'!I80</f>
        <v>0</v>
      </c>
      <c r="J10" s="191">
        <f>'SCI - P&amp;L'!J80</f>
        <v>0</v>
      </c>
      <c r="K10" s="191">
        <f>'SCI - P&amp;L'!K80</f>
        <v>0</v>
      </c>
      <c r="L10" s="191">
        <f>'SCI - P&amp;L'!L80</f>
        <v>0</v>
      </c>
      <c r="M10" s="191"/>
    </row>
    <row r="11" spans="2:13">
      <c r="B11" s="148" t="s">
        <v>227</v>
      </c>
      <c r="C11" s="152"/>
      <c r="D11" s="152"/>
      <c r="E11" s="152">
        <f>'SCI - P&amp;L'!E83</f>
        <v>0</v>
      </c>
      <c r="F11" s="152">
        <f>'SCI - P&amp;L'!F83</f>
        <v>0</v>
      </c>
      <c r="G11" s="152"/>
      <c r="H11" s="152">
        <f>'SCI - P&amp;L'!H83</f>
        <v>0</v>
      </c>
      <c r="I11" s="152">
        <f>'SCI - P&amp;L'!I83</f>
        <v>0</v>
      </c>
      <c r="J11" s="152">
        <f>'SCI - P&amp;L'!J83</f>
        <v>0</v>
      </c>
      <c r="K11" s="152">
        <f>'SCI - P&amp;L'!K83</f>
        <v>0</v>
      </c>
      <c r="L11" s="152">
        <f>'SCI - P&amp;L'!L83</f>
        <v>0</v>
      </c>
      <c r="M11" s="191"/>
    </row>
    <row r="12" spans="2:13">
      <c r="B12" s="153" t="s">
        <v>228</v>
      </c>
      <c r="C12" s="154"/>
      <c r="D12" s="154"/>
      <c r="E12" s="154">
        <f>SUM(E8:E11)</f>
        <v>7476</v>
      </c>
      <c r="F12" s="154">
        <f>SUM(F8:F11)</f>
        <v>12223</v>
      </c>
      <c r="G12" s="154"/>
      <c r="H12" s="154">
        <f>SUM(H8:H11)</f>
        <v>12223</v>
      </c>
      <c r="I12" s="154">
        <f t="shared" ref="I12:L12" si="0">SUM(I8:I11)</f>
        <v>12223</v>
      </c>
      <c r="J12" s="154">
        <f t="shared" si="0"/>
        <v>12223</v>
      </c>
      <c r="K12" s="154">
        <f t="shared" si="0"/>
        <v>12223</v>
      </c>
      <c r="L12" s="154">
        <f t="shared" si="0"/>
        <v>12223</v>
      </c>
      <c r="M12" s="199"/>
    </row>
    <row r="13" spans="2:13">
      <c r="B13" s="148" t="s">
        <v>229</v>
      </c>
      <c r="C13" s="191"/>
      <c r="D13" s="191"/>
      <c r="E13" s="191">
        <f>-'SCI - P&amp;L'!E63</f>
        <v>8519</v>
      </c>
      <c r="F13" s="191">
        <f>-'SCI - P&amp;L'!F63</f>
        <v>8519</v>
      </c>
      <c r="G13" s="152"/>
      <c r="H13" s="191">
        <f>-'SCI - P&amp;L'!H63</f>
        <v>8519</v>
      </c>
      <c r="I13" s="191">
        <f>-'SCI - P&amp;L'!I63</f>
        <v>8519</v>
      </c>
      <c r="J13" s="191">
        <f>-'SCI - P&amp;L'!J63</f>
        <v>8519</v>
      </c>
      <c r="K13" s="191">
        <f>-'SCI - P&amp;L'!K63</f>
        <v>8519</v>
      </c>
      <c r="L13" s="191">
        <f>-'SCI - P&amp;L'!L63</f>
        <v>8519</v>
      </c>
      <c r="M13" s="191"/>
    </row>
    <row r="14" spans="2:13">
      <c r="B14" s="148" t="s">
        <v>230</v>
      </c>
      <c r="C14" s="191"/>
      <c r="D14" s="191"/>
      <c r="E14" s="191"/>
      <c r="F14" s="191"/>
      <c r="G14" s="152"/>
      <c r="H14" s="191"/>
      <c r="I14" s="191"/>
      <c r="J14" s="191"/>
      <c r="K14" s="191"/>
      <c r="L14" s="191"/>
      <c r="M14" s="191"/>
    </row>
    <row r="15" spans="2:13">
      <c r="B15" s="153" t="s">
        <v>231</v>
      </c>
      <c r="C15" s="154"/>
      <c r="D15" s="154"/>
      <c r="E15" s="154">
        <f>SUM(E16:E26)</f>
        <v>-2460</v>
      </c>
      <c r="F15" s="154">
        <f>SUM(F16:F26)</f>
        <v>-2645</v>
      </c>
      <c r="G15" s="154"/>
      <c r="H15" s="154">
        <f>SUM(H16:H26)</f>
        <v>0</v>
      </c>
      <c r="I15" s="154">
        <f t="shared" ref="I15:L15" si="1">SUM(I16:I26)</f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99"/>
    </row>
    <row r="16" spans="2:13" s="145" customFormat="1" ht="15" hidden="1" outlineLevel="1">
      <c r="B16" s="155" t="s">
        <v>232</v>
      </c>
      <c r="C16" s="156"/>
      <c r="D16" s="156"/>
      <c r="E16" s="156">
        <f>-('SCI - Bilan'!E14-'SCI - Bilan'!D14)</f>
        <v>0</v>
      </c>
      <c r="F16" s="156">
        <f>-('SCI - Bilan'!F14-'SCI - Bilan'!E14)</f>
        <v>0</v>
      </c>
      <c r="G16" s="156"/>
      <c r="H16" s="156">
        <f>-('SCI - Bilan'!H14-'SCI - Bilan'!F14)</f>
        <v>0</v>
      </c>
      <c r="I16" s="156">
        <f>'SCI - Bilan'!I41-'SCI - Bilan'!H41</f>
        <v>0</v>
      </c>
      <c r="J16" s="156">
        <f>'SCI - Bilan'!J41-'SCI - Bilan'!I41</f>
        <v>0</v>
      </c>
      <c r="K16" s="156">
        <f>'SCI - Bilan'!K41-'SCI - Bilan'!J41</f>
        <v>0</v>
      </c>
      <c r="L16" s="156">
        <f>'SCI - Bilan'!L41-'SCI - Bilan'!K41</f>
        <v>0</v>
      </c>
      <c r="M16" s="200"/>
    </row>
    <row r="17" spans="2:13" s="145" customFormat="1" ht="15" hidden="1" outlineLevel="1">
      <c r="B17" s="155" t="s">
        <v>233</v>
      </c>
      <c r="C17" s="156"/>
      <c r="D17" s="156"/>
      <c r="E17" s="156">
        <f>-('SCI - Bilan'!E15-'SCI - Bilan'!D15)</f>
        <v>0</v>
      </c>
      <c r="F17" s="156">
        <f>-('SCI - Bilan'!F15-'SCI - Bilan'!E15)</f>
        <v>0</v>
      </c>
      <c r="G17" s="156"/>
      <c r="H17" s="156">
        <f>-('SCI - Bilan'!H15-'SCI - Bilan'!F15)</f>
        <v>0</v>
      </c>
      <c r="I17" s="156">
        <f>'SCI - Bilan'!I42-'SCI - Bilan'!H42</f>
        <v>0</v>
      </c>
      <c r="J17" s="156">
        <f>'SCI - Bilan'!J42-'SCI - Bilan'!I42</f>
        <v>0</v>
      </c>
      <c r="K17" s="156">
        <f>'SCI - Bilan'!K42-'SCI - Bilan'!J42</f>
        <v>0</v>
      </c>
      <c r="L17" s="156">
        <f>'SCI - Bilan'!L42-'SCI - Bilan'!K42</f>
        <v>0</v>
      </c>
      <c r="M17" s="200"/>
    </row>
    <row r="18" spans="2:13" s="145" customFormat="1" ht="15" hidden="1" outlineLevel="1">
      <c r="B18" s="155" t="s">
        <v>234</v>
      </c>
      <c r="C18" s="156"/>
      <c r="D18" s="156"/>
      <c r="E18" s="156">
        <f>-('SCI - Bilan'!E16-'SCI - Bilan'!D16)</f>
        <v>-2606</v>
      </c>
      <c r="F18" s="156">
        <f>-('SCI - Bilan'!F16-'SCI - Bilan'!E16)</f>
        <v>-3568</v>
      </c>
      <c r="G18" s="156"/>
      <c r="H18" s="156">
        <f>-('SCI - Bilan'!H16-'SCI - Bilan'!F16)</f>
        <v>0</v>
      </c>
      <c r="I18" s="156">
        <f>'SCI - Bilan'!I43-'SCI - Bilan'!H43</f>
        <v>0</v>
      </c>
      <c r="J18" s="156">
        <f>'SCI - Bilan'!J43-'SCI - Bilan'!I43</f>
        <v>0</v>
      </c>
      <c r="K18" s="156">
        <f>'SCI - Bilan'!K43-'SCI - Bilan'!J43</f>
        <v>0</v>
      </c>
      <c r="L18" s="156">
        <f>'SCI - Bilan'!L43-'SCI - Bilan'!K43</f>
        <v>0</v>
      </c>
      <c r="M18" s="200"/>
    </row>
    <row r="19" spans="2:13" s="145" customFormat="1" ht="15" hidden="1" outlineLevel="1">
      <c r="B19" s="155" t="s">
        <v>235</v>
      </c>
      <c r="C19" s="156"/>
      <c r="D19" s="156"/>
      <c r="E19" s="156">
        <f>-('SCI - Bilan'!E17-'SCI - Bilan'!D17)</f>
        <v>0</v>
      </c>
      <c r="F19" s="156">
        <f>-('SCI - Bilan'!F17-'SCI - Bilan'!E17)</f>
        <v>0</v>
      </c>
      <c r="G19" s="156"/>
      <c r="H19" s="156">
        <f>-('SCI - Bilan'!H17-'SCI - Bilan'!F17)</f>
        <v>0</v>
      </c>
      <c r="I19" s="156">
        <f>'SCI - Bilan'!I44-'SCI - Bilan'!H44</f>
        <v>0</v>
      </c>
      <c r="J19" s="156">
        <f>'SCI - Bilan'!J44-'SCI - Bilan'!I44</f>
        <v>0</v>
      </c>
      <c r="K19" s="156">
        <f>'SCI - Bilan'!K44-'SCI - Bilan'!J44</f>
        <v>0</v>
      </c>
      <c r="L19" s="156">
        <f>'SCI - Bilan'!L44-'SCI - Bilan'!K44</f>
        <v>0</v>
      </c>
      <c r="M19" s="200"/>
    </row>
    <row r="20" spans="2:13" s="145" customFormat="1" ht="15" hidden="1" outlineLevel="1">
      <c r="B20" s="155" t="s">
        <v>236</v>
      </c>
      <c r="C20" s="156"/>
      <c r="D20" s="156"/>
      <c r="E20" s="156">
        <f>-('SCI - Bilan'!E19-'SCI - Bilan'!D19)</f>
        <v>0</v>
      </c>
      <c r="F20" s="156">
        <f>-('SCI - Bilan'!F19-'SCI - Bilan'!E19)</f>
        <v>0</v>
      </c>
      <c r="G20" s="156"/>
      <c r="H20" s="156">
        <f>-('SCI - Bilan'!H19-'SCI - Bilan'!F19)</f>
        <v>0</v>
      </c>
      <c r="I20" s="156">
        <f>'SCI - Bilan'!I45-'SCI - Bilan'!H45</f>
        <v>0</v>
      </c>
      <c r="J20" s="156">
        <f>'SCI - Bilan'!J45-'SCI - Bilan'!I45</f>
        <v>0</v>
      </c>
      <c r="K20" s="156">
        <f>'SCI - Bilan'!K45-'SCI - Bilan'!J45</f>
        <v>0</v>
      </c>
      <c r="L20" s="156">
        <f>'SCI - Bilan'!L45-'SCI - Bilan'!K45</f>
        <v>0</v>
      </c>
      <c r="M20" s="200"/>
    </row>
    <row r="21" spans="2:13" s="145" customFormat="1" ht="15" hidden="1" outlineLevel="1">
      <c r="B21" s="155" t="s">
        <v>237</v>
      </c>
      <c r="C21" s="156"/>
      <c r="D21" s="156"/>
      <c r="E21" s="156">
        <f>'SCI - Bilan'!E46-'SCI - Bilan'!D46</f>
        <v>0</v>
      </c>
      <c r="F21" s="156">
        <f>'SCI - Bilan'!F46-'SCI - Bilan'!E46</f>
        <v>0</v>
      </c>
      <c r="G21" s="156"/>
      <c r="H21" s="156">
        <f>'SCI - Bilan'!H46-'SCI - Bilan'!F46</f>
        <v>0</v>
      </c>
      <c r="I21" s="156">
        <f>'SCI - Bilan'!I46-'SCI - Bilan'!H46</f>
        <v>0</v>
      </c>
      <c r="J21" s="156">
        <f>'SCI - Bilan'!J46-'SCI - Bilan'!I46</f>
        <v>0</v>
      </c>
      <c r="K21" s="156">
        <f>'SCI - Bilan'!K46-'SCI - Bilan'!J46</f>
        <v>0</v>
      </c>
      <c r="L21" s="156">
        <f>'SCI - Bilan'!L46-'SCI - Bilan'!K46</f>
        <v>0</v>
      </c>
      <c r="M21" s="200"/>
    </row>
    <row r="22" spans="2:13" s="145" customFormat="1" ht="15" hidden="1" outlineLevel="1">
      <c r="B22" s="155" t="s">
        <v>238</v>
      </c>
      <c r="C22" s="156"/>
      <c r="D22" s="156"/>
      <c r="E22" s="156">
        <f>'SCI - Bilan'!E47-'SCI - Bilan'!D47</f>
        <v>0</v>
      </c>
      <c r="F22" s="156">
        <f>'SCI - Bilan'!F47-'SCI - Bilan'!E47</f>
        <v>0</v>
      </c>
      <c r="G22" s="156"/>
      <c r="H22" s="156">
        <f>'SCI - Bilan'!H47-'SCI - Bilan'!F47</f>
        <v>0</v>
      </c>
      <c r="I22" s="156">
        <f>'SCI - Bilan'!I47-'SCI - Bilan'!H47</f>
        <v>0</v>
      </c>
      <c r="J22" s="156">
        <f>'SCI - Bilan'!J47-'SCI - Bilan'!I47</f>
        <v>0</v>
      </c>
      <c r="K22" s="156">
        <f>'SCI - Bilan'!K47-'SCI - Bilan'!J47</f>
        <v>0</v>
      </c>
      <c r="L22" s="156">
        <f>'SCI - Bilan'!L47-'SCI - Bilan'!K47</f>
        <v>0</v>
      </c>
      <c r="M22" s="200"/>
    </row>
    <row r="23" spans="2:13" s="145" customFormat="1" ht="15" hidden="1" outlineLevel="1">
      <c r="B23" s="155" t="s">
        <v>239</v>
      </c>
      <c r="C23" s="156"/>
      <c r="D23" s="156"/>
      <c r="E23" s="156">
        <f>'SCI - Bilan'!E48-'SCI - Bilan'!D48</f>
        <v>146</v>
      </c>
      <c r="F23" s="156">
        <f>'SCI - Bilan'!F48-'SCI - Bilan'!E48</f>
        <v>923</v>
      </c>
      <c r="G23" s="156"/>
      <c r="H23" s="156">
        <f>'SCI - Bilan'!H48-'SCI - Bilan'!F48</f>
        <v>0</v>
      </c>
      <c r="I23" s="156">
        <f>'SCI - Bilan'!I48-'SCI - Bilan'!H48</f>
        <v>0</v>
      </c>
      <c r="J23" s="156">
        <f>'SCI - Bilan'!J48-'SCI - Bilan'!I48</f>
        <v>0</v>
      </c>
      <c r="K23" s="156">
        <f>'SCI - Bilan'!K48-'SCI - Bilan'!J48</f>
        <v>0</v>
      </c>
      <c r="L23" s="156">
        <f>'SCI - Bilan'!L48-'SCI - Bilan'!K48</f>
        <v>0</v>
      </c>
      <c r="M23" s="200"/>
    </row>
    <row r="24" spans="2:13" s="145" customFormat="1" ht="15" hidden="1" outlineLevel="1">
      <c r="B24" s="155" t="s">
        <v>251</v>
      </c>
      <c r="C24" s="156"/>
      <c r="D24" s="156"/>
      <c r="E24" s="156">
        <f>'SCI - Bilan'!E49-'SCI - Bilan'!D49</f>
        <v>0</v>
      </c>
      <c r="F24" s="156">
        <f>'SCI - Bilan'!F49-'SCI - Bilan'!E49</f>
        <v>0</v>
      </c>
      <c r="G24" s="156"/>
      <c r="H24" s="156">
        <f>'SCI - Bilan'!H49-'SCI - Bilan'!F49</f>
        <v>0</v>
      </c>
      <c r="I24" s="156">
        <f>'SCI - Bilan'!I49-'SCI - Bilan'!H49</f>
        <v>0</v>
      </c>
      <c r="J24" s="156">
        <f>'SCI - Bilan'!J49-'SCI - Bilan'!I49</f>
        <v>0</v>
      </c>
      <c r="K24" s="156">
        <f>'SCI - Bilan'!K49-'SCI - Bilan'!J49</f>
        <v>0</v>
      </c>
      <c r="L24" s="156">
        <f>'SCI - Bilan'!L49-'SCI - Bilan'!K49</f>
        <v>0</v>
      </c>
      <c r="M24" s="200"/>
    </row>
    <row r="25" spans="2:13" s="145" customFormat="1" ht="15" hidden="1" outlineLevel="1">
      <c r="B25" s="155" t="s">
        <v>240</v>
      </c>
      <c r="C25" s="200"/>
      <c r="D25" s="156"/>
      <c r="E25" s="156">
        <f>'SCI - Bilan'!E50-'SCI - Bilan'!D50</f>
        <v>0</v>
      </c>
      <c r="F25" s="156">
        <f>'SCI - Bilan'!F50-'SCI - Bilan'!E50</f>
        <v>0</v>
      </c>
      <c r="G25" s="156"/>
      <c r="H25" s="156">
        <f>'SCI - Bilan'!H50-'SCI - Bilan'!F50</f>
        <v>0</v>
      </c>
      <c r="I25" s="156">
        <f>'SCI - Bilan'!I50-'SCI - Bilan'!H50</f>
        <v>0</v>
      </c>
      <c r="J25" s="156">
        <f>'SCI - Bilan'!J50-'SCI - Bilan'!I50</f>
        <v>0</v>
      </c>
      <c r="K25" s="156">
        <f>'SCI - Bilan'!K50-'SCI - Bilan'!J50</f>
        <v>0</v>
      </c>
      <c r="L25" s="156">
        <f>'SCI - Bilan'!L50-'SCI - Bilan'!K50</f>
        <v>0</v>
      </c>
      <c r="M25" s="200"/>
    </row>
    <row r="26" spans="2:13" s="145" customFormat="1" ht="15" hidden="1" outlineLevel="1">
      <c r="B26" s="157" t="s">
        <v>241</v>
      </c>
      <c r="C26" s="156"/>
      <c r="D26" s="156"/>
      <c r="E26" s="156">
        <f>'SCI - Bilan'!E51-'SCI - Bilan'!D51</f>
        <v>0</v>
      </c>
      <c r="F26" s="156">
        <f>'SCI - Bilan'!F51-'SCI - Bilan'!E51</f>
        <v>0</v>
      </c>
      <c r="G26" s="156"/>
      <c r="H26" s="156">
        <f>'SCI - Bilan'!H51-'SCI - Bilan'!F51</f>
        <v>0</v>
      </c>
      <c r="I26" s="156">
        <f>'SCI - Bilan'!I51-'SCI - Bilan'!H51</f>
        <v>0</v>
      </c>
      <c r="J26" s="156">
        <f>'SCI - Bilan'!J51-'SCI - Bilan'!I51</f>
        <v>0</v>
      </c>
      <c r="K26" s="156">
        <f>'SCI - Bilan'!K51-'SCI - Bilan'!J51</f>
        <v>0</v>
      </c>
      <c r="L26" s="156">
        <f>'SCI - Bilan'!L51-'SCI - Bilan'!K51</f>
        <v>0</v>
      </c>
      <c r="M26" s="200"/>
    </row>
    <row r="27" spans="2:13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F28" si="2">SUM(D12:D15)</f>
        <v>0</v>
      </c>
      <c r="E28" s="160">
        <f t="shared" si="2"/>
        <v>13535</v>
      </c>
      <c r="F28" s="160">
        <f t="shared" si="2"/>
        <v>18097</v>
      </c>
      <c r="G28" s="160"/>
      <c r="H28" s="160">
        <f t="shared" ref="H28:L28" si="3">SUM(H12:H15)</f>
        <v>20742</v>
      </c>
      <c r="I28" s="160">
        <f t="shared" si="3"/>
        <v>20742</v>
      </c>
      <c r="J28" s="160">
        <f t="shared" si="3"/>
        <v>20742</v>
      </c>
      <c r="K28" s="160">
        <f t="shared" si="3"/>
        <v>20742</v>
      </c>
      <c r="L28" s="160">
        <f t="shared" si="3"/>
        <v>20742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/>
      <c r="E32" s="158">
        <f>-('SCI - Bilan'!E10-'SCI - Bilan'!D10-'SCI - P&amp;L'!E63)</f>
        <v>-36031</v>
      </c>
      <c r="F32" s="158">
        <f>-('SCI - Bilan'!F10-'SCI - Bilan'!E10-'SCI - P&amp;L'!F63)</f>
        <v>1</v>
      </c>
      <c r="G32" s="158"/>
      <c r="H32" s="158"/>
      <c r="I32" s="158"/>
      <c r="J32" s="158"/>
      <c r="K32" s="158"/>
      <c r="L32" s="158"/>
      <c r="M32" s="201"/>
    </row>
    <row r="33" spans="2:17">
      <c r="B33" s="151" t="s">
        <v>197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0</v>
      </c>
      <c r="E35" s="160">
        <f>SUM(E31:E34)</f>
        <v>-36031</v>
      </c>
      <c r="F35" s="160">
        <f>SUM(F31:F34)</f>
        <v>1</v>
      </c>
      <c r="G35" s="160"/>
      <c r="H35" s="160">
        <f t="shared" ref="H35:L35" si="4">SUM(H31:H33)</f>
        <v>0</v>
      </c>
      <c r="I35" s="160">
        <f t="shared" si="4"/>
        <v>0</v>
      </c>
      <c r="J35" s="160">
        <f t="shared" si="4"/>
        <v>0</v>
      </c>
      <c r="K35" s="160">
        <f t="shared" si="4"/>
        <v>0</v>
      </c>
      <c r="L35" s="160">
        <f t="shared" si="4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/>
      <c r="E38" s="205"/>
      <c r="F38" s="205"/>
      <c r="G38" s="134"/>
      <c r="H38" s="205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>
      <c r="B39" s="161" t="s">
        <v>28</v>
      </c>
      <c r="C39" s="205"/>
      <c r="D39" s="205">
        <f>SUM(D40:D43)</f>
        <v>0</v>
      </c>
      <c r="E39" s="205">
        <f>SUM(E40:E43)</f>
        <v>-1147</v>
      </c>
      <c r="F39" s="205">
        <f>SUM(F40:F43)</f>
        <v>-4100</v>
      </c>
      <c r="G39" s="134"/>
      <c r="H39" s="205">
        <f t="shared" ref="H39:L39" si="5">SUM(H40:H43)</f>
        <v>-4100</v>
      </c>
      <c r="I39" s="205">
        <f t="shared" si="5"/>
        <v>-4100</v>
      </c>
      <c r="J39" s="205">
        <f t="shared" si="5"/>
        <v>-4100</v>
      </c>
      <c r="K39" s="205">
        <f t="shared" si="5"/>
        <v>-4100</v>
      </c>
      <c r="L39" s="205">
        <f t="shared" si="5"/>
        <v>-4100</v>
      </c>
      <c r="M39" s="205"/>
      <c r="N39" s="134"/>
      <c r="O39" s="134"/>
      <c r="P39" s="134"/>
      <c r="Q39" s="134"/>
    </row>
    <row r="40" spans="2:17" s="137" customFormat="1" ht="12.75" hidden="1" outlineLevel="1">
      <c r="B40" s="164" t="str">
        <f>'SCI - P&amp;L'!B73</f>
        <v>Intérêt emprunt n°8947 CA</v>
      </c>
      <c r="C40" s="206"/>
      <c r="D40" s="206"/>
      <c r="E40" s="206">
        <f>'SCI - P&amp;L'!E73</f>
        <v>-16</v>
      </c>
      <c r="F40" s="206">
        <f>'SCI - P&amp;L'!F73</f>
        <v>0</v>
      </c>
      <c r="G40" s="133"/>
      <c r="H40" s="206">
        <f>'SCI - P&amp;L'!H73</f>
        <v>0</v>
      </c>
      <c r="I40" s="206">
        <f>'SCI - P&amp;L'!I73</f>
        <v>0</v>
      </c>
      <c r="J40" s="206">
        <f>'SCI - P&amp;L'!J73</f>
        <v>0</v>
      </c>
      <c r="K40" s="206">
        <f>'SCI - P&amp;L'!K73</f>
        <v>0</v>
      </c>
      <c r="L40" s="206">
        <f>'SCI - P&amp;L'!L73</f>
        <v>0</v>
      </c>
      <c r="M40" s="206"/>
      <c r="N40" s="138"/>
      <c r="O40" s="138"/>
      <c r="P40" s="138"/>
      <c r="Q40" s="138"/>
    </row>
    <row r="41" spans="2:17" s="137" customFormat="1" ht="12.75" hidden="1" outlineLevel="1">
      <c r="B41" s="164" t="str">
        <f>'SCI - P&amp;L'!B74</f>
        <v>Intérêt emprunt n°1531 CA</v>
      </c>
      <c r="C41" s="206"/>
      <c r="D41" s="206"/>
      <c r="E41" s="206">
        <f>'SCI - P&amp;L'!E74</f>
        <v>-569</v>
      </c>
      <c r="F41" s="206">
        <f>'SCI - P&amp;L'!F74</f>
        <v>-513</v>
      </c>
      <c r="G41" s="133"/>
      <c r="H41" s="206">
        <f>'SCI - P&amp;L'!H74</f>
        <v>-513</v>
      </c>
      <c r="I41" s="206">
        <f>'SCI - P&amp;L'!I74</f>
        <v>-513</v>
      </c>
      <c r="J41" s="206">
        <f>'SCI - P&amp;L'!J74</f>
        <v>-513</v>
      </c>
      <c r="K41" s="206">
        <f>'SCI - P&amp;L'!K74</f>
        <v>-513</v>
      </c>
      <c r="L41" s="206">
        <f>'SCI - P&amp;L'!L74</f>
        <v>-513</v>
      </c>
      <c r="M41" s="206"/>
      <c r="N41" s="138"/>
      <c r="O41" s="138"/>
      <c r="P41" s="138"/>
      <c r="Q41" s="138"/>
    </row>
    <row r="42" spans="2:17" s="137" customFormat="1" ht="12.75" hidden="1" outlineLevel="1">
      <c r="B42" s="164" t="str">
        <f>'SCI - P&amp;L'!B75</f>
        <v>Intérêt C/C SC de SUCS</v>
      </c>
      <c r="C42" s="206"/>
      <c r="D42" s="206"/>
      <c r="E42" s="206">
        <f>'SCI - P&amp;L'!E75</f>
        <v>-562</v>
      </c>
      <c r="F42" s="206">
        <f>'SCI - P&amp;L'!F75</f>
        <v>-3587</v>
      </c>
      <c r="G42" s="133"/>
      <c r="H42" s="206">
        <f>'SCI - P&amp;L'!H75</f>
        <v>-3587</v>
      </c>
      <c r="I42" s="206">
        <f>'SCI - P&amp;L'!I75</f>
        <v>-3587</v>
      </c>
      <c r="J42" s="206">
        <f>'SCI - P&amp;L'!J75</f>
        <v>-3587</v>
      </c>
      <c r="K42" s="206">
        <f>'SCI - P&amp;L'!K75</f>
        <v>-3587</v>
      </c>
      <c r="L42" s="206">
        <f>'SCI - P&amp;L'!L75</f>
        <v>-3587</v>
      </c>
      <c r="M42" s="206"/>
      <c r="N42" s="138"/>
      <c r="O42" s="138"/>
      <c r="P42" s="138"/>
      <c r="Q42" s="138"/>
    </row>
    <row r="43" spans="2:17" s="137" customFormat="1" ht="12.75" hidden="1" outlineLevel="1">
      <c r="B43" s="164"/>
      <c r="C43" s="206"/>
      <c r="D43" s="206"/>
      <c r="E43" s="206"/>
      <c r="F43" s="206"/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collapsed="1">
      <c r="B44" s="161" t="s">
        <v>213</v>
      </c>
      <c r="C44" s="152"/>
      <c r="D44" s="152">
        <f>SUM(D45:D47)</f>
        <v>0</v>
      </c>
      <c r="E44" s="152">
        <f>SUM(E45:E47)</f>
        <v>-9829</v>
      </c>
      <c r="F44" s="152">
        <f>SUM(F45:F47)</f>
        <v>-5165</v>
      </c>
      <c r="G44" s="152"/>
      <c r="H44" s="152">
        <f t="shared" ref="H44:L44" si="6">SUM(H45:H47)</f>
        <v>-5714</v>
      </c>
      <c r="I44" s="152">
        <f t="shared" si="6"/>
        <v>-5000</v>
      </c>
      <c r="J44" s="152">
        <f t="shared" si="6"/>
        <v>-5000</v>
      </c>
      <c r="K44" s="152">
        <f t="shared" si="6"/>
        <v>-5000</v>
      </c>
      <c r="L44" s="152">
        <f t="shared" si="6"/>
        <v>-5000</v>
      </c>
      <c r="M44" s="205"/>
      <c r="N44" s="134"/>
      <c r="O44" s="134"/>
      <c r="P44" s="134"/>
      <c r="Q44" s="134"/>
    </row>
    <row r="45" spans="2:17" s="137" customFormat="1" ht="12.75" hidden="1" outlineLevel="1">
      <c r="B45" s="165" t="str">
        <f>'SCI - Bilan'!B39</f>
        <v>Emprunt CA n°00001398947</v>
      </c>
      <c r="C45" s="206"/>
      <c r="D45" s="206"/>
      <c r="E45" s="206">
        <f>'SCI - Bilan'!E39-'SCI - Bilan'!D39</f>
        <v>-4718</v>
      </c>
      <c r="F45" s="206">
        <f>'SCI - Bilan'!F39-'SCI - Bilan'!E39</f>
        <v>0</v>
      </c>
      <c r="G45" s="133"/>
      <c r="H45" s="206">
        <f>'SCI - Bilan'!H39-'SCI - Bilan'!F39</f>
        <v>0</v>
      </c>
      <c r="I45" s="206">
        <f>'SCI - Bilan'!I39-'SCI - Bilan'!H39</f>
        <v>0</v>
      </c>
      <c r="J45" s="206">
        <f>'SCI - Bilan'!J39-'SCI - Bilan'!I39</f>
        <v>0</v>
      </c>
      <c r="K45" s="206">
        <f>'SCI - Bilan'!K39-'SCI - Bilan'!J39</f>
        <v>0</v>
      </c>
      <c r="L45" s="206">
        <f>'SCI - Bilan'!L39-'SCI - Bilan'!K39</f>
        <v>0</v>
      </c>
      <c r="M45" s="206"/>
      <c r="N45" s="138"/>
      <c r="O45" s="138"/>
      <c r="P45" s="138"/>
      <c r="Q45" s="138"/>
    </row>
    <row r="46" spans="2:17" s="137" customFormat="1" ht="12.75" hidden="1" outlineLevel="1">
      <c r="B46" s="165" t="str">
        <f>'SCI - Bilan'!B40</f>
        <v>Emprunt CA n°00002001531</v>
      </c>
      <c r="C46" s="206"/>
      <c r="D46" s="206"/>
      <c r="E46" s="206">
        <f>'SCI - Bilan'!E40-'SCI - Bilan'!D40</f>
        <v>-5111</v>
      </c>
      <c r="F46" s="206">
        <f>'SCI - Bilan'!F40-'SCI - Bilan'!E40</f>
        <v>-5165</v>
      </c>
      <c r="G46" s="133"/>
      <c r="H46" s="206">
        <f>'SCI - Bilan'!H40-'SCI - Bilan'!F40</f>
        <v>-5714</v>
      </c>
      <c r="I46" s="206">
        <f>'SCI - Bilan'!I40-'SCI - Bilan'!H40</f>
        <v>-5000</v>
      </c>
      <c r="J46" s="206">
        <f>'SCI - Bilan'!J40-'SCI - Bilan'!I40</f>
        <v>-5000</v>
      </c>
      <c r="K46" s="206">
        <f>'SCI - Bilan'!K40-'SCI - Bilan'!J40</f>
        <v>-5000</v>
      </c>
      <c r="L46" s="206">
        <f>'SCI - Bilan'!L40-'SCI - Bilan'!K40</f>
        <v>-5000</v>
      </c>
      <c r="M46" s="206"/>
      <c r="N46" s="138"/>
      <c r="O46" s="138"/>
      <c r="P46" s="138"/>
      <c r="Q46" s="138"/>
    </row>
    <row r="47" spans="2:17" s="137" customFormat="1" ht="12.75" hidden="1" outlineLevel="1">
      <c r="B47" s="165"/>
      <c r="C47" s="206"/>
      <c r="D47" s="206"/>
      <c r="E47" s="206"/>
      <c r="F47" s="206"/>
      <c r="G47" s="133"/>
      <c r="H47" s="206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collapsed="1">
      <c r="B48" s="161" t="s">
        <v>214</v>
      </c>
      <c r="C48" s="152"/>
      <c r="D48" s="152">
        <f>SUM(D49:D50)</f>
        <v>0</v>
      </c>
      <c r="E48" s="152">
        <f>SUM(E49:E50)</f>
        <v>40563</v>
      </c>
      <c r="F48" s="152">
        <f>SUM(F49:F50)</f>
        <v>3584</v>
      </c>
      <c r="G48" s="152"/>
      <c r="H48" s="152">
        <f t="shared" ref="H48:L48" si="7">SUM(H49:H50)</f>
        <v>0</v>
      </c>
      <c r="I48" s="152">
        <f t="shared" si="7"/>
        <v>0</v>
      </c>
      <c r="J48" s="152">
        <f t="shared" si="7"/>
        <v>0</v>
      </c>
      <c r="K48" s="152">
        <f t="shared" si="7"/>
        <v>0</v>
      </c>
      <c r="L48" s="152">
        <f t="shared" si="7"/>
        <v>0</v>
      </c>
      <c r="M48" s="205"/>
      <c r="N48" s="134"/>
      <c r="O48" s="134"/>
      <c r="P48" s="134"/>
      <c r="Q48" s="134"/>
    </row>
    <row r="49" spans="2:17" s="137" customFormat="1" ht="12.75" hidden="1" outlineLevel="1">
      <c r="B49" s="165" t="str">
        <f>'SCI - Bilan'!B43</f>
        <v>C/C sc des Sucs</v>
      </c>
      <c r="C49" s="206"/>
      <c r="D49" s="206"/>
      <c r="E49" s="206">
        <f>'SCI - Bilan'!E43-'SCI - Bilan'!D43</f>
        <v>40563</v>
      </c>
      <c r="F49" s="206">
        <f>'SCI - Bilan'!F43-'SCI - Bilan'!E43</f>
        <v>3584</v>
      </c>
      <c r="G49" s="133"/>
      <c r="H49" s="206">
        <f>'SCI - Bilan'!H43-'SCI - Bilan'!F43</f>
        <v>0</v>
      </c>
      <c r="I49" s="206">
        <f>'SCI - Bilan'!I43-'SCI - Bilan'!H43</f>
        <v>0</v>
      </c>
      <c r="J49" s="206">
        <f>'SCI - Bilan'!J43-'SCI - Bilan'!I43</f>
        <v>0</v>
      </c>
      <c r="K49" s="206">
        <f>'SCI - Bilan'!K43-'SCI - Bilan'!J43</f>
        <v>0</v>
      </c>
      <c r="L49" s="206">
        <f>'SCI - Bilan'!L43-'SCI - Bilan'!K43</f>
        <v>0</v>
      </c>
      <c r="M49" s="206"/>
      <c r="N49" s="138"/>
      <c r="O49" s="138"/>
      <c r="P49" s="138"/>
      <c r="Q49" s="138"/>
    </row>
    <row r="50" spans="2:17" s="137" customFormat="1" ht="12.75" hidden="1" outlineLevel="1">
      <c r="B50" s="165"/>
      <c r="C50" s="206"/>
      <c r="D50" s="206"/>
      <c r="E50" s="206"/>
      <c r="F50" s="206"/>
      <c r="G50" s="133"/>
      <c r="H50" s="206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 collapsed="1">
      <c r="B51" s="161" t="s">
        <v>162</v>
      </c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205"/>
      <c r="N51" s="134"/>
      <c r="O51" s="134"/>
      <c r="P51" s="134"/>
      <c r="Q51" s="134"/>
    </row>
    <row r="52" spans="2:17" s="137" customFormat="1" ht="12.75" hidden="1" outlineLevel="1">
      <c r="B52" s="162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207"/>
      <c r="N52" s="138"/>
      <c r="O52" s="138"/>
      <c r="P52" s="138"/>
      <c r="Q52" s="138"/>
    </row>
    <row r="53" spans="2:17" s="137" customFormat="1" collapsed="1">
      <c r="B53" s="161" t="s">
        <v>263</v>
      </c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207"/>
      <c r="N53" s="138"/>
      <c r="O53" s="138"/>
      <c r="P53" s="138"/>
      <c r="Q53" s="138"/>
    </row>
    <row r="54" spans="2:17" s="137" customFormat="1" ht="12.75" hidden="1" outlineLevel="1">
      <c r="B54" s="162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207"/>
      <c r="N54" s="138"/>
      <c r="O54" s="138"/>
      <c r="P54" s="138"/>
      <c r="Q54" s="138"/>
    </row>
    <row r="55" spans="2:17" collapsed="1">
      <c r="B55" s="161" t="s">
        <v>252</v>
      </c>
      <c r="C55" s="205"/>
      <c r="D55" s="205">
        <v>0</v>
      </c>
      <c r="E55" s="205">
        <v>0</v>
      </c>
      <c r="F55" s="205">
        <v>0</v>
      </c>
      <c r="G55" s="134"/>
      <c r="H55" s="205"/>
      <c r="I55" s="134"/>
      <c r="J55" s="134"/>
      <c r="K55" s="134"/>
      <c r="L55" s="134"/>
      <c r="M55" s="205"/>
      <c r="N55" s="134"/>
      <c r="O55" s="134"/>
      <c r="P55" s="134"/>
      <c r="Q55" s="134"/>
    </row>
    <row r="56" spans="2:17" s="137" customFormat="1" ht="12.75" hidden="1" outlineLevel="1">
      <c r="B56" s="166" t="s">
        <v>101</v>
      </c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207"/>
      <c r="N56" s="138"/>
      <c r="O56" s="138"/>
      <c r="P56" s="138"/>
      <c r="Q56" s="138"/>
    </row>
    <row r="57" spans="2:17" s="137" customFormat="1" ht="12.75" hidden="1" outlineLevel="1">
      <c r="B57" s="166" t="s">
        <v>253</v>
      </c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207"/>
      <c r="N57" s="138"/>
      <c r="O57" s="138"/>
      <c r="P57" s="138"/>
      <c r="Q57" s="138"/>
    </row>
    <row r="58" spans="2:17" s="137" customFormat="1" ht="12.75" collapsed="1">
      <c r="B58" s="162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207"/>
      <c r="N58" s="138"/>
      <c r="O58" s="138"/>
      <c r="P58" s="138"/>
      <c r="Q58" s="138"/>
    </row>
    <row r="59" spans="2:17">
      <c r="B59" s="159" t="s">
        <v>246</v>
      </c>
      <c r="C59" s="208"/>
      <c r="D59" s="208">
        <f>D38+D39+D44+D48+D51+D53+D55</f>
        <v>0</v>
      </c>
      <c r="E59" s="208">
        <f>E38+E39+E44+E48+E51+E53+E55</f>
        <v>29587</v>
      </c>
      <c r="F59" s="208">
        <f>F38+F39+F44+F48+F51+F53+F55</f>
        <v>-5681</v>
      </c>
      <c r="G59" s="221"/>
      <c r="H59" s="208">
        <f>H38+H39+H44+H48+H51+H53+H55</f>
        <v>-9814</v>
      </c>
      <c r="I59" s="208">
        <f>I38+I39+I44+I48+I51+I53+I55</f>
        <v>-9100</v>
      </c>
      <c r="J59" s="208">
        <f>J38+J39+J44+J48+J51+J53+J55</f>
        <v>-9100</v>
      </c>
      <c r="K59" s="208">
        <f>K38+K39+K44+K48+K51+K53+K55</f>
        <v>-9100</v>
      </c>
      <c r="L59" s="208">
        <f>L38+L39+L44+L48+L51+L53+L55</f>
        <v>-9100</v>
      </c>
      <c r="M59" s="208"/>
    </row>
    <row r="60" spans="2:17">
      <c r="B60" s="163"/>
      <c r="C60" s="163"/>
      <c r="D60" s="163"/>
      <c r="E60" s="163"/>
      <c r="F60" s="163"/>
      <c r="G60" s="151"/>
      <c r="H60" s="163"/>
      <c r="I60" s="163"/>
      <c r="J60" s="163"/>
      <c r="K60" s="163"/>
      <c r="L60" s="163"/>
      <c r="M60" s="203"/>
    </row>
    <row r="61" spans="2:17">
      <c r="B61" s="162" t="s">
        <v>247</v>
      </c>
      <c r="C61" s="138"/>
      <c r="D61" s="138"/>
      <c r="E61" s="138">
        <v>-1</v>
      </c>
      <c r="F61" s="138">
        <v>1</v>
      </c>
      <c r="G61" s="138"/>
      <c r="H61" s="138">
        <v>3</v>
      </c>
      <c r="I61" s="138">
        <v>2</v>
      </c>
      <c r="J61" s="138">
        <v>2</v>
      </c>
      <c r="K61" s="138">
        <v>2</v>
      </c>
      <c r="L61" s="138">
        <v>2</v>
      </c>
      <c r="M61" s="207"/>
    </row>
    <row r="62" spans="2:17">
      <c r="B62" s="159" t="s">
        <v>248</v>
      </c>
      <c r="C62" s="160"/>
      <c r="D62" s="160">
        <f>D59+D61+D35+D28</f>
        <v>0</v>
      </c>
      <c r="E62" s="160">
        <f>E59+E61+E35+E28</f>
        <v>7090</v>
      </c>
      <c r="F62" s="160">
        <f>F59+F61+F35+F28</f>
        <v>12418</v>
      </c>
      <c r="G62" s="160"/>
      <c r="H62" s="160">
        <f>H59+H61+H35+H28</f>
        <v>10931</v>
      </c>
      <c r="I62" s="160">
        <f>I59+I61+I35+I28</f>
        <v>11644</v>
      </c>
      <c r="J62" s="160">
        <f>J59+J61+J35+J28</f>
        <v>11644</v>
      </c>
      <c r="K62" s="160">
        <f>K59+K61+K35+K28</f>
        <v>11644</v>
      </c>
      <c r="L62" s="160">
        <f>L59+L61+L35+L28</f>
        <v>11644</v>
      </c>
      <c r="M62" s="202"/>
    </row>
    <row r="63" spans="2:17"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203"/>
    </row>
    <row r="64" spans="2:17">
      <c r="B64" s="151" t="s">
        <v>249</v>
      </c>
      <c r="C64" s="152"/>
      <c r="D64" s="152">
        <f>C65</f>
        <v>0</v>
      </c>
      <c r="E64" s="152">
        <f>D65</f>
        <v>7908</v>
      </c>
      <c r="F64" s="152">
        <f t="shared" ref="F64:L64" si="8">E65</f>
        <v>14998</v>
      </c>
      <c r="G64" s="152"/>
      <c r="H64" s="152">
        <f>F65</f>
        <v>27416</v>
      </c>
      <c r="I64" s="152">
        <f t="shared" si="8"/>
        <v>38347</v>
      </c>
      <c r="J64" s="152">
        <f t="shared" si="8"/>
        <v>49991</v>
      </c>
      <c r="K64" s="152">
        <f t="shared" si="8"/>
        <v>61635</v>
      </c>
      <c r="L64" s="152">
        <f t="shared" si="8"/>
        <v>73279</v>
      </c>
      <c r="M64" s="191"/>
    </row>
    <row r="65" spans="2:13">
      <c r="B65" s="159" t="s">
        <v>250</v>
      </c>
      <c r="C65" s="160"/>
      <c r="D65" s="160">
        <f>'SCI - Bilan'!D18</f>
        <v>7908</v>
      </c>
      <c r="E65" s="160">
        <f t="shared" ref="E65:F65" si="9">E62+E64</f>
        <v>14998</v>
      </c>
      <c r="F65" s="160">
        <f t="shared" si="9"/>
        <v>27416</v>
      </c>
      <c r="G65" s="160"/>
      <c r="H65" s="160">
        <f>H62+H64</f>
        <v>38347</v>
      </c>
      <c r="I65" s="160">
        <f t="shared" ref="I65:L65" si="10">I62+I64</f>
        <v>49991</v>
      </c>
      <c r="J65" s="160">
        <f t="shared" si="10"/>
        <v>61635</v>
      </c>
      <c r="K65" s="160">
        <f t="shared" si="10"/>
        <v>73279</v>
      </c>
      <c r="L65" s="160">
        <f t="shared" si="10"/>
        <v>84923</v>
      </c>
      <c r="M65" s="202"/>
    </row>
    <row r="66" spans="2:13">
      <c r="B66" s="159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205"/>
    </row>
    <row r="67" spans="2:13">
      <c r="B67" s="168" t="s">
        <v>221</v>
      </c>
      <c r="C67" s="167"/>
      <c r="D67" s="167" t="str">
        <f>IF(ABS(D65-'SCI - Bilan'!D18)&lt;0.1,"Validé","Erreur")</f>
        <v>Validé</v>
      </c>
      <c r="E67" s="167" t="str">
        <f>IF(ABS(E65-'SCI - Bilan'!E18)&lt;0.1,"Validé","Erreur")</f>
        <v>Validé</v>
      </c>
      <c r="F67" s="167" t="str">
        <f>IF(ABS(F65-'SCI - Bilan'!F18)&lt;0.1,"Validé","Erreur")</f>
        <v>Validé</v>
      </c>
      <c r="G67" s="167"/>
      <c r="H67" s="167" t="str">
        <f>IF(ABS(H65-'SCI - Bilan'!H18)&lt;0.1,"Validé","Erreur")</f>
        <v>Validé</v>
      </c>
      <c r="I67" s="167" t="str">
        <f>IF(ABS(I65-'SCI - Bilan'!I18)&lt;0.1,"Validé","Erreur")</f>
        <v>Validé</v>
      </c>
      <c r="J67" s="167" t="str">
        <f>IF(ABS(J65-'SCI - Bilan'!J18)&lt;0.1,"Validé","Erreur")</f>
        <v>Validé</v>
      </c>
      <c r="K67" s="167" t="str">
        <f>IF(ABS(K65-'SCI - Bilan'!K18)&lt;0.1,"Validé","Erreur")</f>
        <v>Validé</v>
      </c>
      <c r="L67" s="167" t="str">
        <f>IF(ABS(L65-'SCI - Bilan'!L18)&lt;0.1,"Validé","Erreur")</f>
        <v>Validé</v>
      </c>
      <c r="M67" s="209"/>
    </row>
    <row r="68" spans="2:13">
      <c r="C68" s="151"/>
      <c r="D68" s="151"/>
      <c r="E68" s="151"/>
      <c r="F68" s="151"/>
      <c r="G68" s="151"/>
      <c r="H68" s="151"/>
    </row>
    <row r="69" spans="2:13">
      <c r="C69" s="134"/>
      <c r="D69" s="134"/>
      <c r="E69" s="134"/>
      <c r="F69" s="134"/>
      <c r="G69" s="134"/>
      <c r="H69" s="134"/>
      <c r="I69" s="134"/>
      <c r="J69" s="134"/>
    </row>
    <row r="70" spans="2:13">
      <c r="C70" s="136"/>
      <c r="D70" s="136"/>
      <c r="E70" s="136"/>
      <c r="F70" s="136"/>
      <c r="G70" s="136"/>
      <c r="H70" s="136"/>
    </row>
    <row r="71" spans="2:13">
      <c r="C71" s="134"/>
      <c r="D71" s="134"/>
      <c r="E71" s="134"/>
      <c r="F71" s="134"/>
      <c r="G71" s="134"/>
      <c r="H71" s="134"/>
      <c r="I71" s="134"/>
      <c r="J71" s="134"/>
    </row>
  </sheetData>
  <mergeCells count="1">
    <mergeCell ref="B2:B4"/>
  </mergeCells>
  <conditionalFormatting sqref="C67:L67">
    <cfRule type="containsText" dxfId="123" priority="1" operator="containsText" text="Validé">
      <formula>NOT(ISERROR(SEARCH("Validé",C67)))</formula>
    </cfRule>
    <cfRule type="containsText" dxfId="122" priority="2" operator="containsText" text="Erreur">
      <formula>NOT(ISERROR(SEARCH("Erreur",C67)))</formula>
    </cfRule>
  </conditionalFormatting>
  <conditionalFormatting sqref="C64:M64">
    <cfRule type="containsText" dxfId="121" priority="3" operator="containsText" text="Equilibré">
      <formula>NOT(ISERROR(SEARCH("Equilibré",C64)))</formula>
    </cfRule>
    <cfRule type="containsText" dxfId="120" priority="4" operator="containsText" text="Erreur">
      <formula>NOT(ISERROR(SEARCH("Erreur",C64)))</formula>
    </cfRule>
    <cfRule type="containsText" dxfId="119" priority="5" operator="containsText" text="Validé">
      <formula>NOT(ISERROR(SEARCH("Validé",C64)))</formula>
    </cfRule>
    <cfRule type="containsText" dxfId="118" priority="6" operator="containsText" text="Erreur">
      <formula>NOT(ISERROR(SEARCH("Erreur",C64)))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A9D5E-A21B-5949-8DF9-96D626238438}">
  <sheetPr codeName="Feuil29">
    <tabColor rgb="FF006C4C"/>
  </sheetPr>
  <dimension ref="A2:AP71"/>
  <sheetViews>
    <sheetView showGridLines="0" zoomScale="85" zoomScaleNormal="85" workbookViewId="0">
      <pane xSplit="2" ySplit="4" topLeftCell="C16" activePane="bottomRight" state="frozen"/>
      <selection pane="topRight" activeCell="C1" sqref="C1"/>
      <selection pane="bottomLeft" activeCell="A3" sqref="A3"/>
      <selection pane="bottomRight" activeCell="M22" sqref="M22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44196</v>
      </c>
      <c r="D3" s="244">
        <v>44561</v>
      </c>
      <c r="E3" s="244">
        <v>44926</v>
      </c>
      <c r="F3" s="244">
        <v>45291</v>
      </c>
      <c r="G3" s="244"/>
      <c r="H3" s="213" t="str">
        <f>'SCI - P&amp;L'!H4</f>
        <v>31/12/2024</v>
      </c>
      <c r="I3" s="213" t="str">
        <f>'SCI - P&amp;L'!I4</f>
        <v>31/12/2025</v>
      </c>
      <c r="J3" s="213" t="str">
        <f>'SCI - P&amp;L'!J4</f>
        <v>31/12/2026</v>
      </c>
      <c r="K3" s="213" t="str">
        <f>'SCI - P&amp;L'!K4</f>
        <v>31/12/2027</v>
      </c>
      <c r="L3" s="213" t="str">
        <f>'SCI - P&amp;L'!L4</f>
        <v>31/12/2028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0</v>
      </c>
      <c r="D8" s="128">
        <f t="shared" si="0"/>
        <v>109279</v>
      </c>
      <c r="E8" s="128">
        <f t="shared" si="0"/>
        <v>136791</v>
      </c>
      <c r="F8" s="128">
        <f>SUM(F9:F11)</f>
        <v>128271</v>
      </c>
      <c r="G8" s="128"/>
      <c r="H8" s="128">
        <f t="shared" ref="H8:L8" si="1">SUM(H9:H11)</f>
        <v>119752</v>
      </c>
      <c r="I8" s="128">
        <f t="shared" si="1"/>
        <v>111233</v>
      </c>
      <c r="J8" s="128">
        <f t="shared" si="1"/>
        <v>102714</v>
      </c>
      <c r="K8" s="128">
        <f t="shared" si="1"/>
        <v>94195</v>
      </c>
      <c r="L8" s="128">
        <f t="shared" si="1"/>
        <v>85676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>
        <v>109279</v>
      </c>
      <c r="E10" s="132">
        <v>136791</v>
      </c>
      <c r="F10" s="132">
        <f>61031+67240</f>
        <v>128271</v>
      </c>
      <c r="G10" s="132"/>
      <c r="H10" s="132">
        <f>F10+'SCI - P&amp;L'!H62</f>
        <v>119752</v>
      </c>
      <c r="I10" s="132">
        <f>H10+'SCI - P&amp;L'!I62</f>
        <v>111233</v>
      </c>
      <c r="J10" s="132">
        <f>I10+'SCI - P&amp;L'!J62</f>
        <v>102714</v>
      </c>
      <c r="K10" s="132">
        <f>J10+'SCI - P&amp;L'!K62</f>
        <v>94195</v>
      </c>
      <c r="L10" s="132">
        <f>K10+'SCI - P&amp;L'!L62</f>
        <v>85676</v>
      </c>
      <c r="M10" s="188"/>
      <c r="N10" s="188"/>
      <c r="O10" s="188"/>
    </row>
    <row r="11" spans="2:15">
      <c r="B11" s="131" t="s">
        <v>197</v>
      </c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0</v>
      </c>
      <c r="D13" s="128">
        <f t="shared" si="2"/>
        <v>13507</v>
      </c>
      <c r="E13" s="128">
        <f t="shared" si="2"/>
        <v>23203</v>
      </c>
      <c r="F13" s="128">
        <f>SUM(F14:F16,F17:F19)</f>
        <v>39189</v>
      </c>
      <c r="G13" s="128"/>
      <c r="H13" s="128">
        <f>SUM(H14:H20)</f>
        <v>50120</v>
      </c>
      <c r="I13" s="128">
        <f>SUM(I14:I20)</f>
        <v>61764</v>
      </c>
      <c r="J13" s="128">
        <f>SUM(J14:J20)</f>
        <v>73408</v>
      </c>
      <c r="K13" s="128">
        <f>SUM(K14:K20)</f>
        <v>85052</v>
      </c>
      <c r="L13" s="128">
        <f>SUM(L14:L20)</f>
        <v>96696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>
        <f>5466+133</f>
        <v>5599</v>
      </c>
      <c r="E16" s="132">
        <f>7700+505</f>
        <v>8205</v>
      </c>
      <c r="F16" s="132">
        <v>11773</v>
      </c>
      <c r="G16" s="132"/>
      <c r="H16" s="132">
        <f>F16</f>
        <v>11773</v>
      </c>
      <c r="I16" s="132">
        <f>H16</f>
        <v>11773</v>
      </c>
      <c r="J16" s="132">
        <f>I16</f>
        <v>11773</v>
      </c>
      <c r="K16" s="132">
        <f>J16</f>
        <v>11773</v>
      </c>
      <c r="L16" s="132">
        <f>K16</f>
        <v>11773</v>
      </c>
      <c r="M16" s="136"/>
      <c r="N16" s="136"/>
      <c r="O16" s="136"/>
    </row>
    <row r="17" spans="2:15">
      <c r="B17" s="131" t="s">
        <v>202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6"/>
      <c r="N17" s="136"/>
      <c r="O17" s="136"/>
    </row>
    <row r="18" spans="2:15">
      <c r="B18" s="131" t="s">
        <v>203</v>
      </c>
      <c r="C18" s="132"/>
      <c r="D18" s="132">
        <v>7908</v>
      </c>
      <c r="E18" s="132">
        <v>14998</v>
      </c>
      <c r="F18" s="132">
        <v>27416</v>
      </c>
      <c r="G18" s="132"/>
      <c r="H18" s="132">
        <f>'SCI - CF'!H65</f>
        <v>38347</v>
      </c>
      <c r="I18" s="132">
        <f>'SCI - CF'!I65</f>
        <v>49991</v>
      </c>
      <c r="J18" s="132">
        <f>'SCI - CF'!J65</f>
        <v>61635</v>
      </c>
      <c r="K18" s="132">
        <f>'SCI - CF'!K65</f>
        <v>73279</v>
      </c>
      <c r="L18" s="132">
        <f>'SCI - CF'!L65</f>
        <v>84923</v>
      </c>
      <c r="M18" s="136"/>
      <c r="N18" s="136"/>
      <c r="O18" s="136"/>
    </row>
    <row r="19" spans="2:15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0</v>
      </c>
      <c r="D23" s="140">
        <f t="shared" ref="D23:L23" si="3">+D6+D8+D13+D21</f>
        <v>122786</v>
      </c>
      <c r="E23" s="140">
        <f t="shared" si="3"/>
        <v>159994</v>
      </c>
      <c r="F23" s="140">
        <f t="shared" si="3"/>
        <v>167460</v>
      </c>
      <c r="G23" s="271"/>
      <c r="H23" s="140">
        <f t="shared" si="3"/>
        <v>169872</v>
      </c>
      <c r="I23" s="140">
        <f>+I6+I8+I13+I21</f>
        <v>172997</v>
      </c>
      <c r="J23" s="140">
        <f t="shared" si="3"/>
        <v>176122</v>
      </c>
      <c r="K23" s="140">
        <f t="shared" si="3"/>
        <v>179247</v>
      </c>
      <c r="L23" s="140">
        <f t="shared" si="3"/>
        <v>182372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4">SUM(C26:C31)</f>
        <v>0</v>
      </c>
      <c r="D25" s="128">
        <f t="shared" si="4"/>
        <v>37418</v>
      </c>
      <c r="E25" s="128">
        <f t="shared" si="4"/>
        <v>43746</v>
      </c>
      <c r="F25" s="128">
        <f t="shared" ref="F25:L25" si="5">SUM(F26:F31)</f>
        <v>51871</v>
      </c>
      <c r="G25" s="128"/>
      <c r="H25" s="128">
        <f t="shared" si="5"/>
        <v>59996</v>
      </c>
      <c r="I25" s="128">
        <f t="shared" si="5"/>
        <v>68121</v>
      </c>
      <c r="J25" s="128">
        <f t="shared" si="5"/>
        <v>76246</v>
      </c>
      <c r="K25" s="128">
        <f t="shared" si="5"/>
        <v>84371</v>
      </c>
      <c r="L25" s="128">
        <f t="shared" si="5"/>
        <v>92496</v>
      </c>
    </row>
    <row r="26" spans="2:15">
      <c r="B26" s="131" t="s">
        <v>206</v>
      </c>
      <c r="C26" s="132"/>
      <c r="D26" s="132">
        <v>1400</v>
      </c>
      <c r="E26" s="132">
        <v>1400</v>
      </c>
      <c r="F26" s="132">
        <v>1400</v>
      </c>
      <c r="G26" s="132"/>
      <c r="H26" s="132">
        <f>F26</f>
        <v>1400</v>
      </c>
      <c r="I26" s="132">
        <f>H26</f>
        <v>1400</v>
      </c>
      <c r="J26" s="132">
        <f t="shared" ref="J26:L26" si="6">I26</f>
        <v>1400</v>
      </c>
      <c r="K26" s="132">
        <f t="shared" si="6"/>
        <v>1400</v>
      </c>
      <c r="L26" s="132">
        <f t="shared" si="6"/>
        <v>1400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/>
      <c r="D28" s="132">
        <v>30139</v>
      </c>
      <c r="E28" s="132">
        <f>D28+D29</f>
        <v>36018</v>
      </c>
      <c r="F28" s="132">
        <f>E28+E29</f>
        <v>42346</v>
      </c>
      <c r="G28" s="132"/>
      <c r="H28" s="132">
        <f>F28+F29</f>
        <v>50471</v>
      </c>
      <c r="I28" s="132">
        <f>H28+H29</f>
        <v>58596</v>
      </c>
      <c r="J28" s="132">
        <f t="shared" ref="J28:L28" si="7">I28+I29</f>
        <v>66721</v>
      </c>
      <c r="K28" s="132">
        <f t="shared" si="7"/>
        <v>74846</v>
      </c>
      <c r="L28" s="132">
        <f t="shared" si="7"/>
        <v>82971</v>
      </c>
      <c r="N28" s="134"/>
      <c r="O28" s="134"/>
    </row>
    <row r="29" spans="2:15">
      <c r="B29" s="131" t="s">
        <v>32</v>
      </c>
      <c r="C29" s="132"/>
      <c r="D29" s="132">
        <f>'SCI - P&amp;L'!D88</f>
        <v>5879</v>
      </c>
      <c r="E29" s="132">
        <f>'SCI - P&amp;L'!E88</f>
        <v>6328</v>
      </c>
      <c r="F29" s="132">
        <f>'SCI - P&amp;L'!F88</f>
        <v>8125</v>
      </c>
      <c r="G29" s="132"/>
      <c r="H29" s="132">
        <f>'SCI - P&amp;L'!H88</f>
        <v>8125</v>
      </c>
      <c r="I29" s="132">
        <f>'SCI - P&amp;L'!I88</f>
        <v>8125</v>
      </c>
      <c r="J29" s="132">
        <f>'SCI - P&amp;L'!J88</f>
        <v>8125</v>
      </c>
      <c r="K29" s="132">
        <f>'SCI - P&amp;L'!K88</f>
        <v>8125</v>
      </c>
      <c r="L29" s="132">
        <f>'SCI - P&amp;L'!L88</f>
        <v>8125</v>
      </c>
      <c r="N29" s="134"/>
    </row>
    <row r="30" spans="2:15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  <c r="L30" s="132"/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8">SUM(C34:C36)</f>
        <v>0</v>
      </c>
      <c r="D33" s="128">
        <f t="shared" si="8"/>
        <v>0</v>
      </c>
      <c r="E33" s="128">
        <f t="shared" si="8"/>
        <v>0</v>
      </c>
      <c r="F33" s="128">
        <f t="shared" si="8"/>
        <v>0</v>
      </c>
      <c r="G33" s="128"/>
      <c r="H33" s="128">
        <f t="shared" si="8"/>
        <v>0</v>
      </c>
      <c r="I33" s="128">
        <f t="shared" si="8"/>
        <v>0</v>
      </c>
      <c r="J33" s="128">
        <f t="shared" si="8"/>
        <v>0</v>
      </c>
      <c r="K33" s="128">
        <f t="shared" si="8"/>
        <v>0</v>
      </c>
      <c r="L33" s="128">
        <f t="shared" si="8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L37" si="9">+C38+C42</f>
        <v>0</v>
      </c>
      <c r="D37" s="185">
        <f t="shared" si="9"/>
        <v>83499</v>
      </c>
      <c r="E37" s="185">
        <f t="shared" si="9"/>
        <v>114233</v>
      </c>
      <c r="F37" s="185">
        <f t="shared" si="9"/>
        <v>112652</v>
      </c>
      <c r="G37" s="185"/>
      <c r="H37" s="185">
        <f t="shared" si="9"/>
        <v>106938</v>
      </c>
      <c r="I37" s="185">
        <f t="shared" si="9"/>
        <v>101938</v>
      </c>
      <c r="J37" s="185">
        <f t="shared" si="9"/>
        <v>96938</v>
      </c>
      <c r="K37" s="185">
        <f t="shared" si="9"/>
        <v>91938</v>
      </c>
      <c r="L37" s="185">
        <f t="shared" si="9"/>
        <v>86938</v>
      </c>
      <c r="M37" s="190"/>
      <c r="N37" s="190"/>
      <c r="O37" s="190"/>
    </row>
    <row r="38" spans="2:17">
      <c r="B38" s="131" t="s">
        <v>213</v>
      </c>
      <c r="C38" s="132">
        <f>SUM(C39:C41)</f>
        <v>0</v>
      </c>
      <c r="D38" s="132">
        <f>SUM(D39:D41)</f>
        <v>59708</v>
      </c>
      <c r="E38" s="132">
        <f>SUM(E39:E41)</f>
        <v>49879</v>
      </c>
      <c r="F38" s="132">
        <f>SUM(F39:F41)</f>
        <v>44714</v>
      </c>
      <c r="G38" s="132"/>
      <c r="H38" s="132">
        <f t="shared" ref="H38:L38" si="10">SUM(H39:H41)</f>
        <v>39000</v>
      </c>
      <c r="I38" s="132">
        <f t="shared" si="10"/>
        <v>34000</v>
      </c>
      <c r="J38" s="132">
        <f t="shared" si="10"/>
        <v>29000</v>
      </c>
      <c r="K38" s="132">
        <f t="shared" si="10"/>
        <v>24000</v>
      </c>
      <c r="L38" s="132">
        <f t="shared" si="10"/>
        <v>19000</v>
      </c>
      <c r="M38" s="189"/>
      <c r="N38" s="189"/>
      <c r="O38" s="189"/>
      <c r="Q38" s="134"/>
    </row>
    <row r="39" spans="2:17" s="192" customFormat="1" ht="12.75" hidden="1" outlineLevel="1">
      <c r="B39" s="147" t="s">
        <v>720</v>
      </c>
      <c r="C39" s="133"/>
      <c r="D39" s="133">
        <v>4718</v>
      </c>
      <c r="E39" s="133"/>
      <c r="F39" s="133"/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721</v>
      </c>
      <c r="C40" s="133"/>
      <c r="D40" s="133">
        <v>54990</v>
      </c>
      <c r="E40" s="133">
        <v>49879</v>
      </c>
      <c r="F40" s="133">
        <v>44714</v>
      </c>
      <c r="G40" s="133"/>
      <c r="H40" s="133">
        <v>39000</v>
      </c>
      <c r="I40" s="133">
        <v>34000</v>
      </c>
      <c r="J40" s="133">
        <v>29000</v>
      </c>
      <c r="K40" s="133">
        <v>24000</v>
      </c>
      <c r="L40" s="133">
        <v>19000</v>
      </c>
      <c r="M40" s="216"/>
      <c r="N40" s="216"/>
      <c r="O40" s="216"/>
      <c r="Q40" s="217"/>
    </row>
    <row r="41" spans="2:17" s="192" customFormat="1" ht="12.75" hidden="1" outlineLevel="1">
      <c r="B41" s="147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collapsed="1">
      <c r="B42" s="131" t="s">
        <v>214</v>
      </c>
      <c r="C42" s="132">
        <f t="shared" ref="C42:L42" si="11">SUM(C43:C44)</f>
        <v>0</v>
      </c>
      <c r="D42" s="132">
        <f t="shared" si="11"/>
        <v>23791</v>
      </c>
      <c r="E42" s="132">
        <f t="shared" si="11"/>
        <v>64354</v>
      </c>
      <c r="F42" s="132">
        <f t="shared" si="11"/>
        <v>67938</v>
      </c>
      <c r="G42" s="132"/>
      <c r="H42" s="132">
        <f t="shared" si="11"/>
        <v>67938</v>
      </c>
      <c r="I42" s="132">
        <f t="shared" si="11"/>
        <v>67938</v>
      </c>
      <c r="J42" s="132">
        <f t="shared" si="11"/>
        <v>67938</v>
      </c>
      <c r="K42" s="132">
        <f t="shared" si="11"/>
        <v>67938</v>
      </c>
      <c r="L42" s="132">
        <f t="shared" si="11"/>
        <v>67938</v>
      </c>
      <c r="M42" s="189"/>
      <c r="N42" s="189"/>
      <c r="O42" s="189"/>
    </row>
    <row r="43" spans="2:17" s="192" customFormat="1" ht="12.75" hidden="1" outlineLevel="1">
      <c r="B43" s="147" t="s">
        <v>722</v>
      </c>
      <c r="C43" s="133"/>
      <c r="D43" s="133">
        <v>23791</v>
      </c>
      <c r="E43" s="133">
        <v>64354</v>
      </c>
      <c r="F43" s="133">
        <v>67938</v>
      </c>
      <c r="G43" s="133"/>
      <c r="H43" s="133">
        <f>F43</f>
        <v>67938</v>
      </c>
      <c r="I43" s="133">
        <f>H43</f>
        <v>67938</v>
      </c>
      <c r="J43" s="133">
        <f t="shared" ref="J43:L43" si="12">I43</f>
        <v>67938</v>
      </c>
      <c r="K43" s="133">
        <f t="shared" si="12"/>
        <v>67938</v>
      </c>
      <c r="L43" s="133">
        <f t="shared" si="12"/>
        <v>67938</v>
      </c>
      <c r="M43" s="216"/>
      <c r="N43" s="216"/>
      <c r="O43" s="216"/>
      <c r="Q43" s="217"/>
    </row>
    <row r="44" spans="2:17" collapsed="1">
      <c r="B44" s="147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211"/>
    </row>
    <row r="45" spans="2:17">
      <c r="B45" s="130" t="s">
        <v>215</v>
      </c>
      <c r="C45" s="128">
        <f t="shared" ref="C45:L45" si="13">SUM(C46:C52)</f>
        <v>0</v>
      </c>
      <c r="D45" s="128">
        <f t="shared" si="13"/>
        <v>1869</v>
      </c>
      <c r="E45" s="128">
        <f t="shared" si="13"/>
        <v>2015</v>
      </c>
      <c r="F45" s="128">
        <f t="shared" si="13"/>
        <v>2938</v>
      </c>
      <c r="G45" s="128"/>
      <c r="H45" s="128">
        <f t="shared" si="13"/>
        <v>2938</v>
      </c>
      <c r="I45" s="128">
        <f>SUM(I46:I51)</f>
        <v>2938</v>
      </c>
      <c r="J45" s="128">
        <f t="shared" si="13"/>
        <v>2938</v>
      </c>
      <c r="K45" s="128">
        <f t="shared" si="13"/>
        <v>2938</v>
      </c>
      <c r="L45" s="128">
        <f t="shared" si="13"/>
        <v>2938</v>
      </c>
      <c r="M45" s="187"/>
      <c r="N45" s="187"/>
      <c r="O45" s="187"/>
    </row>
    <row r="46" spans="2:17">
      <c r="B46" s="131" t="s">
        <v>216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4"/>
      <c r="N46" s="134"/>
      <c r="O46" s="134"/>
    </row>
    <row r="47" spans="2:17">
      <c r="B47" s="131" t="s">
        <v>44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4"/>
      <c r="N47" s="134"/>
      <c r="O47" s="134"/>
    </row>
    <row r="48" spans="2:17">
      <c r="B48" s="131" t="s">
        <v>217</v>
      </c>
      <c r="C48" s="132"/>
      <c r="D48" s="132">
        <v>1869</v>
      </c>
      <c r="E48" s="132">
        <v>2015</v>
      </c>
      <c r="F48" s="132">
        <v>2938</v>
      </c>
      <c r="G48" s="132"/>
      <c r="H48" s="132">
        <f>F48</f>
        <v>2938</v>
      </c>
      <c r="I48" s="132">
        <f>H48</f>
        <v>2938</v>
      </c>
      <c r="J48" s="132">
        <f>I48</f>
        <v>2938</v>
      </c>
      <c r="K48" s="132">
        <f>J48</f>
        <v>2938</v>
      </c>
      <c r="L48" s="132">
        <f>K48</f>
        <v>2938</v>
      </c>
      <c r="M48" s="134"/>
      <c r="N48" s="134"/>
      <c r="O48" s="134"/>
    </row>
    <row r="49" spans="1:42">
      <c r="B49" s="131" t="s">
        <v>222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4"/>
      <c r="N49" s="134"/>
      <c r="O49" s="134"/>
    </row>
    <row r="50" spans="1:42">
      <c r="B50" s="131" t="s">
        <v>218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4"/>
      <c r="N50" s="134"/>
      <c r="O50" s="134"/>
    </row>
    <row r="51" spans="1:42">
      <c r="B51" s="131" t="s">
        <v>219</v>
      </c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4"/>
      <c r="N51" s="134"/>
      <c r="O51" s="134"/>
    </row>
    <row r="52" spans="1:42">
      <c r="B52" s="131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42">
      <c r="B53" s="130" t="s">
        <v>188</v>
      </c>
      <c r="C53" s="132"/>
      <c r="D53" s="135"/>
      <c r="E53" s="132"/>
      <c r="F53" s="132">
        <v>-1</v>
      </c>
      <c r="G53" s="132"/>
      <c r="H53" s="132"/>
      <c r="I53" s="132"/>
      <c r="J53" s="132"/>
      <c r="K53" s="132"/>
      <c r="L53" s="132"/>
    </row>
    <row r="54" spans="1:42">
      <c r="B54" s="130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42">
      <c r="B55" s="139" t="s">
        <v>220</v>
      </c>
      <c r="C55" s="140">
        <f t="shared" ref="C55:L55" si="14">+C25+C33+C37+C45+C53</f>
        <v>0</v>
      </c>
      <c r="D55" s="140">
        <f t="shared" si="14"/>
        <v>122786</v>
      </c>
      <c r="E55" s="140">
        <f t="shared" si="14"/>
        <v>159994</v>
      </c>
      <c r="F55" s="140">
        <f t="shared" si="14"/>
        <v>167460</v>
      </c>
      <c r="G55" s="271"/>
      <c r="H55" s="140">
        <f t="shared" si="14"/>
        <v>169872</v>
      </c>
      <c r="I55" s="140">
        <f t="shared" si="14"/>
        <v>172997</v>
      </c>
      <c r="J55" s="140">
        <f t="shared" si="14"/>
        <v>176122</v>
      </c>
      <c r="K55" s="140">
        <f t="shared" si="14"/>
        <v>179247</v>
      </c>
      <c r="L55" s="140">
        <f t="shared" si="14"/>
        <v>182372</v>
      </c>
    </row>
    <row r="56" spans="1:42">
      <c r="B56" s="141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42">
      <c r="B57" s="143" t="s">
        <v>221</v>
      </c>
      <c r="C57" s="144" t="str">
        <f t="shared" ref="C57:L57" si="15">IF(ABS(C55-C23)&lt;2,"Equilibré","Erreur")</f>
        <v>Equilibré</v>
      </c>
      <c r="D57" s="144" t="str">
        <f t="shared" si="15"/>
        <v>Equilibré</v>
      </c>
      <c r="E57" s="144" t="str">
        <f t="shared" si="15"/>
        <v>Equilibré</v>
      </c>
      <c r="F57" s="144" t="str">
        <f t="shared" si="15"/>
        <v>Equilibré</v>
      </c>
      <c r="G57" s="252"/>
      <c r="H57" s="144" t="str">
        <f t="shared" si="15"/>
        <v>Equilibré</v>
      </c>
      <c r="I57" s="144" t="str">
        <f t="shared" si="15"/>
        <v>Equilibré</v>
      </c>
      <c r="J57" s="144" t="str">
        <f t="shared" si="15"/>
        <v>Equilibré</v>
      </c>
      <c r="K57" s="144" t="str">
        <f t="shared" si="15"/>
        <v>Equilibré</v>
      </c>
      <c r="L57" s="144" t="str">
        <f t="shared" si="15"/>
        <v>Equilibré</v>
      </c>
    </row>
    <row r="59" spans="1:42" s="32" customFormat="1">
      <c r="A59" s="83"/>
      <c r="B59" s="13" t="s">
        <v>68</v>
      </c>
      <c r="C59" s="14"/>
      <c r="D59" s="14"/>
      <c r="E59" s="14"/>
      <c r="F59" s="14"/>
      <c r="G59" s="52"/>
      <c r="H59" s="14"/>
      <c r="I59" s="14"/>
      <c r="J59" s="14"/>
      <c r="K59" s="14"/>
      <c r="L59" s="14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</row>
    <row r="60" spans="1:42" s="32" customFormat="1">
      <c r="A60" s="83"/>
      <c r="B60" s="15" t="s">
        <v>42</v>
      </c>
      <c r="C60" s="23"/>
      <c r="D60" s="23"/>
      <c r="E60" s="23"/>
      <c r="F60" s="23"/>
      <c r="G60" s="272"/>
      <c r="H60" s="23"/>
      <c r="I60" s="23"/>
      <c r="J60" s="23"/>
      <c r="K60" s="23"/>
      <c r="L60" s="2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</row>
    <row r="61" spans="1:42" s="32" customFormat="1">
      <c r="A61" s="83"/>
      <c r="B61" s="15" t="s">
        <v>69</v>
      </c>
      <c r="C61" s="23"/>
      <c r="D61" s="23"/>
      <c r="E61" s="23"/>
      <c r="F61" s="23"/>
      <c r="G61" s="272"/>
      <c r="H61" s="23"/>
      <c r="I61" s="23"/>
      <c r="J61" s="23"/>
      <c r="K61" s="23"/>
      <c r="L61" s="2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 s="32" customFormat="1">
      <c r="A62" s="83"/>
      <c r="B62" s="15" t="s">
        <v>70</v>
      </c>
      <c r="C62" s="23"/>
      <c r="D62" s="23"/>
      <c r="E62" s="23"/>
      <c r="F62" s="23"/>
      <c r="G62" s="272"/>
      <c r="H62" s="23"/>
      <c r="I62" s="23"/>
      <c r="J62" s="23"/>
      <c r="K62" s="23"/>
      <c r="L62" s="2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>
      <c r="B63" s="24" t="s">
        <v>71</v>
      </c>
      <c r="C63" s="23"/>
      <c r="D63" s="23"/>
      <c r="E63" s="23"/>
      <c r="F63" s="23"/>
      <c r="G63" s="272"/>
      <c r="H63" s="23"/>
      <c r="I63" s="23"/>
      <c r="J63" s="23"/>
      <c r="K63" s="23"/>
      <c r="L63" s="23"/>
    </row>
    <row r="64" spans="1:42">
      <c r="B64" s="25" t="s">
        <v>50</v>
      </c>
      <c r="C64" s="26"/>
      <c r="D64" s="26"/>
      <c r="E64" s="26"/>
      <c r="F64" s="26"/>
      <c r="G64" s="280"/>
      <c r="H64" s="26"/>
      <c r="I64" s="26"/>
      <c r="J64" s="26"/>
      <c r="K64" s="26"/>
      <c r="L64" s="26"/>
    </row>
    <row r="65" spans="2:12">
      <c r="B65" s="25" t="s">
        <v>72</v>
      </c>
      <c r="C65" s="27"/>
      <c r="D65" s="27"/>
      <c r="E65" s="27"/>
      <c r="F65" s="27"/>
      <c r="G65" s="281"/>
      <c r="H65" s="27"/>
      <c r="I65" s="27"/>
      <c r="J65" s="27"/>
      <c r="K65" s="27"/>
      <c r="L65" s="27"/>
    </row>
    <row r="66" spans="2:12">
      <c r="B66" s="28" t="s">
        <v>73</v>
      </c>
      <c r="C66" s="29"/>
      <c r="D66" s="29"/>
      <c r="E66" s="29"/>
      <c r="F66" s="29"/>
      <c r="G66" s="282"/>
      <c r="H66" s="29"/>
      <c r="I66" s="29"/>
      <c r="J66" s="29"/>
      <c r="K66" s="29"/>
      <c r="L66" s="29"/>
    </row>
    <row r="67" spans="2:12">
      <c r="B67" s="17" t="s">
        <v>74</v>
      </c>
      <c r="C67" s="30"/>
      <c r="D67" s="30"/>
      <c r="E67" s="30"/>
      <c r="F67" s="30"/>
      <c r="G67" s="282"/>
      <c r="H67" s="30"/>
      <c r="I67" s="30"/>
      <c r="J67" s="30"/>
      <c r="K67" s="30"/>
      <c r="L67" s="30"/>
    </row>
    <row r="69" spans="2:12">
      <c r="I69" s="146"/>
    </row>
    <row r="70" spans="2:12">
      <c r="C70" s="146"/>
      <c r="D70" s="146"/>
      <c r="E70" s="146"/>
      <c r="F70" s="146"/>
      <c r="G70" s="146"/>
    </row>
    <row r="71" spans="2:12">
      <c r="D71" s="146"/>
      <c r="E71" s="146"/>
      <c r="F71" s="146"/>
      <c r="G71" s="146"/>
    </row>
  </sheetData>
  <mergeCells count="1">
    <mergeCell ref="B2:B4"/>
  </mergeCells>
  <conditionalFormatting sqref="C57:L57">
    <cfRule type="containsText" dxfId="117" priority="1" operator="containsText" text="Equilibré">
      <formula>NOT(ISERROR(SEARCH("Equilibré",C57)))</formula>
    </cfRule>
    <cfRule type="containsText" dxfId="116" priority="2" operator="containsText" text="Erreur">
      <formula>NOT(ISERROR(SEARCH("Erreur",C57)))</formula>
    </cfRule>
    <cfRule type="containsText" dxfId="115" priority="3" operator="containsText" text="Validé">
      <formula>NOT(ISERROR(SEARCH("Validé",C57)))</formula>
    </cfRule>
    <cfRule type="containsText" dxfId="114" priority="4" operator="containsText" text="Erreur">
      <formula>NOT(ISERROR(SEARCH("Erreur",C57)))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5A3E3-0AB6-FE42-996D-DBA485B91C12}">
  <sheetPr codeName="Feuil24">
    <tabColor theme="9" tint="0.79998168889431442"/>
  </sheetPr>
  <dimension ref="A1:AQ174"/>
  <sheetViews>
    <sheetView showGridLines="0" zoomScale="85" zoomScaleNormal="85" workbookViewId="0">
      <pane xSplit="2" ySplit="5" topLeftCell="C82" activePane="bottomRight" state="frozen"/>
      <selection pane="topRight" activeCell="C1" sqref="C1"/>
      <selection pane="bottomLeft" activeCell="A5" sqref="A5"/>
      <selection pane="bottomRight" activeCell="H120" sqref="H120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84"/>
      <c r="L2" s="247" t="s">
        <v>667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246"/>
      <c r="H3" s="181" t="s">
        <v>260</v>
      </c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44196</v>
      </c>
      <c r="D4" s="54">
        <v>44561</v>
      </c>
      <c r="E4" s="54">
        <v>44926</v>
      </c>
      <c r="F4" s="54">
        <v>45291</v>
      </c>
      <c r="G4" s="54"/>
      <c r="H4" s="250">
        <v>45657</v>
      </c>
      <c r="I4" s="250">
        <v>46022</v>
      </c>
      <c r="J4" s="250">
        <v>46387</v>
      </c>
      <c r="K4" s="250">
        <v>46752</v>
      </c>
      <c r="L4" s="250">
        <v>47118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>
      <c r="A8" s="83"/>
      <c r="B8" s="83" t="s">
        <v>166</v>
      </c>
      <c r="C8" s="88">
        <f t="shared" ref="C8:E8" si="0">SUM(C9:C14)</f>
        <v>0</v>
      </c>
      <c r="D8" s="88">
        <f t="shared" si="0"/>
        <v>0</v>
      </c>
      <c r="E8" s="88">
        <f t="shared" si="0"/>
        <v>0</v>
      </c>
      <c r="F8" s="88">
        <f>SUM(F9:F14)</f>
        <v>90000</v>
      </c>
      <c r="G8" s="88"/>
      <c r="H8" s="88">
        <v>211000</v>
      </c>
      <c r="I8" s="88">
        <v>216000</v>
      </c>
      <c r="J8" s="88">
        <v>216000</v>
      </c>
      <c r="K8" s="88">
        <v>216000</v>
      </c>
      <c r="L8" s="88">
        <v>216000</v>
      </c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2">
      <c r="A9" s="83"/>
      <c r="B9" s="106" t="s">
        <v>668</v>
      </c>
      <c r="C9" s="95"/>
      <c r="D9" s="95"/>
      <c r="E9" s="95"/>
      <c r="F9" s="95">
        <v>13000</v>
      </c>
      <c r="G9" s="95"/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2">
      <c r="A10" s="83"/>
      <c r="B10" s="106" t="s">
        <v>669</v>
      </c>
      <c r="C10" s="95"/>
      <c r="D10" s="95"/>
      <c r="E10" s="95"/>
      <c r="F10" s="95">
        <v>36400</v>
      </c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2">
      <c r="A11" s="83"/>
      <c r="B11" s="243" t="s">
        <v>670</v>
      </c>
      <c r="C11" s="95"/>
      <c r="D11" s="95"/>
      <c r="E11" s="95"/>
      <c r="F11" s="95">
        <v>18400</v>
      </c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2">
      <c r="A12" s="83"/>
      <c r="B12" s="243" t="s">
        <v>671</v>
      </c>
      <c r="C12" s="95"/>
      <c r="D12" s="95"/>
      <c r="E12" s="95"/>
      <c r="F12" s="95">
        <v>18200</v>
      </c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2">
      <c r="A13" s="83"/>
      <c r="B13" s="106" t="s">
        <v>672</v>
      </c>
      <c r="C13" s="95"/>
      <c r="D13" s="95"/>
      <c r="E13" s="95"/>
      <c r="F13" s="95">
        <v>4000</v>
      </c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2">
      <c r="A14" s="83"/>
      <c r="B14" s="106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>
      <c r="A15" s="83"/>
      <c r="B15" s="98" t="s">
        <v>7</v>
      </c>
      <c r="C15" s="99">
        <f>C6+C8+C7</f>
        <v>0</v>
      </c>
      <c r="D15" s="99">
        <f>D6+D8+D7</f>
        <v>0</v>
      </c>
      <c r="E15" s="99">
        <f>E6+E8+E7</f>
        <v>0</v>
      </c>
      <c r="F15" s="99">
        <f>F6+F8+F7</f>
        <v>90000</v>
      </c>
      <c r="G15" s="275"/>
      <c r="H15" s="99">
        <f t="shared" ref="H15:L15" si="1">H6+H8+H7</f>
        <v>211000</v>
      </c>
      <c r="I15" s="99">
        <f t="shared" si="1"/>
        <v>216000</v>
      </c>
      <c r="J15" s="99">
        <f t="shared" si="1"/>
        <v>216000</v>
      </c>
      <c r="K15" s="99">
        <f t="shared" si="1"/>
        <v>216000</v>
      </c>
      <c r="L15" s="99">
        <f t="shared" si="1"/>
        <v>216000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>
      <c r="A16" s="83"/>
      <c r="B16" s="97" t="s">
        <v>8</v>
      </c>
      <c r="C16" s="89">
        <v>0</v>
      </c>
      <c r="D16" s="89">
        <v>0</v>
      </c>
      <c r="E16" s="89">
        <v>0</v>
      </c>
      <c r="F16" s="89">
        <v>0</v>
      </c>
      <c r="G16" s="89"/>
      <c r="H16" s="89"/>
      <c r="I16" s="89"/>
      <c r="J16" s="89"/>
      <c r="K16" s="89"/>
      <c r="L16" s="89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>
      <c r="A17" s="83"/>
      <c r="B17" s="97" t="s">
        <v>9</v>
      </c>
      <c r="C17" s="169">
        <f>'Probois 43'!C10</f>
        <v>0</v>
      </c>
      <c r="D17" s="169">
        <f>'Probois 43'!D10</f>
        <v>0</v>
      </c>
      <c r="E17" s="169">
        <f>'Probois 43'!E10</f>
        <v>0</v>
      </c>
      <c r="F17" s="169">
        <f>'Probois 43'!F10</f>
        <v>0</v>
      </c>
      <c r="G17" s="169"/>
      <c r="H17" s="169"/>
      <c r="I17" s="169"/>
      <c r="J17" s="169"/>
      <c r="K17" s="169"/>
      <c r="L17" s="169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>
      <c r="A18" s="83"/>
      <c r="B18" s="100" t="s">
        <v>14</v>
      </c>
      <c r="C18" s="99">
        <f>C15+C16+C17</f>
        <v>0</v>
      </c>
      <c r="D18" s="99">
        <f>D15+D16+D17</f>
        <v>0</v>
      </c>
      <c r="E18" s="99">
        <f>E15+E16+E17</f>
        <v>0</v>
      </c>
      <c r="F18" s="99">
        <f>F15+F16+F17</f>
        <v>90000</v>
      </c>
      <c r="G18" s="275"/>
      <c r="H18" s="99">
        <f t="shared" ref="H18:L18" si="2">H15+H16+H17</f>
        <v>211000</v>
      </c>
      <c r="I18" s="99">
        <f t="shared" si="2"/>
        <v>216000</v>
      </c>
      <c r="J18" s="99">
        <f t="shared" si="2"/>
        <v>216000</v>
      </c>
      <c r="K18" s="99">
        <f t="shared" si="2"/>
        <v>216000</v>
      </c>
      <c r="L18" s="99">
        <f t="shared" si="2"/>
        <v>216000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6.5" thickBot="1">
      <c r="A19" s="83"/>
      <c r="B19" s="101" t="s">
        <v>106</v>
      </c>
      <c r="C19" s="102" t="e">
        <f>C18/C18</f>
        <v>#DIV/0!</v>
      </c>
      <c r="D19" s="102" t="e">
        <f t="shared" ref="D19:F19" si="3">D18/D18</f>
        <v>#DIV/0!</v>
      </c>
      <c r="E19" s="102" t="e">
        <f t="shared" si="3"/>
        <v>#DIV/0!</v>
      </c>
      <c r="F19" s="102">
        <f t="shared" si="3"/>
        <v>1</v>
      </c>
      <c r="G19" s="276"/>
      <c r="H19" s="102">
        <f t="shared" ref="H19:L19" si="4">H18/H18</f>
        <v>1</v>
      </c>
      <c r="I19" s="102">
        <f t="shared" si="4"/>
        <v>1</v>
      </c>
      <c r="J19" s="102">
        <f t="shared" si="4"/>
        <v>1</v>
      </c>
      <c r="K19" s="102">
        <f t="shared" si="4"/>
        <v>1</v>
      </c>
      <c r="L19" s="102">
        <f t="shared" si="4"/>
        <v>1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collapsed="1">
      <c r="A20" s="83"/>
      <c r="B20" s="103" t="s">
        <v>167</v>
      </c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>
      <c r="A21" s="83"/>
      <c r="B21" s="103" t="s">
        <v>168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>
      <c r="A22" s="83"/>
      <c r="B22" s="83" t="s">
        <v>190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>
      <c r="A23" s="107"/>
      <c r="B23" s="108" t="s">
        <v>169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8"/>
      <c r="N23" s="108"/>
      <c r="O23" s="109"/>
      <c r="P23" s="109"/>
      <c r="Q23" s="109"/>
      <c r="R23" s="109"/>
      <c r="S23" s="109"/>
      <c r="T23" s="109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</row>
    <row r="24" spans="1:43" ht="15.75">
      <c r="A24" s="83"/>
      <c r="B24" s="100" t="s">
        <v>16</v>
      </c>
      <c r="C24" s="99">
        <f>C18+C20+C21+C22+C23</f>
        <v>0</v>
      </c>
      <c r="D24" s="99">
        <f>D18+D20+D21+D22+D23</f>
        <v>0</v>
      </c>
      <c r="E24" s="99">
        <f>E18+E20+E21+E22+E23</f>
        <v>0</v>
      </c>
      <c r="F24" s="99">
        <f>F18+F20+F21+F22+F23</f>
        <v>90000</v>
      </c>
      <c r="G24" s="275"/>
      <c r="H24" s="99">
        <f t="shared" ref="H24:L24" si="5">H18+H20+H21+H22+H23</f>
        <v>211000</v>
      </c>
      <c r="I24" s="99">
        <f t="shared" si="5"/>
        <v>216000</v>
      </c>
      <c r="J24" s="99">
        <f t="shared" si="5"/>
        <v>216000</v>
      </c>
      <c r="K24" s="99">
        <f t="shared" si="5"/>
        <v>216000</v>
      </c>
      <c r="L24" s="99">
        <f t="shared" si="5"/>
        <v>216000</v>
      </c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6.5" thickBot="1">
      <c r="A25" s="107"/>
      <c r="B25" s="101" t="s">
        <v>106</v>
      </c>
      <c r="C25" s="102" t="e">
        <f>C24/C18</f>
        <v>#DIV/0!</v>
      </c>
      <c r="D25" s="102" t="e">
        <f>D24/D18</f>
        <v>#DIV/0!</v>
      </c>
      <c r="E25" s="102" t="e">
        <f>E24/E18</f>
        <v>#DIV/0!</v>
      </c>
      <c r="F25" s="102">
        <f>F24/F18</f>
        <v>1</v>
      </c>
      <c r="G25" s="276"/>
      <c r="H25" s="102">
        <f t="shared" ref="H25:L25" si="6">H24/H18</f>
        <v>1</v>
      </c>
      <c r="I25" s="102">
        <f t="shared" si="6"/>
        <v>1</v>
      </c>
      <c r="J25" s="102">
        <f t="shared" si="6"/>
        <v>1</v>
      </c>
      <c r="K25" s="102">
        <f t="shared" si="6"/>
        <v>1</v>
      </c>
      <c r="L25" s="102">
        <f t="shared" si="6"/>
        <v>1</v>
      </c>
      <c r="M25" s="108"/>
      <c r="N25" s="108"/>
      <c r="O25" s="109"/>
      <c r="P25" s="109"/>
      <c r="Q25" s="109"/>
      <c r="R25" s="109"/>
      <c r="S25" s="109"/>
      <c r="T25" s="109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</row>
    <row r="26" spans="1:43" ht="15.75">
      <c r="A26" s="107"/>
      <c r="B26" s="108" t="s">
        <v>170</v>
      </c>
      <c r="C26" s="104">
        <f>C28+C29+C30+C31+C32+C33+C38+C39+C46+C50+C51+C49</f>
        <v>-2711</v>
      </c>
      <c r="D26" s="104">
        <f>D28+D29+D30+D31+D32+D33+D38+D39+D46+D50+D51+D49</f>
        <v>-3178</v>
      </c>
      <c r="E26" s="104">
        <f>E28+E29+E30+E31+E32+E33+E38+E39+E46+E50+E51+E49</f>
        <v>-5320</v>
      </c>
      <c r="F26" s="104">
        <f>F28+F29+F30+F31+F32+F33+F38+F39+F46+F50+F51+F49</f>
        <v>-15620</v>
      </c>
      <c r="G26" s="104"/>
      <c r="H26" s="104">
        <v>-25000</v>
      </c>
      <c r="I26" s="104">
        <v>-25000</v>
      </c>
      <c r="J26" s="104">
        <v>-25000</v>
      </c>
      <c r="K26" s="104">
        <v>-25000</v>
      </c>
      <c r="L26" s="104">
        <v>-25000</v>
      </c>
      <c r="M26" s="108"/>
      <c r="N26" s="108"/>
      <c r="O26" s="109"/>
      <c r="P26" s="109"/>
      <c r="Q26" s="109"/>
      <c r="R26" s="109"/>
      <c r="S26" s="109"/>
      <c r="T26" s="109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</row>
    <row r="27" spans="1:43" outlineLevel="1"/>
    <row r="28" spans="1:43" s="92" customFormat="1" ht="12.75" outlineLevel="1">
      <c r="A28" s="90"/>
      <c r="B28" s="105" t="s">
        <v>171</v>
      </c>
      <c r="C28" s="91">
        <v>0</v>
      </c>
      <c r="D28" s="91">
        <v>0</v>
      </c>
      <c r="E28" s="91">
        <v>0</v>
      </c>
      <c r="F28" s="91">
        <v>0</v>
      </c>
      <c r="G28" s="91"/>
      <c r="H28" s="91"/>
      <c r="I28" s="91"/>
      <c r="J28" s="91"/>
      <c r="K28" s="91"/>
      <c r="L28" s="91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</row>
    <row r="29" spans="1:43" s="92" customFormat="1" ht="12.75" outlineLevel="1">
      <c r="A29" s="90"/>
      <c r="B29" s="105" t="s">
        <v>172</v>
      </c>
      <c r="C29" s="91">
        <v>0</v>
      </c>
      <c r="D29" s="91">
        <v>0</v>
      </c>
      <c r="E29" s="91">
        <v>0</v>
      </c>
      <c r="F29" s="91">
        <v>0</v>
      </c>
      <c r="G29" s="91"/>
      <c r="H29" s="91"/>
      <c r="I29" s="91"/>
      <c r="J29" s="91"/>
      <c r="K29" s="91"/>
      <c r="L29" s="91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</row>
    <row r="30" spans="1:43" s="92" customFormat="1" ht="12.75" outlineLevel="1">
      <c r="A30" s="90"/>
      <c r="B30" s="105" t="s">
        <v>173</v>
      </c>
      <c r="C30" s="91">
        <v>0</v>
      </c>
      <c r="D30" s="91">
        <v>0</v>
      </c>
      <c r="E30" s="91">
        <v>0</v>
      </c>
      <c r="F30" s="91">
        <v>0</v>
      </c>
      <c r="G30" s="91"/>
      <c r="H30" s="91"/>
      <c r="I30" s="91"/>
      <c r="J30" s="91"/>
      <c r="K30" s="91"/>
      <c r="L30" s="91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</row>
    <row r="31" spans="1:43" s="92" customFormat="1" ht="12.75" outlineLevel="1">
      <c r="A31" s="90"/>
      <c r="B31" s="105" t="s">
        <v>174</v>
      </c>
      <c r="C31" s="91">
        <v>0</v>
      </c>
      <c r="D31" s="91">
        <v>0</v>
      </c>
      <c r="E31" s="91">
        <v>0</v>
      </c>
      <c r="F31" s="91">
        <v>0</v>
      </c>
      <c r="G31" s="91"/>
      <c r="H31" s="91"/>
      <c r="I31" s="91"/>
      <c r="J31" s="91"/>
      <c r="K31" s="91"/>
      <c r="L31" s="91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</row>
    <row r="32" spans="1:43" s="92" customFormat="1" ht="12.75" outlineLevel="1">
      <c r="A32" s="90"/>
      <c r="B32" s="105" t="s">
        <v>175</v>
      </c>
      <c r="C32" s="91">
        <v>0</v>
      </c>
      <c r="D32" s="91">
        <v>0</v>
      </c>
      <c r="E32" s="91">
        <v>0</v>
      </c>
      <c r="F32" s="91">
        <v>0</v>
      </c>
      <c r="G32" s="91"/>
      <c r="H32" s="91"/>
      <c r="I32" s="91"/>
      <c r="J32" s="91"/>
      <c r="K32" s="91"/>
      <c r="L32" s="91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</row>
    <row r="33" spans="1:43" s="92" customFormat="1" ht="12.75" outlineLevel="1">
      <c r="A33" s="90"/>
      <c r="B33" s="105" t="s">
        <v>176</v>
      </c>
      <c r="C33" s="91">
        <f>SUM(C34:C37)</f>
        <v>0</v>
      </c>
      <c r="D33" s="91">
        <f>SUM(D34:D37)</f>
        <v>0</v>
      </c>
      <c r="E33" s="91">
        <f>SUM(E34:E37)</f>
        <v>-672</v>
      </c>
      <c r="F33" s="91">
        <f>SUM(F34:F37)</f>
        <v>-1948</v>
      </c>
      <c r="G33" s="91"/>
      <c r="H33" s="91"/>
      <c r="I33" s="91"/>
      <c r="J33" s="91"/>
      <c r="K33" s="91"/>
      <c r="L33" s="91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</row>
    <row r="34" spans="1:43" ht="15.75" outlineLevel="2">
      <c r="A34" s="83"/>
      <c r="B34" s="106" t="s">
        <v>674</v>
      </c>
      <c r="C34" s="95"/>
      <c r="D34" s="95"/>
      <c r="E34" s="95"/>
      <c r="F34" s="95">
        <v>-509</v>
      </c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2">
      <c r="A35" s="83"/>
      <c r="B35" s="106" t="s">
        <v>675</v>
      </c>
      <c r="C35" s="95"/>
      <c r="D35" s="95"/>
      <c r="E35" s="95">
        <v>-672</v>
      </c>
      <c r="F35" s="95"/>
      <c r="G35" s="95"/>
      <c r="H35" s="95"/>
      <c r="I35" s="95"/>
      <c r="J35" s="95"/>
      <c r="K35" s="95"/>
      <c r="L35" s="95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2">
      <c r="A36" s="83"/>
      <c r="B36" s="106" t="s">
        <v>676</v>
      </c>
      <c r="C36" s="95"/>
      <c r="D36" s="95"/>
      <c r="E36" s="95"/>
      <c r="F36" s="95">
        <v>-1439</v>
      </c>
      <c r="G36" s="95"/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2">
      <c r="A37" s="83"/>
      <c r="B37" s="106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s="92" customFormat="1" ht="12.75" outlineLevel="1">
      <c r="A38" s="90"/>
      <c r="B38" s="105" t="s">
        <v>177</v>
      </c>
      <c r="C38" s="91">
        <v>0</v>
      </c>
      <c r="D38" s="91">
        <v>0</v>
      </c>
      <c r="E38" s="91">
        <v>0</v>
      </c>
      <c r="F38" s="91">
        <v>0</v>
      </c>
      <c r="G38" s="91"/>
      <c r="H38" s="91"/>
      <c r="I38" s="91"/>
      <c r="J38" s="91"/>
      <c r="K38" s="91"/>
      <c r="L38" s="91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</row>
    <row r="39" spans="1:43" s="92" customFormat="1" ht="12.75" outlineLevel="1">
      <c r="A39" s="90"/>
      <c r="B39" s="105" t="s">
        <v>143</v>
      </c>
      <c r="C39" s="91">
        <f>SUM(C40:C45)</f>
        <v>-1822</v>
      </c>
      <c r="D39" s="91">
        <f>SUM(D40:D45)</f>
        <v>-1850</v>
      </c>
      <c r="E39" s="91">
        <f>SUM(E40:E45)</f>
        <v>-3088</v>
      </c>
      <c r="F39" s="91">
        <f>SUM(F40:F45)</f>
        <v>-11058</v>
      </c>
      <c r="G39" s="91"/>
      <c r="H39" s="91"/>
      <c r="I39" s="91"/>
      <c r="J39" s="91"/>
      <c r="K39" s="91"/>
      <c r="L39" s="91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ht="15.75" outlineLevel="2">
      <c r="A40" s="83"/>
      <c r="B40" s="106" t="s">
        <v>677</v>
      </c>
      <c r="C40" s="95">
        <v>-1822</v>
      </c>
      <c r="D40" s="95">
        <v>-1850</v>
      </c>
      <c r="E40" s="95">
        <v>-1897</v>
      </c>
      <c r="F40" s="95">
        <v>-1636</v>
      </c>
      <c r="G40" s="95"/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2">
      <c r="A41" s="83"/>
      <c r="B41" s="106" t="s">
        <v>678</v>
      </c>
      <c r="C41" s="95"/>
      <c r="D41" s="95"/>
      <c r="E41" s="95"/>
      <c r="F41" s="95">
        <v>-1575</v>
      </c>
      <c r="G41" s="95"/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2">
      <c r="A42" s="83"/>
      <c r="B42" s="106" t="s">
        <v>493</v>
      </c>
      <c r="C42" s="95"/>
      <c r="D42" s="95"/>
      <c r="E42" s="95">
        <v>-192</v>
      </c>
      <c r="F42" s="95">
        <v>-362</v>
      </c>
      <c r="G42" s="95"/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2">
      <c r="A43" s="83"/>
      <c r="B43" s="106" t="s">
        <v>679</v>
      </c>
      <c r="C43" s="95"/>
      <c r="E43" s="95">
        <v>-999</v>
      </c>
      <c r="F43" s="95">
        <v>-3485</v>
      </c>
      <c r="G43" s="95"/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2">
      <c r="A44" s="83"/>
      <c r="B44" s="106" t="s">
        <v>492</v>
      </c>
      <c r="C44" s="95"/>
      <c r="D44" s="95"/>
      <c r="E44" s="95"/>
      <c r="F44" s="95">
        <v>-4000</v>
      </c>
      <c r="G44" s="95"/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2">
      <c r="A45" s="83"/>
      <c r="B45" s="106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s="92" customFormat="1" ht="12.75" outlineLevel="1">
      <c r="A46" s="90"/>
      <c r="B46" s="105" t="s">
        <v>178</v>
      </c>
      <c r="C46" s="91">
        <f>SUM(C47:C48)</f>
        <v>0</v>
      </c>
      <c r="D46" s="91">
        <f>SUM(D47:D48)</f>
        <v>0</v>
      </c>
      <c r="E46" s="91">
        <f>SUM(E47:E48)</f>
        <v>0</v>
      </c>
      <c r="F46" s="91">
        <f>SUM(F47:F48)</f>
        <v>-459</v>
      </c>
      <c r="G46" s="91"/>
      <c r="H46" s="91"/>
      <c r="I46" s="91"/>
      <c r="J46" s="91"/>
      <c r="K46" s="91"/>
      <c r="L46" s="91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</row>
    <row r="47" spans="1:43" ht="15.75" outlineLevel="2">
      <c r="A47" s="83"/>
      <c r="B47" s="106" t="s">
        <v>680</v>
      </c>
      <c r="C47" s="95"/>
      <c r="D47" s="95"/>
      <c r="E47" s="95"/>
      <c r="F47" s="95">
        <v>-459</v>
      </c>
      <c r="G47" s="95"/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2">
      <c r="A48" s="8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s="92" customFormat="1" ht="12.75" outlineLevel="1">
      <c r="A49" s="90"/>
      <c r="B49" s="105" t="s">
        <v>590</v>
      </c>
      <c r="C49" s="91">
        <v>0</v>
      </c>
      <c r="D49" s="91">
        <v>0</v>
      </c>
      <c r="E49" s="91">
        <v>0</v>
      </c>
      <c r="F49" s="91">
        <v>0</v>
      </c>
      <c r="G49" s="91"/>
      <c r="H49" s="91"/>
      <c r="I49" s="91"/>
      <c r="J49" s="91"/>
      <c r="K49" s="91"/>
      <c r="L49" s="91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92" customFormat="1" ht="12.75" outlineLevel="1">
      <c r="A50" s="90"/>
      <c r="B50" s="105" t="s">
        <v>179</v>
      </c>
      <c r="C50" s="91">
        <v>0</v>
      </c>
      <c r="D50" s="91">
        <v>0</v>
      </c>
      <c r="E50" s="91">
        <v>0</v>
      </c>
      <c r="F50" s="91">
        <v>0</v>
      </c>
      <c r="G50" s="91"/>
      <c r="H50" s="91"/>
      <c r="I50" s="91"/>
      <c r="J50" s="91"/>
      <c r="K50" s="91"/>
      <c r="L50" s="91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</row>
    <row r="51" spans="1:43" s="92" customFormat="1" ht="12.75" outlineLevel="1">
      <c r="A51" s="90"/>
      <c r="B51" s="105" t="s">
        <v>180</v>
      </c>
      <c r="C51" s="91">
        <f>SUM(C52:C54)</f>
        <v>-889</v>
      </c>
      <c r="D51" s="91">
        <f>SUM(D52:D54)</f>
        <v>-1328</v>
      </c>
      <c r="E51" s="91">
        <f>SUM(E52:E54)</f>
        <v>-1560</v>
      </c>
      <c r="F51" s="91">
        <f>SUM(F52:F54)</f>
        <v>-2155</v>
      </c>
      <c r="G51" s="91"/>
      <c r="H51" s="91"/>
      <c r="I51" s="91"/>
      <c r="J51" s="91"/>
      <c r="K51" s="91"/>
      <c r="L51" s="91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</row>
    <row r="52" spans="1:43" ht="15.75" outlineLevel="2">
      <c r="A52" s="83"/>
      <c r="B52" s="106" t="s">
        <v>145</v>
      </c>
      <c r="C52" s="95"/>
      <c r="D52" s="95"/>
      <c r="E52" s="95">
        <v>-126</v>
      </c>
      <c r="F52" s="95">
        <v>-6</v>
      </c>
      <c r="G52" s="95"/>
      <c r="H52" s="95"/>
      <c r="I52" s="95"/>
      <c r="J52" s="95"/>
      <c r="K52" s="95"/>
      <c r="L52" s="95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 outlineLevel="2">
      <c r="A53" s="83"/>
      <c r="B53" s="106" t="s">
        <v>681</v>
      </c>
      <c r="C53" s="95">
        <v>-889</v>
      </c>
      <c r="D53" s="95">
        <v>-1328</v>
      </c>
      <c r="E53" s="95">
        <v>-1434</v>
      </c>
      <c r="F53" s="95">
        <v>-2149</v>
      </c>
      <c r="G53" s="95"/>
      <c r="H53" s="95"/>
      <c r="I53" s="95"/>
      <c r="J53" s="95"/>
      <c r="K53" s="95"/>
      <c r="L53" s="95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243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>
      <c r="A55" s="83"/>
      <c r="B55" s="100" t="s">
        <v>181</v>
      </c>
      <c r="C55" s="110">
        <f>C24+C26</f>
        <v>-2711</v>
      </c>
      <c r="D55" s="110">
        <f>D24+D26</f>
        <v>-3178</v>
      </c>
      <c r="E55" s="110">
        <f>E24+E26</f>
        <v>-5320</v>
      </c>
      <c r="F55" s="110">
        <f>F24+F26</f>
        <v>74380</v>
      </c>
      <c r="G55" s="277"/>
      <c r="H55" s="110">
        <f t="shared" ref="H55:L55" si="7">H24+H26</f>
        <v>186000</v>
      </c>
      <c r="I55" s="110">
        <f t="shared" si="7"/>
        <v>191000</v>
      </c>
      <c r="J55" s="110">
        <f t="shared" si="7"/>
        <v>191000</v>
      </c>
      <c r="K55" s="110">
        <f t="shared" si="7"/>
        <v>191000</v>
      </c>
      <c r="L55" s="110">
        <f t="shared" si="7"/>
        <v>191000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6.5" thickBot="1">
      <c r="A56" s="83"/>
      <c r="B56" s="101" t="s">
        <v>106</v>
      </c>
      <c r="C56" s="102" t="e">
        <f>C55/C18</f>
        <v>#DIV/0!</v>
      </c>
      <c r="D56" s="102" t="e">
        <f>D55/D18</f>
        <v>#DIV/0!</v>
      </c>
      <c r="E56" s="102" t="e">
        <f>E55/E18</f>
        <v>#DIV/0!</v>
      </c>
      <c r="F56" s="102">
        <f>F55/F18</f>
        <v>0.82644444444444443</v>
      </c>
      <c r="G56" s="276"/>
      <c r="H56" s="102">
        <f t="shared" ref="H56:L56" si="8">H55/H18</f>
        <v>0.88151658767772512</v>
      </c>
      <c r="I56" s="102">
        <f t="shared" si="8"/>
        <v>0.8842592592592593</v>
      </c>
      <c r="J56" s="102">
        <f t="shared" si="8"/>
        <v>0.8842592592592593</v>
      </c>
      <c r="K56" s="102">
        <f t="shared" si="8"/>
        <v>0.8842592592592593</v>
      </c>
      <c r="L56" s="102">
        <f t="shared" si="8"/>
        <v>0.8842592592592593</v>
      </c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>
      <c r="A57" s="107"/>
      <c r="B57" s="83" t="s">
        <v>262</v>
      </c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8"/>
      <c r="N57" s="108"/>
      <c r="O57" s="109"/>
      <c r="P57" s="109"/>
      <c r="Q57" s="109"/>
      <c r="R57" s="109"/>
      <c r="S57" s="109"/>
      <c r="T57" s="109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</row>
    <row r="58" spans="1:43" ht="15.75">
      <c r="A58" s="107"/>
      <c r="B58" s="97" t="s">
        <v>22</v>
      </c>
      <c r="C58" s="104">
        <f>SUM(C59:C60)</f>
        <v>0</v>
      </c>
      <c r="D58" s="104">
        <f>SUM(D59:D60)</f>
        <v>0</v>
      </c>
      <c r="E58" s="104">
        <f>SUM(E59:E60)</f>
        <v>0</v>
      </c>
      <c r="F58" s="104">
        <f>SUM(F59:F60)</f>
        <v>-125</v>
      </c>
      <c r="G58" s="104"/>
      <c r="H58" s="104">
        <v>-30</v>
      </c>
      <c r="I58" s="104">
        <v>-30</v>
      </c>
      <c r="J58" s="104">
        <v>-30</v>
      </c>
      <c r="K58" s="104">
        <v>-30</v>
      </c>
      <c r="L58" s="104">
        <v>-30</v>
      </c>
      <c r="M58" s="108"/>
      <c r="N58" s="108"/>
      <c r="O58" s="109"/>
      <c r="P58" s="109"/>
      <c r="Q58" s="109"/>
      <c r="R58" s="109"/>
      <c r="S58" s="109"/>
      <c r="T58" s="109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</row>
    <row r="59" spans="1:43" ht="15.75" outlineLevel="1">
      <c r="A59" s="83"/>
      <c r="B59" s="106" t="s">
        <v>682</v>
      </c>
      <c r="C59" s="95"/>
      <c r="D59" s="95"/>
      <c r="E59" s="95"/>
      <c r="F59" s="95">
        <v>-125</v>
      </c>
      <c r="G59" s="95"/>
      <c r="H59" s="95"/>
      <c r="I59" s="95"/>
      <c r="J59" s="95"/>
      <c r="K59" s="95"/>
      <c r="L59" s="95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107"/>
      <c r="B61" s="97" t="s">
        <v>21</v>
      </c>
      <c r="C61" s="104">
        <f>C63+C68</f>
        <v>0</v>
      </c>
      <c r="D61" s="104">
        <f>D63+D68</f>
        <v>0</v>
      </c>
      <c r="E61" s="104">
        <f>E63+E68</f>
        <v>0</v>
      </c>
      <c r="F61" s="104">
        <f>F63+F68</f>
        <v>-57589</v>
      </c>
      <c r="G61" s="104"/>
      <c r="H61" s="104">
        <v>-142236</v>
      </c>
      <c r="I61" s="104">
        <v>-142236</v>
      </c>
      <c r="J61" s="104">
        <v>-142236</v>
      </c>
      <c r="K61" s="104">
        <v>-142236</v>
      </c>
      <c r="L61" s="104">
        <v>-142236</v>
      </c>
      <c r="M61" s="108"/>
      <c r="N61" s="108"/>
      <c r="O61" s="109"/>
      <c r="P61" s="109"/>
      <c r="Q61" s="109"/>
      <c r="R61" s="109"/>
      <c r="S61" s="109"/>
      <c r="T61" s="109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</row>
    <row r="62" spans="1:43" s="96" customFormat="1" ht="12.75" outlineLevel="1">
      <c r="A62" s="93"/>
      <c r="B62" s="106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</row>
    <row r="63" spans="1:43" s="92" customFormat="1" ht="12.75" outlineLevel="1">
      <c r="A63" s="90"/>
      <c r="B63" s="105" t="s">
        <v>182</v>
      </c>
      <c r="C63" s="91">
        <f t="shared" ref="C63:E63" si="9">SUM(C64:C67)</f>
        <v>0</v>
      </c>
      <c r="D63" s="91">
        <f t="shared" si="9"/>
        <v>0</v>
      </c>
      <c r="E63" s="91">
        <f t="shared" si="9"/>
        <v>0</v>
      </c>
      <c r="F63" s="91">
        <f>SUM(F64:F67)</f>
        <v>-57589</v>
      </c>
      <c r="G63" s="91"/>
      <c r="H63" s="91"/>
      <c r="I63" s="91"/>
      <c r="J63" s="91"/>
      <c r="K63" s="91"/>
      <c r="L63" s="91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</row>
    <row r="64" spans="1:43" ht="15.75" outlineLevel="2">
      <c r="A64" s="83"/>
      <c r="B64" s="106" t="s">
        <v>695</v>
      </c>
      <c r="C64" s="95"/>
      <c r="D64" s="95"/>
      <c r="E64" s="95"/>
      <c r="F64" s="95">
        <v>-36400</v>
      </c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 outlineLevel="2">
      <c r="A65" s="83"/>
      <c r="B65" s="106" t="s">
        <v>696</v>
      </c>
      <c r="C65" s="95"/>
      <c r="D65" s="95"/>
      <c r="E65" s="95"/>
      <c r="F65" s="95">
        <v>-15388</v>
      </c>
      <c r="G65" s="95"/>
      <c r="H65" s="95"/>
      <c r="I65" s="95"/>
      <c r="J65" s="95"/>
      <c r="K65" s="95"/>
      <c r="L65" s="95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2">
      <c r="A66" s="83"/>
      <c r="B66" s="106" t="s">
        <v>697</v>
      </c>
      <c r="C66" s="95"/>
      <c r="D66" s="95"/>
      <c r="E66" s="95"/>
      <c r="F66" s="95">
        <v>-5801</v>
      </c>
      <c r="G66" s="95"/>
      <c r="H66" s="95"/>
      <c r="I66" s="95"/>
      <c r="J66" s="95"/>
      <c r="K66" s="95"/>
      <c r="L66" s="95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2">
      <c r="A67" s="83"/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s="92" customFormat="1" ht="12.75" outlineLevel="1">
      <c r="A68" s="90"/>
      <c r="B68" s="105" t="s">
        <v>19</v>
      </c>
      <c r="C68" s="91">
        <f>SUM(C69:C69)</f>
        <v>0</v>
      </c>
      <c r="D68" s="91">
        <f>SUM(D69:D69)</f>
        <v>0</v>
      </c>
      <c r="E68" s="91">
        <f>SUM(E69:E69)</f>
        <v>0</v>
      </c>
      <c r="F68" s="91">
        <f>SUM(F69:F69)</f>
        <v>0</v>
      </c>
      <c r="G68" s="91"/>
      <c r="H68" s="91"/>
      <c r="I68" s="91"/>
      <c r="J68" s="91"/>
      <c r="K68" s="91"/>
      <c r="L68" s="91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</row>
    <row r="69" spans="1:43" ht="15.75" outlineLevel="1">
      <c r="A69" s="83"/>
      <c r="B69" s="243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ht="15.75">
      <c r="A70" s="83"/>
      <c r="B70" s="97" t="s">
        <v>20</v>
      </c>
      <c r="C70" s="89">
        <v>0</v>
      </c>
      <c r="D70" s="89">
        <v>0</v>
      </c>
      <c r="E70" s="89">
        <v>0</v>
      </c>
      <c r="F70" s="89">
        <v>0</v>
      </c>
      <c r="G70" s="89"/>
      <c r="H70" s="89"/>
      <c r="I70" s="89"/>
      <c r="J70" s="89"/>
      <c r="K70" s="89"/>
      <c r="L70" s="89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>
      <c r="A71" s="83"/>
      <c r="B71" s="100" t="s">
        <v>24</v>
      </c>
      <c r="C71" s="110">
        <f>C55+C57+C58+C61+C70</f>
        <v>-2711</v>
      </c>
      <c r="D71" s="110">
        <f>D55+D57+D58+D61+D70</f>
        <v>-3178</v>
      </c>
      <c r="E71" s="110">
        <f>E55+E57+E58+E61+E70</f>
        <v>-5320</v>
      </c>
      <c r="F71" s="110">
        <f>F55+F57+F58+F61+F70</f>
        <v>16666</v>
      </c>
      <c r="G71" s="277"/>
      <c r="H71" s="110">
        <f t="shared" ref="H71:L71" si="10">H55+H57+H58+H61+H70</f>
        <v>43734</v>
      </c>
      <c r="I71" s="110">
        <f t="shared" si="10"/>
        <v>48734</v>
      </c>
      <c r="J71" s="110">
        <f t="shared" si="10"/>
        <v>48734</v>
      </c>
      <c r="K71" s="110">
        <f t="shared" si="10"/>
        <v>48734</v>
      </c>
      <c r="L71" s="110">
        <f t="shared" si="10"/>
        <v>48734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6.5" thickBot="1">
      <c r="A72" s="83"/>
      <c r="B72" s="101" t="s">
        <v>106</v>
      </c>
      <c r="C72" s="102" t="e">
        <f>C71/C18</f>
        <v>#DIV/0!</v>
      </c>
      <c r="D72" s="102" t="e">
        <f>D71/D18</f>
        <v>#DIV/0!</v>
      </c>
      <c r="E72" s="102" t="e">
        <f>E71/E18</f>
        <v>#DIV/0!</v>
      </c>
      <c r="F72" s="102">
        <f>F71/F18</f>
        <v>0.18517777777777777</v>
      </c>
      <c r="G72" s="276"/>
      <c r="H72" s="102">
        <f t="shared" ref="H72:L72" si="11">H71/H18</f>
        <v>0.20727014218009479</v>
      </c>
      <c r="I72" s="102">
        <f t="shared" si="11"/>
        <v>0.22562037037037036</v>
      </c>
      <c r="J72" s="102">
        <f t="shared" si="11"/>
        <v>0.22562037037037036</v>
      </c>
      <c r="K72" s="102">
        <f t="shared" si="11"/>
        <v>0.22562037037037036</v>
      </c>
      <c r="L72" s="102">
        <f t="shared" si="11"/>
        <v>0.22562037037037036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>
      <c r="A73" s="83"/>
      <c r="B73" s="97" t="s">
        <v>183</v>
      </c>
      <c r="C73" s="89">
        <f>SUM(C74:C75)</f>
        <v>0</v>
      </c>
      <c r="D73" s="89">
        <f>SUM(D74:D75)</f>
        <v>0</v>
      </c>
      <c r="E73" s="89">
        <f>SUM(E74:E75)</f>
        <v>0</v>
      </c>
      <c r="F73" s="89">
        <f>SUM(F74:F75)</f>
        <v>672</v>
      </c>
      <c r="G73" s="89"/>
      <c r="H73" s="89"/>
      <c r="I73" s="89"/>
      <c r="J73" s="89"/>
      <c r="K73" s="89"/>
      <c r="L73" s="89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1">
      <c r="A74" s="83"/>
      <c r="B74" s="106" t="s">
        <v>673</v>
      </c>
      <c r="C74" s="95"/>
      <c r="D74" s="95"/>
      <c r="E74" s="95"/>
      <c r="F74" s="95">
        <v>672</v>
      </c>
      <c r="G74" s="95"/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1">
      <c r="A75" s="8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>
      <c r="A76" s="83"/>
      <c r="B76" s="97" t="s">
        <v>12</v>
      </c>
      <c r="C76" s="89">
        <f t="shared" ref="C76:F76" si="12">C77</f>
        <v>0</v>
      </c>
      <c r="D76" s="89">
        <f t="shared" si="12"/>
        <v>1</v>
      </c>
      <c r="E76" s="89">
        <f t="shared" si="12"/>
        <v>0</v>
      </c>
      <c r="F76" s="89">
        <f t="shared" si="12"/>
        <v>0</v>
      </c>
      <c r="G76" s="89"/>
      <c r="H76" s="89"/>
      <c r="I76" s="89"/>
      <c r="J76" s="89"/>
      <c r="K76" s="89"/>
      <c r="L76" s="89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 outlineLevel="1">
      <c r="A77" s="83"/>
      <c r="B77" s="106" t="s">
        <v>581</v>
      </c>
      <c r="C77" s="95"/>
      <c r="D77" s="95">
        <v>1</v>
      </c>
      <c r="E77" s="95"/>
      <c r="F77" s="95"/>
      <c r="G77" s="95"/>
      <c r="H77" s="95"/>
      <c r="I77" s="95"/>
      <c r="J77" s="95"/>
      <c r="K77" s="95"/>
      <c r="L77" s="95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5.75" outlineLevel="1">
      <c r="A78" s="83"/>
      <c r="B78" s="106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15.75">
      <c r="A79" s="83"/>
      <c r="B79" s="97" t="s">
        <v>184</v>
      </c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>
      <c r="A80" s="83"/>
      <c r="B80" s="97" t="s">
        <v>23</v>
      </c>
      <c r="C80" s="89">
        <f>SUM(C81:C82)</f>
        <v>0</v>
      </c>
      <c r="D80" s="89">
        <f>SUM(D81:D82)</f>
        <v>0</v>
      </c>
      <c r="E80" s="89">
        <f>SUM(E81:E82)</f>
        <v>0</v>
      </c>
      <c r="F80" s="89">
        <f>SUM(F81:F82)</f>
        <v>-2</v>
      </c>
      <c r="G80" s="89"/>
      <c r="H80" s="89"/>
      <c r="I80" s="89"/>
      <c r="J80" s="89"/>
      <c r="K80" s="89"/>
      <c r="L80" s="89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ht="15.75" outlineLevel="1">
      <c r="A81" s="83"/>
      <c r="B81" s="106" t="s">
        <v>633</v>
      </c>
      <c r="C81" s="95"/>
      <c r="D81" s="95"/>
      <c r="E81" s="95"/>
      <c r="F81" s="95">
        <v>-2</v>
      </c>
      <c r="G81" s="95"/>
      <c r="H81" s="95"/>
      <c r="I81" s="95"/>
      <c r="J81" s="95"/>
      <c r="K81" s="95"/>
      <c r="L81" s="95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</row>
    <row r="82" spans="1:43" ht="15.75" outlineLevel="1">
      <c r="A82" s="83"/>
      <c r="B82" s="106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>
      <c r="A83" s="83"/>
      <c r="B83" s="100" t="s">
        <v>26</v>
      </c>
      <c r="C83" s="110">
        <f>C71+C73+C76+C80+C79</f>
        <v>-2711</v>
      </c>
      <c r="D83" s="110">
        <f>D71+D73+D76+D80+D79</f>
        <v>-3177</v>
      </c>
      <c r="E83" s="110">
        <f>E71+E73+E76+E80+E79</f>
        <v>-5320</v>
      </c>
      <c r="F83" s="110">
        <f>F71+F73+F76+F80+F79</f>
        <v>17336</v>
      </c>
      <c r="G83" s="277"/>
      <c r="H83" s="110">
        <f t="shared" ref="H83:L83" si="13">H71+H73+H76+H80+H79</f>
        <v>43734</v>
      </c>
      <c r="I83" s="110">
        <f t="shared" si="13"/>
        <v>48734</v>
      </c>
      <c r="J83" s="110">
        <f t="shared" si="13"/>
        <v>48734</v>
      </c>
      <c r="K83" s="110">
        <f t="shared" si="13"/>
        <v>48734</v>
      </c>
      <c r="L83" s="110">
        <f t="shared" si="13"/>
        <v>48734</v>
      </c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6.5" thickBot="1">
      <c r="A84" s="83"/>
      <c r="B84" s="101" t="s">
        <v>106</v>
      </c>
      <c r="C84" s="102" t="e">
        <f>C83/C18</f>
        <v>#DIV/0!</v>
      </c>
      <c r="D84" s="102" t="e">
        <f>D83/D18</f>
        <v>#DIV/0!</v>
      </c>
      <c r="E84" s="102" t="e">
        <f>E83/E18</f>
        <v>#DIV/0!</v>
      </c>
      <c r="F84" s="102">
        <f>F83/F18</f>
        <v>0.19262222222222222</v>
      </c>
      <c r="G84" s="276"/>
      <c r="H84" s="102">
        <f t="shared" ref="H84:L84" si="14">H83/H18</f>
        <v>0.20727014218009479</v>
      </c>
      <c r="I84" s="102">
        <f t="shared" si="14"/>
        <v>0.22562037037037036</v>
      </c>
      <c r="J84" s="102">
        <f t="shared" si="14"/>
        <v>0.22562037037037036</v>
      </c>
      <c r="K84" s="102">
        <f t="shared" si="14"/>
        <v>0.22562037037037036</v>
      </c>
      <c r="L84" s="102">
        <f t="shared" si="14"/>
        <v>0.22562037037037036</v>
      </c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s="111" customFormat="1" ht="15.75">
      <c r="A85" s="83"/>
      <c r="B85" s="97" t="s">
        <v>29</v>
      </c>
      <c r="C85" s="89">
        <f>C86+C94</f>
        <v>2162</v>
      </c>
      <c r="D85" s="89">
        <f>D86+D94</f>
        <v>24829</v>
      </c>
      <c r="E85" s="89">
        <f>E86+E94</f>
        <v>102515</v>
      </c>
      <c r="F85" s="89">
        <f>F86+F94</f>
        <v>-11751</v>
      </c>
      <c r="G85" s="89"/>
      <c r="H85" s="89">
        <v>40699</v>
      </c>
      <c r="I85" s="89">
        <v>41260</v>
      </c>
      <c r="J85" s="89">
        <v>41756</v>
      </c>
      <c r="K85" s="89">
        <v>42259</v>
      </c>
      <c r="L85" s="89">
        <v>42766</v>
      </c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1">
      <c r="A86" s="83"/>
      <c r="B86" s="105" t="s">
        <v>27</v>
      </c>
      <c r="C86" s="91">
        <f t="shared" ref="C86:E86" si="15">SUM(C87:C93)</f>
        <v>2971</v>
      </c>
      <c r="D86" s="91">
        <f t="shared" si="15"/>
        <v>29708</v>
      </c>
      <c r="E86" s="91">
        <f t="shared" si="15"/>
        <v>116786</v>
      </c>
      <c r="F86" s="91">
        <f>SUM(F87:F93)</f>
        <v>31669</v>
      </c>
      <c r="G86" s="91"/>
      <c r="H86" s="95"/>
      <c r="I86" s="95"/>
      <c r="J86" s="95"/>
      <c r="K86" s="95"/>
      <c r="L86" s="95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683</v>
      </c>
      <c r="C87" s="95"/>
      <c r="D87" s="95">
        <v>26111</v>
      </c>
      <c r="E87" s="95">
        <v>110112</v>
      </c>
      <c r="F87" s="95"/>
      <c r="G87" s="95"/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 t="s">
        <v>698</v>
      </c>
      <c r="C88" s="95">
        <v>440</v>
      </c>
      <c r="D88" s="95"/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5.75" outlineLevel="2">
      <c r="A89" s="83"/>
      <c r="B89" s="106" t="s">
        <v>684</v>
      </c>
      <c r="C89" s="95">
        <v>2398</v>
      </c>
      <c r="D89" s="95">
        <v>3303</v>
      </c>
      <c r="E89" s="95">
        <v>4870</v>
      </c>
      <c r="F89" s="95">
        <v>28076</v>
      </c>
      <c r="G89" s="95"/>
      <c r="H89" s="95"/>
      <c r="I89" s="95"/>
      <c r="J89" s="95"/>
      <c r="K89" s="95"/>
      <c r="L89" s="95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 outlineLevel="2">
      <c r="A90" s="83"/>
      <c r="B90" s="106" t="s">
        <v>685</v>
      </c>
      <c r="C90" s="95">
        <v>133</v>
      </c>
      <c r="D90" s="95">
        <v>228</v>
      </c>
      <c r="E90" s="95">
        <v>562</v>
      </c>
      <c r="F90" s="95">
        <v>3584</v>
      </c>
      <c r="G90" s="95"/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 t="s">
        <v>686</v>
      </c>
      <c r="C91" s="95"/>
      <c r="D91" s="95"/>
      <c r="E91" s="95"/>
      <c r="F91" s="95">
        <v>9</v>
      </c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ht="15.75" outlineLevel="2">
      <c r="A92" s="83"/>
      <c r="B92" s="106" t="s">
        <v>687</v>
      </c>
      <c r="C92" s="95"/>
      <c r="D92" s="95">
        <v>66</v>
      </c>
      <c r="E92" s="95">
        <v>1242</v>
      </c>
      <c r="F92" s="95"/>
      <c r="G92" s="95"/>
      <c r="H92" s="95"/>
      <c r="I92" s="95"/>
      <c r="J92" s="95"/>
      <c r="K92" s="95"/>
      <c r="L92" s="95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</row>
    <row r="93" spans="1:43" ht="15.75" outlineLevel="2">
      <c r="A93" s="83"/>
      <c r="B93" s="106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1">
      <c r="A94" s="83"/>
      <c r="B94" s="105" t="s">
        <v>185</v>
      </c>
      <c r="C94" s="91">
        <f>SUM(C95:C98)</f>
        <v>-809</v>
      </c>
      <c r="D94" s="91">
        <f>SUM(D95:D98)</f>
        <v>-4879</v>
      </c>
      <c r="E94" s="91">
        <f>SUM(E95:E98)</f>
        <v>-14271</v>
      </c>
      <c r="F94" s="91">
        <f>SUM(F95:F98)</f>
        <v>-43420</v>
      </c>
      <c r="G94" s="91"/>
      <c r="H94" s="95"/>
      <c r="I94" s="95"/>
      <c r="J94" s="95"/>
      <c r="K94" s="95"/>
      <c r="L94" s="95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690</v>
      </c>
      <c r="C95" s="95">
        <v>-809</v>
      </c>
      <c r="D95" s="95">
        <v>-671</v>
      </c>
      <c r="E95" s="95">
        <v>-472</v>
      </c>
      <c r="F95" s="95">
        <v>-3034</v>
      </c>
      <c r="G95" s="95"/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688</v>
      </c>
      <c r="C96" s="95"/>
      <c r="D96" s="95"/>
      <c r="E96" s="95"/>
      <c r="F96" s="95">
        <v>-6225</v>
      </c>
      <c r="G96" s="95"/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689</v>
      </c>
      <c r="C97" s="95"/>
      <c r="D97" s="95">
        <v>-4208</v>
      </c>
      <c r="E97" s="95">
        <v>-13799</v>
      </c>
      <c r="F97" s="95">
        <v>-34161</v>
      </c>
      <c r="G97" s="95"/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1">
      <c r="A98" s="83"/>
      <c r="B98" s="106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s="96" customFormat="1" ht="15.75">
      <c r="A99" s="93"/>
      <c r="B99" s="100" t="s">
        <v>264</v>
      </c>
      <c r="C99" s="110">
        <f>+C83+C85</f>
        <v>-549</v>
      </c>
      <c r="D99" s="110">
        <f>+D83+D85</f>
        <v>21652</v>
      </c>
      <c r="E99" s="110">
        <f>+E83+E85</f>
        <v>97195</v>
      </c>
      <c r="F99" s="110">
        <f>+F83+F85</f>
        <v>5585</v>
      </c>
      <c r="G99" s="277"/>
      <c r="H99" s="110">
        <f t="shared" ref="H99:L99" si="16">+H83+H85</f>
        <v>84433</v>
      </c>
      <c r="I99" s="110">
        <f t="shared" si="16"/>
        <v>89994</v>
      </c>
      <c r="J99" s="110">
        <f t="shared" si="16"/>
        <v>90490</v>
      </c>
      <c r="K99" s="110">
        <f t="shared" si="16"/>
        <v>90993</v>
      </c>
      <c r="L99" s="110">
        <f t="shared" si="16"/>
        <v>91500</v>
      </c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</row>
    <row r="100" spans="1:43" s="96" customFormat="1" ht="16.5" thickBot="1">
      <c r="A100" s="93"/>
      <c r="B100" s="101" t="s">
        <v>106</v>
      </c>
      <c r="C100" s="102" t="e">
        <f>+C99/C18</f>
        <v>#DIV/0!</v>
      </c>
      <c r="D100" s="102" t="e">
        <f>+D99/D18</f>
        <v>#DIV/0!</v>
      </c>
      <c r="E100" s="102" t="e">
        <f>+E99/E18</f>
        <v>#DIV/0!</v>
      </c>
      <c r="F100" s="102">
        <f>+F99/F18</f>
        <v>6.2055555555555558E-2</v>
      </c>
      <c r="G100" s="276"/>
      <c r="H100" s="102">
        <f t="shared" ref="H100:L100" si="17">+H99/H18</f>
        <v>0.4001563981042654</v>
      </c>
      <c r="I100" s="102">
        <f t="shared" si="17"/>
        <v>0.41663888888888889</v>
      </c>
      <c r="J100" s="102">
        <f t="shared" si="17"/>
        <v>0.41893518518518519</v>
      </c>
      <c r="K100" s="102">
        <f t="shared" si="17"/>
        <v>0.42126388888888888</v>
      </c>
      <c r="L100" s="102">
        <f t="shared" si="17"/>
        <v>0.4236111111111111</v>
      </c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</row>
    <row r="101" spans="1:43" ht="15.75">
      <c r="A101" s="83"/>
      <c r="B101" s="97" t="s">
        <v>30</v>
      </c>
      <c r="C101" s="89">
        <f>C102+C106</f>
        <v>0</v>
      </c>
      <c r="D101" s="89">
        <f>D102+D106</f>
        <v>0</v>
      </c>
      <c r="E101" s="89">
        <f>E102+E106</f>
        <v>0</v>
      </c>
      <c r="F101" s="89">
        <f>F102+F106</f>
        <v>106515</v>
      </c>
      <c r="G101" s="89"/>
      <c r="H101" s="89"/>
      <c r="I101" s="89"/>
      <c r="J101" s="89"/>
      <c r="K101" s="89"/>
      <c r="L101" s="89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</row>
    <row r="102" spans="1:43" ht="15.75" outlineLevel="1">
      <c r="A102" s="83"/>
      <c r="B102" s="105" t="s">
        <v>186</v>
      </c>
      <c r="C102" s="91">
        <f>SUM(C103:C104)</f>
        <v>0</v>
      </c>
      <c r="D102" s="91">
        <f>SUM(D103:D104)</f>
        <v>0</v>
      </c>
      <c r="E102" s="91">
        <f>SUM(E103:E104)</f>
        <v>0</v>
      </c>
      <c r="F102" s="91">
        <f>SUM(F103:F104)</f>
        <v>109515</v>
      </c>
      <c r="G102" s="91"/>
      <c r="H102" s="91"/>
      <c r="I102" s="91"/>
      <c r="J102" s="91"/>
      <c r="K102" s="91"/>
      <c r="L102" s="91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</row>
    <row r="103" spans="1:43" ht="15.75" outlineLevel="2">
      <c r="A103" s="83"/>
      <c r="B103" s="106" t="s">
        <v>691</v>
      </c>
      <c r="C103" s="95"/>
      <c r="D103" s="95"/>
      <c r="E103" s="95"/>
      <c r="F103" s="95">
        <v>106515</v>
      </c>
      <c r="G103" s="95"/>
      <c r="H103" s="95"/>
      <c r="I103" s="95"/>
      <c r="J103" s="95"/>
      <c r="K103" s="95"/>
      <c r="L103" s="95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ht="15.75" outlineLevel="2">
      <c r="A104" s="83"/>
      <c r="B104" s="106" t="s">
        <v>692</v>
      </c>
      <c r="C104" s="95"/>
      <c r="D104" s="95"/>
      <c r="E104" s="95"/>
      <c r="F104" s="95">
        <v>3000</v>
      </c>
      <c r="G104" s="95"/>
      <c r="H104" s="95"/>
      <c r="I104" s="95"/>
      <c r="J104" s="95"/>
      <c r="K104" s="95"/>
      <c r="L104" s="95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</row>
    <row r="105" spans="1:43" ht="15.75" outlineLevel="2">
      <c r="A105" s="83"/>
      <c r="B105" s="106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s="92" customFormat="1" ht="12.75" outlineLevel="1">
      <c r="A106" s="90"/>
      <c r="B106" s="105" t="s">
        <v>187</v>
      </c>
      <c r="C106" s="91">
        <f>SUM(C107:C108)</f>
        <v>0</v>
      </c>
      <c r="D106" s="91">
        <f>SUM(D107:D108)</f>
        <v>0</v>
      </c>
      <c r="E106" s="91">
        <f>SUM(E107:E108)</f>
        <v>0</v>
      </c>
      <c r="F106" s="91">
        <f>SUM(F107:F108)</f>
        <v>-3000</v>
      </c>
      <c r="G106" s="91"/>
      <c r="H106" s="91"/>
      <c r="I106" s="91"/>
      <c r="J106" s="91"/>
      <c r="K106" s="91"/>
      <c r="L106" s="91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</row>
    <row r="107" spans="1:43" ht="15.75" outlineLevel="2">
      <c r="A107" s="83"/>
      <c r="B107" s="106" t="s">
        <v>693</v>
      </c>
      <c r="C107" s="95"/>
      <c r="D107" s="95"/>
      <c r="E107" s="95"/>
      <c r="F107" s="95">
        <v>-3000</v>
      </c>
      <c r="G107" s="95"/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 outlineLevel="1">
      <c r="A108" s="8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</row>
    <row r="109" spans="1:43" ht="15.75">
      <c r="A109" s="83"/>
      <c r="B109" s="83" t="s">
        <v>259</v>
      </c>
      <c r="C109" s="89">
        <f>SUM(C110:C111)</f>
        <v>0</v>
      </c>
      <c r="D109" s="89">
        <f>SUM(D110:D111)</f>
        <v>-253</v>
      </c>
      <c r="E109" s="89">
        <f>SUM(E110:E111)</f>
        <v>0</v>
      </c>
      <c r="F109" s="89">
        <f>SUM(F110:F111)</f>
        <v>-2386</v>
      </c>
      <c r="G109" s="89"/>
      <c r="H109" s="89">
        <v>-5540</v>
      </c>
      <c r="I109" s="89">
        <v>-6374</v>
      </c>
      <c r="J109" s="89">
        <v>-6497</v>
      </c>
      <c r="K109" s="89">
        <v>-6623</v>
      </c>
      <c r="L109" s="89">
        <v>-6750</v>
      </c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</row>
    <row r="110" spans="1:43" ht="15.75" outlineLevel="1">
      <c r="A110" s="83"/>
      <c r="B110" s="183" t="s">
        <v>694</v>
      </c>
      <c r="C110" s="95"/>
      <c r="D110" s="95">
        <v>-253</v>
      </c>
      <c r="E110" s="95"/>
      <c r="F110" s="95">
        <v>-2386</v>
      </c>
      <c r="G110" s="95"/>
      <c r="H110" s="95"/>
      <c r="I110" s="95"/>
      <c r="J110" s="95"/>
      <c r="K110" s="95"/>
      <c r="L110" s="95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</row>
    <row r="111" spans="1:43" ht="15.75" outlineLevel="1">
      <c r="A111" s="83"/>
      <c r="B111" s="183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1">
      <c r="A112" s="83"/>
      <c r="B112" s="212" t="s">
        <v>265</v>
      </c>
      <c r="C112" s="89"/>
      <c r="D112" s="89">
        <v>-1</v>
      </c>
      <c r="E112" s="89">
        <v>1</v>
      </c>
      <c r="F112" s="89">
        <v>-1</v>
      </c>
      <c r="G112" s="89"/>
      <c r="H112" s="89"/>
      <c r="I112" s="89"/>
      <c r="J112" s="89"/>
      <c r="K112" s="89"/>
      <c r="L112" s="89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1">
      <c r="A113" s="83"/>
      <c r="B113" s="83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>
      <c r="A114" s="83"/>
      <c r="B114" s="100" t="s">
        <v>32</v>
      </c>
      <c r="C114" s="182">
        <f>C83+C85+C101+C109+C112</f>
        <v>-549</v>
      </c>
      <c r="D114" s="182">
        <f>D83+D85+D101+D109+D112</f>
        <v>21398</v>
      </c>
      <c r="E114" s="182">
        <f>E83+E85+E101+E109+E112</f>
        <v>97196</v>
      </c>
      <c r="F114" s="182">
        <f>F83+F85+F101+F109+F112</f>
        <v>109713</v>
      </c>
      <c r="G114" s="277"/>
      <c r="H114" s="182">
        <f t="shared" ref="H114:L114" si="18">H83+H85+H101+H109+H112</f>
        <v>78893</v>
      </c>
      <c r="I114" s="182">
        <f t="shared" si="18"/>
        <v>83620</v>
      </c>
      <c r="J114" s="182">
        <f t="shared" si="18"/>
        <v>83993</v>
      </c>
      <c r="K114" s="182">
        <f t="shared" si="18"/>
        <v>84370</v>
      </c>
      <c r="L114" s="182">
        <f t="shared" si="18"/>
        <v>84750</v>
      </c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6.5" thickBot="1">
      <c r="A115" s="83"/>
      <c r="B115" s="101" t="s">
        <v>106</v>
      </c>
      <c r="C115" s="102" t="e">
        <f>C114/C18</f>
        <v>#DIV/0!</v>
      </c>
      <c r="D115" s="102" t="e">
        <f>D114/D18</f>
        <v>#DIV/0!</v>
      </c>
      <c r="E115" s="102" t="e">
        <f>E114/E18</f>
        <v>#DIV/0!</v>
      </c>
      <c r="F115" s="102">
        <f>F114/F18</f>
        <v>1.2190333333333334</v>
      </c>
      <c r="G115" s="276"/>
      <c r="H115" s="102">
        <f t="shared" ref="H115:L115" si="19">H114/H18</f>
        <v>0.37390047393364928</v>
      </c>
      <c r="I115" s="102">
        <f t="shared" si="19"/>
        <v>0.38712962962962966</v>
      </c>
      <c r="J115" s="102">
        <f t="shared" si="19"/>
        <v>0.3888564814814815</v>
      </c>
      <c r="K115" s="102">
        <f t="shared" si="19"/>
        <v>0.39060185185185187</v>
      </c>
      <c r="L115" s="102">
        <f t="shared" si="19"/>
        <v>0.3923611111111111</v>
      </c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5.75">
      <c r="A117" s="83"/>
      <c r="B117" s="112" t="s">
        <v>189</v>
      </c>
      <c r="C117" s="113"/>
      <c r="D117" s="113"/>
      <c r="E117" s="113"/>
      <c r="F117" s="113"/>
      <c r="G117" s="278"/>
      <c r="H117" s="113"/>
      <c r="I117" s="113"/>
      <c r="J117" s="113"/>
      <c r="K117" s="113"/>
      <c r="L117" s="11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</row>
    <row r="118" spans="1:43" ht="15.75">
      <c r="A118" s="83"/>
      <c r="B118" s="114" t="s">
        <v>34</v>
      </c>
      <c r="C118" s="115" t="str">
        <f>IFERROR(C15/#REF!-1,"na ")</f>
        <v xml:space="preserve">na </v>
      </c>
      <c r="D118" s="115" t="str">
        <f t="shared" ref="D118:L118" si="20">IFERROR(D15/C15-1,"na ")</f>
        <v xml:space="preserve">na </v>
      </c>
      <c r="E118" s="115" t="str">
        <f t="shared" si="20"/>
        <v xml:space="preserve">na </v>
      </c>
      <c r="F118" s="115" t="str">
        <f t="shared" si="20"/>
        <v xml:space="preserve">na </v>
      </c>
      <c r="G118" s="279"/>
      <c r="H118" s="115">
        <f>IFERROR(H15/F15-1,"na ")</f>
        <v>1.3444444444444446</v>
      </c>
      <c r="I118" s="115">
        <f t="shared" si="20"/>
        <v>2.3696682464454888E-2</v>
      </c>
      <c r="J118" s="115">
        <f t="shared" si="20"/>
        <v>0</v>
      </c>
      <c r="K118" s="115">
        <f t="shared" si="20"/>
        <v>0</v>
      </c>
      <c r="L118" s="115">
        <f t="shared" si="20"/>
        <v>0</v>
      </c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ht="15.75">
      <c r="A119" s="83"/>
      <c r="B119" s="114" t="s">
        <v>16</v>
      </c>
      <c r="C119" s="115" t="e">
        <f t="shared" ref="C119:L119" si="21">C24/C15</f>
        <v>#DIV/0!</v>
      </c>
      <c r="D119" s="115" t="e">
        <f t="shared" si="21"/>
        <v>#DIV/0!</v>
      </c>
      <c r="E119" s="115" t="e">
        <f t="shared" si="21"/>
        <v>#DIV/0!</v>
      </c>
      <c r="F119" s="115">
        <f t="shared" si="21"/>
        <v>1</v>
      </c>
      <c r="G119" s="279"/>
      <c r="H119" s="115">
        <f>H24/H15</f>
        <v>1</v>
      </c>
      <c r="I119" s="115">
        <f t="shared" si="21"/>
        <v>1</v>
      </c>
      <c r="J119" s="115">
        <f t="shared" si="21"/>
        <v>1</v>
      </c>
      <c r="K119" s="115">
        <f t="shared" si="21"/>
        <v>1</v>
      </c>
      <c r="L119" s="115">
        <f t="shared" si="21"/>
        <v>1</v>
      </c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</row>
    <row r="120" spans="1:43" ht="15.75">
      <c r="A120" s="83"/>
      <c r="B120" s="114" t="s">
        <v>24</v>
      </c>
      <c r="C120" s="115" t="e">
        <f t="shared" ref="C120:L120" si="22">C71/C15</f>
        <v>#DIV/0!</v>
      </c>
      <c r="D120" s="115" t="e">
        <f t="shared" si="22"/>
        <v>#DIV/0!</v>
      </c>
      <c r="E120" s="115" t="e">
        <f t="shared" si="22"/>
        <v>#DIV/0!</v>
      </c>
      <c r="F120" s="115">
        <f t="shared" si="22"/>
        <v>0.18517777777777777</v>
      </c>
      <c r="G120" s="279"/>
      <c r="H120" s="115">
        <f t="shared" si="22"/>
        <v>0.20727014218009479</v>
      </c>
      <c r="I120" s="115">
        <f t="shared" si="22"/>
        <v>0.22562037037037036</v>
      </c>
      <c r="J120" s="115">
        <f t="shared" si="22"/>
        <v>0.22562037037037036</v>
      </c>
      <c r="K120" s="115">
        <f t="shared" si="22"/>
        <v>0.22562037037037036</v>
      </c>
      <c r="L120" s="115">
        <f t="shared" si="22"/>
        <v>0.22562037037037036</v>
      </c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</row>
    <row r="121" spans="1:43" ht="15.75">
      <c r="A121" s="83"/>
      <c r="B121" s="114" t="s">
        <v>26</v>
      </c>
      <c r="C121" s="115" t="e">
        <f t="shared" ref="C121:L121" si="23">C83/C15</f>
        <v>#DIV/0!</v>
      </c>
      <c r="D121" s="115" t="e">
        <f t="shared" si="23"/>
        <v>#DIV/0!</v>
      </c>
      <c r="E121" s="115" t="e">
        <f t="shared" si="23"/>
        <v>#DIV/0!</v>
      </c>
      <c r="F121" s="115">
        <f t="shared" si="23"/>
        <v>0.19262222222222222</v>
      </c>
      <c r="G121" s="279"/>
      <c r="H121" s="115">
        <f t="shared" si="23"/>
        <v>0.20727014218009479</v>
      </c>
      <c r="I121" s="115">
        <f t="shared" si="23"/>
        <v>0.22562037037037036</v>
      </c>
      <c r="J121" s="115">
        <f t="shared" si="23"/>
        <v>0.22562037037037036</v>
      </c>
      <c r="K121" s="115">
        <f t="shared" si="23"/>
        <v>0.22562037037037036</v>
      </c>
      <c r="L121" s="115">
        <f t="shared" si="23"/>
        <v>0.22562037037037036</v>
      </c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>
      <c r="A122" s="83"/>
      <c r="B122" s="116" t="s">
        <v>35</v>
      </c>
      <c r="C122" s="117" t="e">
        <f t="shared" ref="C122:L122" si="24">C114/C15</f>
        <v>#DIV/0!</v>
      </c>
      <c r="D122" s="117" t="e">
        <f t="shared" si="24"/>
        <v>#DIV/0!</v>
      </c>
      <c r="E122" s="117" t="e">
        <f t="shared" si="24"/>
        <v>#DIV/0!</v>
      </c>
      <c r="F122" s="117">
        <f t="shared" si="24"/>
        <v>1.2190333333333334</v>
      </c>
      <c r="G122" s="279"/>
      <c r="H122" s="117">
        <f t="shared" si="24"/>
        <v>0.37390047393364928</v>
      </c>
      <c r="I122" s="117">
        <f t="shared" si="24"/>
        <v>0.38712962962962966</v>
      </c>
      <c r="J122" s="117">
        <f t="shared" si="24"/>
        <v>0.3888564814814815</v>
      </c>
      <c r="K122" s="117">
        <f t="shared" si="24"/>
        <v>0.39060185185185187</v>
      </c>
      <c r="L122" s="117">
        <f t="shared" si="24"/>
        <v>0.3923611111111111</v>
      </c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</row>
    <row r="123" spans="1:43" ht="15.7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>
      <c r="A126" s="107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9"/>
      <c r="P126" s="109"/>
      <c r="Q126" s="109"/>
      <c r="R126" s="109"/>
      <c r="S126" s="109"/>
      <c r="T126" s="109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</row>
    <row r="127" spans="1:43" ht="15.7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9"/>
      <c r="P127" s="109"/>
      <c r="Q127" s="109"/>
      <c r="R127" s="109"/>
      <c r="S127" s="109"/>
      <c r="T127" s="109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</row>
    <row r="128" spans="1:43" ht="15.75">
      <c r="A128" s="107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9"/>
      <c r="P128" s="109"/>
      <c r="Q128" s="109"/>
      <c r="R128" s="109"/>
      <c r="S128" s="109"/>
      <c r="T128" s="109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</row>
    <row r="129" spans="1:43" ht="15.75">
      <c r="A129" s="107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9"/>
      <c r="P129" s="109"/>
      <c r="Q129" s="109"/>
      <c r="R129" s="109"/>
      <c r="S129" s="109"/>
      <c r="T129" s="109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</row>
    <row r="130" spans="1:43" ht="15.75">
      <c r="A130" s="107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9"/>
      <c r="P130" s="109"/>
      <c r="Q130" s="109"/>
      <c r="R130" s="109"/>
      <c r="S130" s="109"/>
      <c r="T130" s="109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</row>
    <row r="131" spans="1:43" ht="15.75">
      <c r="A131" s="107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9"/>
      <c r="P131" s="109"/>
      <c r="Q131" s="109"/>
      <c r="R131" s="109"/>
      <c r="S131" s="109"/>
      <c r="T131" s="109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</row>
    <row r="132" spans="1:43" ht="15.75">
      <c r="A132" s="107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9"/>
      <c r="P132" s="109"/>
      <c r="Q132" s="109"/>
      <c r="R132" s="109"/>
      <c r="S132" s="109"/>
      <c r="T132" s="109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</row>
    <row r="133" spans="1:43" ht="15.7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ht="15.75">
      <c r="A134" s="107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9"/>
      <c r="P134" s="109"/>
      <c r="Q134" s="109"/>
      <c r="R134" s="109"/>
      <c r="S134" s="109"/>
      <c r="T134" s="109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</row>
    <row r="135" spans="1:43" ht="15.75">
      <c r="A135" s="107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9"/>
      <c r="P135" s="109"/>
      <c r="Q135" s="109"/>
      <c r="R135" s="109"/>
      <c r="S135" s="109"/>
      <c r="T135" s="109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</row>
    <row r="136" spans="1:43" ht="15.75">
      <c r="A136" s="107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9"/>
      <c r="P136" s="109"/>
      <c r="Q136" s="109"/>
      <c r="R136" s="109"/>
      <c r="S136" s="109"/>
      <c r="T136" s="109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</row>
    <row r="137" spans="1:43" ht="15.75">
      <c r="A137" s="107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9"/>
      <c r="P137" s="109"/>
      <c r="Q137" s="109"/>
      <c r="R137" s="109"/>
      <c r="S137" s="109"/>
      <c r="T137" s="109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</row>
    <row r="138" spans="1:43" ht="15.75">
      <c r="A138" s="107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9"/>
      <c r="P138" s="109"/>
      <c r="Q138" s="109"/>
      <c r="R138" s="109"/>
      <c r="S138" s="109"/>
      <c r="T138" s="109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</row>
    <row r="139" spans="1:43" ht="15.75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</row>
    <row r="140" spans="1:43" ht="15.75">
      <c r="A140" s="107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9"/>
      <c r="P140" s="109"/>
      <c r="Q140" s="109"/>
      <c r="R140" s="109"/>
      <c r="S140" s="109"/>
      <c r="T140" s="109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</row>
    <row r="141" spans="1:43" ht="15.75">
      <c r="A141" s="107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9"/>
      <c r="P141" s="109"/>
      <c r="Q141" s="109"/>
      <c r="R141" s="109"/>
      <c r="S141" s="109"/>
      <c r="T141" s="109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</row>
    <row r="142" spans="1:43" ht="15.75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</row>
    <row r="143" spans="1:43" ht="15.75">
      <c r="A143" s="107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9"/>
      <c r="P143" s="109"/>
      <c r="Q143" s="109"/>
      <c r="R143" s="109"/>
      <c r="S143" s="109"/>
      <c r="T143" s="109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</row>
    <row r="144" spans="1:43" ht="15.75">
      <c r="A144" s="107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9"/>
      <c r="P144" s="109"/>
      <c r="Q144" s="109"/>
      <c r="R144" s="109"/>
      <c r="S144" s="109"/>
      <c r="T144" s="109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</row>
    <row r="145" spans="1:43" ht="15.75">
      <c r="A145" s="107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9"/>
      <c r="P145" s="109"/>
      <c r="Q145" s="109"/>
      <c r="R145" s="109"/>
      <c r="S145" s="109"/>
      <c r="T145" s="109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</row>
    <row r="146" spans="1:43" ht="15.75">
      <c r="A146" s="107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9"/>
      <c r="P146" s="109"/>
      <c r="Q146" s="109"/>
      <c r="R146" s="109"/>
      <c r="S146" s="109"/>
      <c r="T146" s="109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</row>
    <row r="147" spans="1:43" ht="15.75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ht="15.75">
      <c r="A148" s="107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9"/>
      <c r="P148" s="109"/>
      <c r="Q148" s="109"/>
      <c r="R148" s="109"/>
      <c r="S148" s="109"/>
      <c r="T148" s="109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</row>
    <row r="149" spans="1:43" ht="15.75">
      <c r="A149" s="107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9"/>
      <c r="P149" s="109"/>
      <c r="Q149" s="109"/>
      <c r="R149" s="109"/>
      <c r="S149" s="109"/>
      <c r="T149" s="109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</row>
    <row r="150" spans="1:43" ht="15.75">
      <c r="A150" s="107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9"/>
      <c r="P150" s="109"/>
      <c r="Q150" s="109"/>
      <c r="R150" s="109"/>
      <c r="S150" s="109"/>
      <c r="T150" s="109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</row>
    <row r="151" spans="1:43" ht="15.75">
      <c r="A151" s="107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9"/>
      <c r="P151" s="109"/>
      <c r="Q151" s="109"/>
      <c r="R151" s="109"/>
      <c r="S151" s="109"/>
      <c r="T151" s="109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</row>
    <row r="152" spans="1:43" ht="15.7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 ht="15.75">
      <c r="A153" s="107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9"/>
      <c r="P153" s="109"/>
      <c r="Q153" s="109"/>
      <c r="R153" s="109"/>
      <c r="S153" s="109"/>
      <c r="T153" s="109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</row>
    <row r="154" spans="1:43" ht="15.75">
      <c r="A154" s="107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9"/>
      <c r="P154" s="109"/>
      <c r="Q154" s="109"/>
      <c r="R154" s="109"/>
      <c r="S154" s="109"/>
      <c r="T154" s="109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</row>
    <row r="155" spans="1:43" ht="15.75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</row>
    <row r="156" spans="1:43" ht="15.75">
      <c r="A156" s="107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9"/>
      <c r="P156" s="109"/>
      <c r="Q156" s="109"/>
      <c r="R156" s="109"/>
      <c r="S156" s="109"/>
      <c r="T156" s="109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</row>
    <row r="157" spans="1:43" ht="15.75">
      <c r="A157" s="107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9"/>
      <c r="P157" s="109"/>
      <c r="Q157" s="109"/>
      <c r="R157" s="109"/>
      <c r="S157" s="109"/>
      <c r="T157" s="109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</row>
    <row r="158" spans="1:43" ht="15.75">
      <c r="A158" s="107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9"/>
      <c r="P158" s="109"/>
      <c r="Q158" s="109"/>
      <c r="R158" s="109"/>
      <c r="S158" s="109"/>
      <c r="T158" s="109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</row>
    <row r="159" spans="1:43" ht="15.75">
      <c r="A159" s="107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9"/>
      <c r="P159" s="109"/>
      <c r="Q159" s="109"/>
      <c r="R159" s="109"/>
      <c r="S159" s="109"/>
      <c r="T159" s="109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</row>
    <row r="160" spans="1:43" ht="15.75">
      <c r="A160" s="107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9"/>
      <c r="P160" s="109"/>
      <c r="Q160" s="109"/>
      <c r="R160" s="109"/>
      <c r="S160" s="109"/>
      <c r="T160" s="109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</row>
    <row r="161" spans="1:43" ht="15.75">
      <c r="A161" s="107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9"/>
      <c r="P161" s="109"/>
      <c r="Q161" s="109"/>
      <c r="R161" s="109"/>
      <c r="S161" s="109"/>
      <c r="T161" s="109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</row>
    <row r="162" spans="1:43" ht="15.75">
      <c r="A162" s="107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9"/>
      <c r="P162" s="109"/>
      <c r="Q162" s="109"/>
      <c r="R162" s="109"/>
      <c r="S162" s="109"/>
      <c r="T162" s="109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</row>
    <row r="163" spans="1:43" ht="15.75">
      <c r="A163" s="107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9"/>
      <c r="P163" s="109"/>
      <c r="Q163" s="109"/>
      <c r="R163" s="109"/>
      <c r="S163" s="109"/>
      <c r="T163" s="109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</row>
    <row r="164" spans="1:43" ht="15.75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</row>
    <row r="165" spans="1:43" ht="15.75">
      <c r="A165" s="107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9"/>
      <c r="P165" s="109"/>
      <c r="Q165" s="109"/>
      <c r="R165" s="109"/>
      <c r="S165" s="109"/>
      <c r="T165" s="109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</row>
    <row r="166" spans="1:43" ht="15.75">
      <c r="A166" s="107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9"/>
      <c r="P166" s="109"/>
      <c r="Q166" s="109"/>
      <c r="R166" s="109"/>
      <c r="S166" s="109"/>
      <c r="T166" s="109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</row>
    <row r="167" spans="1:43" ht="15.75">
      <c r="A167" s="107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9"/>
      <c r="P167" s="109"/>
      <c r="Q167" s="109"/>
      <c r="R167" s="109"/>
      <c r="S167" s="109"/>
      <c r="T167" s="109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</row>
    <row r="168" spans="1:43" ht="15.75">
      <c r="A168" s="107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9"/>
      <c r="P168" s="109"/>
      <c r="Q168" s="109"/>
      <c r="R168" s="109"/>
      <c r="S168" s="109"/>
      <c r="T168" s="109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</row>
    <row r="169" spans="1:43" ht="15.7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</row>
    <row r="170" spans="1:43" ht="15.75">
      <c r="A170" s="107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9"/>
      <c r="P170" s="109"/>
      <c r="Q170" s="109"/>
      <c r="R170" s="109"/>
      <c r="S170" s="109"/>
      <c r="T170" s="109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</row>
    <row r="171" spans="1:43" ht="15.75">
      <c r="A171" s="107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9"/>
      <c r="P171" s="109"/>
      <c r="Q171" s="109"/>
      <c r="R171" s="109"/>
      <c r="S171" s="109"/>
      <c r="T171" s="109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</row>
    <row r="172" spans="1:43" ht="15.75">
      <c r="A172" s="107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</row>
    <row r="173" spans="1:43" ht="15.75">
      <c r="A173" s="107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</row>
    <row r="174" spans="1:43" ht="15.7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D926A-5E27-7B4A-BEF0-6F71F36BE6EC}">
  <sheetPr codeName="Feuil25">
    <tabColor theme="9" tint="0.79998168889431442"/>
  </sheetPr>
  <dimension ref="B2:XFD82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4" sqref="A4"/>
      <selection pane="bottomRight" activeCell="M77" sqref="M77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 16384:16384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 16384:16384" ht="18" customHeight="1">
      <c r="B3" s="343"/>
      <c r="C3" s="244">
        <v>44196</v>
      </c>
      <c r="D3" s="244">
        <v>44561</v>
      </c>
      <c r="E3" s="244">
        <v>44926</v>
      </c>
      <c r="F3" s="244">
        <v>45291</v>
      </c>
      <c r="G3" s="244"/>
      <c r="H3" s="248">
        <v>45657</v>
      </c>
      <c r="I3" s="248">
        <v>46022</v>
      </c>
      <c r="J3" s="248">
        <v>46387</v>
      </c>
      <c r="K3" s="248">
        <v>46752</v>
      </c>
      <c r="L3" s="248">
        <v>47118</v>
      </c>
      <c r="M3" s="195"/>
    </row>
    <row r="4" spans="2:13 16384:16384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 16384:16384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 16384:16384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 16384:16384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 16384:16384">
      <c r="B8" s="151" t="s">
        <v>26</v>
      </c>
      <c r="C8" s="191"/>
      <c r="D8" s="191">
        <f>'SC des SUCS - P&amp;L'!D83</f>
        <v>-3177</v>
      </c>
      <c r="E8" s="191">
        <f>'SC des SUCS - P&amp;L'!E83</f>
        <v>-5320</v>
      </c>
      <c r="F8" s="191">
        <f>'SC des SUCS - P&amp;L'!F83</f>
        <v>17336</v>
      </c>
      <c r="G8" s="152"/>
      <c r="H8" s="191">
        <f>'SC des SUCS - P&amp;L'!H83</f>
        <v>43734</v>
      </c>
      <c r="I8" s="191">
        <f>'SC des SUCS - P&amp;L'!I83</f>
        <v>48734</v>
      </c>
      <c r="J8" s="191">
        <f>'SC des SUCS - P&amp;L'!J83</f>
        <v>48734</v>
      </c>
      <c r="K8" s="191">
        <f>'SC des SUCS - P&amp;L'!K83</f>
        <v>48734</v>
      </c>
      <c r="L8" s="191">
        <f>'SC des SUCS - P&amp;L'!L83</f>
        <v>48734</v>
      </c>
      <c r="M8" s="191"/>
    </row>
    <row r="9" spans="2:13 16384:16384">
      <c r="B9" s="148" t="s">
        <v>225</v>
      </c>
      <c r="C9" s="191"/>
      <c r="D9" s="191">
        <f>'SC des SUCS - P&amp;L'!D106</f>
        <v>0</v>
      </c>
      <c r="E9" s="191">
        <f>'SC des SUCS - P&amp;L'!E106</f>
        <v>0</v>
      </c>
      <c r="F9" s="191">
        <f>'SC des SUCS - P&amp;L'!F106</f>
        <v>-3000</v>
      </c>
      <c r="G9" s="152"/>
      <c r="H9" s="191"/>
      <c r="I9" s="191"/>
      <c r="J9" s="191"/>
      <c r="K9" s="191"/>
      <c r="L9" s="191"/>
      <c r="M9" s="191"/>
    </row>
    <row r="10" spans="2:13 16384:16384">
      <c r="B10" s="148" t="s">
        <v>226</v>
      </c>
      <c r="C10" s="191"/>
      <c r="D10" s="191">
        <f>'SC des SUCS - P&amp;L'!D102</f>
        <v>0</v>
      </c>
      <c r="E10" s="191">
        <f>'SC des SUCS - P&amp;L'!E102</f>
        <v>0</v>
      </c>
      <c r="F10" s="191">
        <f>'SC des SUCS - P&amp;L'!F102</f>
        <v>109515</v>
      </c>
      <c r="G10" s="152"/>
      <c r="H10" s="191"/>
      <c r="I10" s="191"/>
      <c r="J10" s="191"/>
      <c r="K10" s="191"/>
      <c r="L10" s="191"/>
      <c r="M10" s="191"/>
    </row>
    <row r="11" spans="2:13 16384:16384">
      <c r="B11" s="148" t="s">
        <v>227</v>
      </c>
      <c r="C11" s="152"/>
      <c r="D11" s="152">
        <f>'SC des SUCS - P&amp;L'!D110</f>
        <v>-253</v>
      </c>
      <c r="E11" s="152">
        <f>'SC des SUCS - P&amp;L'!E110</f>
        <v>0</v>
      </c>
      <c r="F11" s="152">
        <f>'SC des SUCS - P&amp;L'!F110</f>
        <v>-2386</v>
      </c>
      <c r="G11" s="152"/>
      <c r="H11" s="152">
        <f>'SC des SUCS - P&amp;L'!H109</f>
        <v>-5540</v>
      </c>
      <c r="I11" s="152">
        <f>'SC des SUCS - P&amp;L'!I109</f>
        <v>-6374</v>
      </c>
      <c r="J11" s="152">
        <f>'SC des SUCS - P&amp;L'!J109</f>
        <v>-6497</v>
      </c>
      <c r="K11" s="152">
        <f>'SC des SUCS - P&amp;L'!K109</f>
        <v>-6623</v>
      </c>
      <c r="L11" s="152">
        <f>'SC des SUCS - P&amp;L'!L109</f>
        <v>-6750</v>
      </c>
      <c r="M11" s="191"/>
    </row>
    <row r="12" spans="2:13 16384:16384">
      <c r="B12" s="153" t="s">
        <v>228</v>
      </c>
      <c r="C12" s="154"/>
      <c r="D12" s="154">
        <f>SUM(D8:D11)</f>
        <v>-3430</v>
      </c>
      <c r="E12" s="154">
        <f>SUM(E8:E11)</f>
        <v>-5320</v>
      </c>
      <c r="F12" s="154">
        <f>SUM(F8:F11)</f>
        <v>121465</v>
      </c>
      <c r="G12" s="154"/>
      <c r="H12" s="154">
        <f>SUM(H8:H11)</f>
        <v>38194</v>
      </c>
      <c r="I12" s="154">
        <f t="shared" ref="I12:L12" si="0">SUM(I8:I11)</f>
        <v>42360</v>
      </c>
      <c r="J12" s="154">
        <f t="shared" si="0"/>
        <v>42237</v>
      </c>
      <c r="K12" s="154">
        <f t="shared" si="0"/>
        <v>42111</v>
      </c>
      <c r="L12" s="154">
        <f t="shared" si="0"/>
        <v>41984</v>
      </c>
      <c r="M12" s="199"/>
    </row>
    <row r="13" spans="2:13 16384:16384">
      <c r="B13" s="148" t="s">
        <v>229</v>
      </c>
      <c r="C13" s="191"/>
      <c r="D13" s="191"/>
      <c r="E13" s="191"/>
      <c r="F13" s="191"/>
      <c r="G13" s="152"/>
      <c r="H13" s="191"/>
      <c r="I13" s="191"/>
      <c r="J13" s="191"/>
      <c r="K13" s="191"/>
      <c r="L13" s="191"/>
      <c r="M13" s="191"/>
    </row>
    <row r="14" spans="2:13 16384:16384">
      <c r="B14" s="148" t="s">
        <v>230</v>
      </c>
      <c r="C14" s="191"/>
      <c r="D14" s="191"/>
      <c r="E14" s="191"/>
      <c r="F14" s="191"/>
      <c r="G14" s="152"/>
      <c r="H14" s="191"/>
      <c r="I14" s="191"/>
      <c r="J14" s="191"/>
      <c r="K14" s="191"/>
      <c r="L14" s="191"/>
      <c r="M14" s="191"/>
    </row>
    <row r="15" spans="2:13 16384:16384">
      <c r="B15" s="153" t="s">
        <v>231</v>
      </c>
      <c r="C15" s="154"/>
      <c r="D15" s="154">
        <f>SUM(D16:D26)</f>
        <v>-53695</v>
      </c>
      <c r="E15" s="154">
        <f>SUM(E16:E26)</f>
        <v>-143661</v>
      </c>
      <c r="F15" s="154">
        <f>SUM(F16:F26)</f>
        <v>-202476</v>
      </c>
      <c r="G15" s="154"/>
      <c r="H15" s="154">
        <f>SUM(H16:H27)</f>
        <v>26094</v>
      </c>
      <c r="I15" s="154">
        <f t="shared" ref="I15:L15" si="1">SUM(I16:I27)</f>
        <v>-5619</v>
      </c>
      <c r="J15" s="154">
        <f t="shared" si="1"/>
        <v>-713</v>
      </c>
      <c r="K15" s="154">
        <f t="shared" si="1"/>
        <v>6</v>
      </c>
      <c r="L15" s="154">
        <f t="shared" si="1"/>
        <v>-1</v>
      </c>
      <c r="M15" s="199"/>
    </row>
    <row r="16" spans="2:13 16384:16384" s="145" customFormat="1" ht="15" hidden="1" outlineLevel="1">
      <c r="B16" s="155" t="s">
        <v>232</v>
      </c>
      <c r="C16" s="156"/>
      <c r="D16" s="156">
        <f>-('SC des SUCS - Bilan'!D14-'SC des SUCS - Bilan'!C14)</f>
        <v>0</v>
      </c>
      <c r="E16" s="156">
        <f>-('SC des SUCS - Bilan'!E14-'SC des SUCS - Bilan'!D14)</f>
        <v>0</v>
      </c>
      <c r="F16" s="156">
        <f>-('SC des SUCS - Bilan'!F14-'SC des SUCS - Bilan'!E14)</f>
        <v>0</v>
      </c>
      <c r="G16" s="156"/>
      <c r="H16" s="156">
        <f>-('SC des SUCS - Bilan'!H14-'SC des SUCS - Bilan'!F14)</f>
        <v>0</v>
      </c>
      <c r="I16" s="156">
        <f>-('SC des SUCS - Bilan'!I14-'SC des SUCS - Bilan'!H14)</f>
        <v>0</v>
      </c>
      <c r="J16" s="156">
        <f>-('SC des SUCS - Bilan'!J14-'SC des SUCS - Bilan'!I14)</f>
        <v>0</v>
      </c>
      <c r="K16" s="156">
        <f>-('SC des SUCS - Bilan'!K14-'SC des SUCS - Bilan'!J14)</f>
        <v>0</v>
      </c>
      <c r="L16" s="156">
        <f>-('SC des SUCS - Bilan'!L14-'SC des SUCS - Bilan'!K14)</f>
        <v>0</v>
      </c>
      <c r="M16" s="200"/>
      <c r="XFD16" s="156"/>
    </row>
    <row r="17" spans="2:13 16384:16384" s="145" customFormat="1" ht="15" hidden="1" outlineLevel="1">
      <c r="B17" s="155" t="s">
        <v>233</v>
      </c>
      <c r="C17" s="156"/>
      <c r="D17" s="156">
        <f>-('SC des SUCS - Bilan'!D15-'SC des SUCS - Bilan'!C15)</f>
        <v>0</v>
      </c>
      <c r="E17" s="156">
        <f>-('SC des SUCS - Bilan'!E15-'SC des SUCS - Bilan'!D15)</f>
        <v>0</v>
      </c>
      <c r="F17" s="156">
        <f>-('SC des SUCS - Bilan'!F15-'SC des SUCS - Bilan'!E15)</f>
        <v>0</v>
      </c>
      <c r="G17" s="156"/>
      <c r="H17" s="156">
        <f>-('SC des SUCS - Bilan'!H15-'SC des SUCS - Bilan'!F15)</f>
        <v>0</v>
      </c>
      <c r="I17" s="156">
        <f>-('SC des SUCS - Bilan'!I15-'SC des SUCS - Bilan'!H15)</f>
        <v>0</v>
      </c>
      <c r="J17" s="156">
        <f>-('SC des SUCS - Bilan'!J15-'SC des SUCS - Bilan'!I15)</f>
        <v>0</v>
      </c>
      <c r="K17" s="156">
        <f>-('SC des SUCS - Bilan'!K15-'SC des SUCS - Bilan'!J15)</f>
        <v>0</v>
      </c>
      <c r="L17" s="156">
        <f>-('SC des SUCS - Bilan'!L15-'SC des SUCS - Bilan'!K15)</f>
        <v>0</v>
      </c>
      <c r="M17" s="200"/>
      <c r="XFD17" s="156"/>
    </row>
    <row r="18" spans="2:13 16384:16384" s="145" customFormat="1" ht="15" hidden="1" outlineLevel="1">
      <c r="B18" s="155" t="s">
        <v>234</v>
      </c>
      <c r="C18" s="156"/>
      <c r="D18" s="156">
        <f>-('SC des SUCS - Bilan'!D16-'SC des SUCS - Bilan'!C16)</f>
        <v>0</v>
      </c>
      <c r="E18" s="156">
        <f>-('SC des SUCS - Bilan'!E16-'SC des SUCS - Bilan'!D16)</f>
        <v>0</v>
      </c>
      <c r="F18" s="156">
        <f>-('SC des SUCS - Bilan'!F16-'SC des SUCS - Bilan'!E16)</f>
        <v>-70800</v>
      </c>
      <c r="G18" s="156"/>
      <c r="H18" s="156">
        <f>-('SC des SUCS - Bilan'!H16-'SC des SUCS - Bilan'!F16)</f>
        <v>28596</v>
      </c>
      <c r="I18" s="156">
        <f>-('SC des SUCS - Bilan'!I16-'SC des SUCS - Bilan'!H16)</f>
        <v>-996</v>
      </c>
      <c r="J18" s="156">
        <f>-('SC des SUCS - Bilan'!J16-'SC des SUCS - Bilan'!I16)</f>
        <v>0</v>
      </c>
      <c r="K18" s="156">
        <f>-('SC des SUCS - Bilan'!K16-'SC des SUCS - Bilan'!J16)</f>
        <v>0</v>
      </c>
      <c r="L18" s="156">
        <f>-('SC des SUCS - Bilan'!L16-'SC des SUCS - Bilan'!K16)</f>
        <v>0</v>
      </c>
      <c r="M18" s="200"/>
      <c r="XFD18" s="156"/>
    </row>
    <row r="19" spans="2:13 16384:16384" s="145" customFormat="1" ht="15" hidden="1" outlineLevel="1">
      <c r="B19" s="155" t="s">
        <v>235</v>
      </c>
      <c r="C19" s="156"/>
      <c r="D19" s="156">
        <f>-('SC des SUCS - Bilan'!D17-'SC des SUCS - Bilan'!C17)</f>
        <v>-53948</v>
      </c>
      <c r="E19" s="156">
        <f>-('SC des SUCS - Bilan'!E17-'SC des SUCS - Bilan'!D17)</f>
        <v>-143726</v>
      </c>
      <c r="F19" s="156">
        <f>-('SC des SUCS - Bilan'!F17-'SC des SUCS - Bilan'!E17)</f>
        <v>-145234</v>
      </c>
      <c r="G19" s="156"/>
      <c r="H19" s="156">
        <v>164</v>
      </c>
      <c r="I19" s="156">
        <f>-('SC des SUCS - Bilan'!I17-'SC des SUCS - Bilan'!H17)</f>
        <v>0</v>
      </c>
      <c r="J19" s="156">
        <f>-('SC des SUCS - Bilan'!J17-'SC des SUCS - Bilan'!I17)</f>
        <v>0</v>
      </c>
      <c r="K19" s="156">
        <f>-('SC des SUCS - Bilan'!K17-'SC des SUCS - Bilan'!J17)</f>
        <v>0</v>
      </c>
      <c r="L19" s="156">
        <f>-('SC des SUCS - Bilan'!L17-'SC des SUCS - Bilan'!K17)</f>
        <v>0</v>
      </c>
      <c r="M19" s="200"/>
      <c r="XFD19" s="156"/>
    </row>
    <row r="20" spans="2:13 16384:16384" s="145" customFormat="1" ht="15" hidden="1" outlineLevel="1">
      <c r="B20" s="155" t="s">
        <v>236</v>
      </c>
      <c r="C20" s="156"/>
      <c r="D20" s="156">
        <f>-('SC des SUCS - Bilan'!D19-'SC des SUCS - Bilan'!C19)</f>
        <v>0</v>
      </c>
      <c r="E20" s="156">
        <f>-('SC des SUCS - Bilan'!E19-'SC des SUCS - Bilan'!D19)</f>
        <v>0</v>
      </c>
      <c r="F20" s="156">
        <f>-('SC des SUCS - Bilan'!F19-'SC des SUCS - Bilan'!E19)</f>
        <v>0</v>
      </c>
      <c r="G20" s="156"/>
      <c r="H20" s="156">
        <f>-('SC des SUCS - Bilan'!H19-'SC des SUCS - Bilan'!F19)</f>
        <v>0</v>
      </c>
      <c r="I20" s="156">
        <f>-('SC des SUCS - Bilan'!I19-'SC des SUCS - Bilan'!H19)</f>
        <v>0</v>
      </c>
      <c r="J20" s="156">
        <f>-('SC des SUCS - Bilan'!J19-'SC des SUCS - Bilan'!I19)</f>
        <v>0</v>
      </c>
      <c r="K20" s="156">
        <f>-('SC des SUCS - Bilan'!K19-'SC des SUCS - Bilan'!J19)</f>
        <v>0</v>
      </c>
      <c r="L20" s="156">
        <f>-('SC des SUCS - Bilan'!L19-'SC des SUCS - Bilan'!K19)</f>
        <v>0</v>
      </c>
      <c r="M20" s="200"/>
      <c r="XFD20" s="156"/>
    </row>
    <row r="21" spans="2:13 16384:16384" s="145" customFormat="1" ht="15" hidden="1" outlineLevel="1">
      <c r="B21" s="155" t="s">
        <v>237</v>
      </c>
      <c r="C21" s="156"/>
      <c r="D21" s="156">
        <f>'SC des SUCS - Bilan'!D49-'SC des SUCS - Bilan'!C49</f>
        <v>0</v>
      </c>
      <c r="E21" s="156">
        <f>'SC des SUCS - Bilan'!E49-'SC des SUCS - Bilan'!D49</f>
        <v>0</v>
      </c>
      <c r="F21" s="156">
        <f>'SC des SUCS - Bilan'!F49-'SC des SUCS - Bilan'!E49</f>
        <v>0</v>
      </c>
      <c r="G21" s="156"/>
      <c r="H21" s="156">
        <f>'SC des SUCS - Bilan'!H49-'SC des SUCS - Bilan'!F49</f>
        <v>0</v>
      </c>
      <c r="I21" s="156">
        <f>'SC des SUCS - Bilan'!I49-'SC des SUCS - Bilan'!H49</f>
        <v>0</v>
      </c>
      <c r="J21" s="156">
        <f>'SC des SUCS - Bilan'!J49-'SC des SUCS - Bilan'!I49</f>
        <v>0</v>
      </c>
      <c r="K21" s="156">
        <f>'SC des SUCS - Bilan'!K49-'SC des SUCS - Bilan'!J49</f>
        <v>0</v>
      </c>
      <c r="L21" s="156">
        <f>'SC des SUCS - Bilan'!L49-'SC des SUCS - Bilan'!K49</f>
        <v>0</v>
      </c>
      <c r="M21" s="200"/>
      <c r="XFD21" s="156"/>
    </row>
    <row r="22" spans="2:13 16384:16384" s="145" customFormat="1" ht="15" hidden="1" outlineLevel="1">
      <c r="B22" s="155" t="s">
        <v>238</v>
      </c>
      <c r="C22" s="156"/>
      <c r="D22" s="156">
        <f>'SC des SUCS - Bilan'!D50-'SC des SUCS - Bilan'!C50</f>
        <v>0</v>
      </c>
      <c r="E22" s="156">
        <f>'SC des SUCS - Bilan'!E50-'SC des SUCS - Bilan'!D50</f>
        <v>318</v>
      </c>
      <c r="F22" s="156">
        <f>'SC des SUCS - Bilan'!F50-'SC des SUCS - Bilan'!E50</f>
        <v>1181</v>
      </c>
      <c r="G22" s="156"/>
      <c r="H22" s="156">
        <f>'SC des SUCS - Bilan'!H50-'SC des SUCS - Bilan'!F50</f>
        <v>1005</v>
      </c>
      <c r="I22" s="156">
        <f>'SC des SUCS - Bilan'!I50-'SC des SUCS - Bilan'!H50</f>
        <v>0</v>
      </c>
      <c r="J22" s="156">
        <f>'SC des SUCS - Bilan'!J50-'SC des SUCS - Bilan'!I50</f>
        <v>0</v>
      </c>
      <c r="K22" s="156">
        <f>'SC des SUCS - Bilan'!K50-'SC des SUCS - Bilan'!J50</f>
        <v>0</v>
      </c>
      <c r="L22" s="156">
        <f>'SC des SUCS - Bilan'!L50-'SC des SUCS - Bilan'!K50</f>
        <v>0</v>
      </c>
      <c r="M22" s="200"/>
      <c r="XFD22" s="156"/>
    </row>
    <row r="23" spans="2:13 16384:16384" s="145" customFormat="1" ht="15" hidden="1" outlineLevel="1">
      <c r="B23" s="155" t="s">
        <v>239</v>
      </c>
      <c r="C23" s="156"/>
      <c r="D23" s="156">
        <f>'SC des SUCS - Bilan'!D51-'SC des SUCS - Bilan'!C51</f>
        <v>253</v>
      </c>
      <c r="E23" s="156">
        <f>'SC des SUCS - Bilan'!E51-'SC des SUCS - Bilan'!D51</f>
        <v>-253</v>
      </c>
      <c r="F23" s="156">
        <f>'SC des SUCS - Bilan'!F51-'SC des SUCS - Bilan'!E51</f>
        <v>12377</v>
      </c>
      <c r="G23" s="156"/>
      <c r="H23" s="156">
        <f>'SC des SUCS - Bilan'!H51-'SC des SUCS - Bilan'!F51</f>
        <v>-3671</v>
      </c>
      <c r="I23" s="156">
        <f>'SC des SUCS - Bilan'!I51-'SC des SUCS - Bilan'!H51</f>
        <v>-4623</v>
      </c>
      <c r="J23" s="156">
        <f>'SC des SUCS - Bilan'!J51-'SC des SUCS - Bilan'!I51</f>
        <v>-713</v>
      </c>
      <c r="K23" s="156">
        <f>'SC des SUCS - Bilan'!K51-'SC des SUCS - Bilan'!J51</f>
        <v>6</v>
      </c>
      <c r="L23" s="156">
        <f>'SC des SUCS - Bilan'!L51-'SC des SUCS - Bilan'!K51</f>
        <v>-1</v>
      </c>
      <c r="M23" s="200"/>
      <c r="XFD23" s="156"/>
    </row>
    <row r="24" spans="2:13 16384:16384" s="145" customFormat="1" ht="15" hidden="1" outlineLevel="1">
      <c r="B24" s="155" t="s">
        <v>251</v>
      </c>
      <c r="C24" s="156"/>
      <c r="D24" s="156">
        <f>'SC des SUCS - Bilan'!D52-'SC des SUCS - Bilan'!C52</f>
        <v>0</v>
      </c>
      <c r="E24" s="156">
        <f>'SC des SUCS - Bilan'!E52-'SC des SUCS - Bilan'!D52</f>
        <v>0</v>
      </c>
      <c r="F24" s="156">
        <f>'SC des SUCS - Bilan'!F52-'SC des SUCS - Bilan'!E52</f>
        <v>0</v>
      </c>
      <c r="G24" s="156"/>
      <c r="H24" s="156">
        <f>'SC des SUCS - Bilan'!H52-'SC des SUCS - Bilan'!F52</f>
        <v>0</v>
      </c>
      <c r="I24" s="156">
        <f>'SC des SUCS - Bilan'!I52-'SC des SUCS - Bilan'!H52</f>
        <v>0</v>
      </c>
      <c r="J24" s="156">
        <f>'SC des SUCS - Bilan'!J52-'SC des SUCS - Bilan'!I52</f>
        <v>0</v>
      </c>
      <c r="K24" s="156">
        <f>'SC des SUCS - Bilan'!K52-'SC des SUCS - Bilan'!J52</f>
        <v>0</v>
      </c>
      <c r="L24" s="156">
        <f>'SC des SUCS - Bilan'!L52-'SC des SUCS - Bilan'!K52</f>
        <v>0</v>
      </c>
      <c r="M24" s="200"/>
      <c r="XFD24" s="156"/>
    </row>
    <row r="25" spans="2:13 16384:16384" s="145" customFormat="1" ht="15" hidden="1" outlineLevel="1">
      <c r="B25" s="155" t="s">
        <v>240</v>
      </c>
      <c r="C25" s="200"/>
      <c r="D25" s="156">
        <f>'SC des SUCS - Bilan'!D53-'SC des SUCS - Bilan'!C53</f>
        <v>0</v>
      </c>
      <c r="E25" s="156">
        <f>'SC des SUCS - Bilan'!E53-'SC des SUCS - Bilan'!D53</f>
        <v>0</v>
      </c>
      <c r="F25" s="156">
        <f>'SC des SUCS - Bilan'!F53-'SC des SUCS - Bilan'!E53</f>
        <v>0</v>
      </c>
      <c r="G25" s="156"/>
      <c r="H25" s="156">
        <f>'SC des SUCS - Bilan'!H53-'SC des SUCS - Bilan'!F53</f>
        <v>0</v>
      </c>
      <c r="I25" s="156">
        <f>'SC des SUCS - Bilan'!I53-'SC des SUCS - Bilan'!H53</f>
        <v>0</v>
      </c>
      <c r="J25" s="156">
        <f>'SC des SUCS - Bilan'!J53-'SC des SUCS - Bilan'!I53</f>
        <v>0</v>
      </c>
      <c r="K25" s="156">
        <f>'SC des SUCS - Bilan'!K53-'SC des SUCS - Bilan'!J53</f>
        <v>0</v>
      </c>
      <c r="L25" s="156">
        <f>'SC des SUCS - Bilan'!L53-'SC des SUCS - Bilan'!K53</f>
        <v>0</v>
      </c>
      <c r="M25" s="200"/>
      <c r="XFD25" s="156"/>
    </row>
    <row r="26" spans="2:13 16384:16384" s="145" customFormat="1" ht="15" hidden="1" outlineLevel="1">
      <c r="B26" s="157" t="s">
        <v>241</v>
      </c>
      <c r="C26" s="156"/>
      <c r="D26" s="156">
        <f>'SC des SUCS - Bilan'!D54-'SC des SUCS - Bilan'!C54</f>
        <v>0</v>
      </c>
      <c r="E26" s="156">
        <f>'SC des SUCS - Bilan'!E54-'SC des SUCS - Bilan'!D54</f>
        <v>0</v>
      </c>
      <c r="F26" s="156">
        <f>'SC des SUCS - Bilan'!F54-'SC des SUCS - Bilan'!E54</f>
        <v>0</v>
      </c>
      <c r="G26" s="156"/>
      <c r="H26" s="156">
        <f>'SC des SUCS - Bilan'!H54-'SC des SUCS - Bilan'!F54</f>
        <v>0</v>
      </c>
      <c r="I26" s="156">
        <f>'SC des SUCS - Bilan'!I54-'SC des SUCS - Bilan'!H54</f>
        <v>0</v>
      </c>
      <c r="J26" s="156">
        <f>'SC des SUCS - Bilan'!J54-'SC des SUCS - Bilan'!I54</f>
        <v>0</v>
      </c>
      <c r="K26" s="156">
        <f>'SC des SUCS - Bilan'!K54-'SC des SUCS - Bilan'!J54</f>
        <v>0</v>
      </c>
      <c r="L26" s="156">
        <f>'SC des SUCS - Bilan'!L54-'SC des SUCS - Bilan'!K54</f>
        <v>0</v>
      </c>
      <c r="M26" s="200"/>
      <c r="XFD26" s="156"/>
    </row>
    <row r="27" spans="2:13 16384:16384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 16384:16384">
      <c r="B28" s="159" t="s">
        <v>242</v>
      </c>
      <c r="C28" s="160"/>
      <c r="D28" s="160">
        <f t="shared" ref="D28:F28" si="2">SUM(D12:D15)</f>
        <v>-57125</v>
      </c>
      <c r="E28" s="160">
        <f t="shared" si="2"/>
        <v>-148981</v>
      </c>
      <c r="F28" s="160">
        <f t="shared" si="2"/>
        <v>-81011</v>
      </c>
      <c r="G28" s="160"/>
      <c r="H28" s="160">
        <f t="shared" ref="H28:L28" si="3">SUM(H12:H15)</f>
        <v>64288</v>
      </c>
      <c r="I28" s="160">
        <f t="shared" si="3"/>
        <v>36741</v>
      </c>
      <c r="J28" s="160">
        <f t="shared" si="3"/>
        <v>41524</v>
      </c>
      <c r="K28" s="160">
        <f t="shared" si="3"/>
        <v>42117</v>
      </c>
      <c r="L28" s="160">
        <f t="shared" si="3"/>
        <v>41983</v>
      </c>
      <c r="M28" s="202"/>
    </row>
    <row r="29" spans="2:13 16384:16384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 16384:16384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 16384:16384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 16384:16384">
      <c r="B32" s="151" t="s">
        <v>196</v>
      </c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201"/>
    </row>
    <row r="33" spans="2:17">
      <c r="B33" s="151" t="s">
        <v>197</v>
      </c>
      <c r="C33" s="158"/>
      <c r="D33" s="158">
        <f>-('SC des SUCS - Bilan'!D11-'SC des SUCS - Bilan'!C11)</f>
        <v>-2100</v>
      </c>
      <c r="E33" s="158">
        <f>-('SC des SUCS - Bilan'!E11-'SC des SUCS - Bilan'!D11)</f>
        <v>-510900</v>
      </c>
      <c r="F33" s="158">
        <f>-('SC des SUCS - Bilan'!F11-'SC des SUCS - Bilan'!E11)</f>
        <v>-362739</v>
      </c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-2100</v>
      </c>
      <c r="E35" s="160">
        <f>SUM(E31:E34)</f>
        <v>-510900</v>
      </c>
      <c r="F35" s="160">
        <f>SUM(F31:F34)</f>
        <v>-362739</v>
      </c>
      <c r="G35" s="160"/>
      <c r="H35" s="160">
        <f t="shared" ref="H35:L35" si="4">SUM(H31:H33)</f>
        <v>0</v>
      </c>
      <c r="I35" s="160">
        <f t="shared" si="4"/>
        <v>0</v>
      </c>
      <c r="J35" s="160">
        <f t="shared" si="4"/>
        <v>0</v>
      </c>
      <c r="K35" s="160">
        <f t="shared" si="4"/>
        <v>0</v>
      </c>
      <c r="L35" s="160">
        <f t="shared" si="4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SUM(D39:D45)</f>
        <v>29708</v>
      </c>
      <c r="E38" s="205">
        <f>SUM(E39:E45)</f>
        <v>116786</v>
      </c>
      <c r="F38" s="205">
        <f>SUM(F39:F45)</f>
        <v>31669</v>
      </c>
      <c r="G38" s="134"/>
      <c r="H38" s="205">
        <f>'SC des SUCS - P&amp;L'!H85</f>
        <v>40699</v>
      </c>
      <c r="I38" s="205">
        <f>'SC des SUCS - P&amp;L'!I85</f>
        <v>41260</v>
      </c>
      <c r="J38" s="205">
        <f>'SC des SUCS - P&amp;L'!J85</f>
        <v>41756</v>
      </c>
      <c r="K38" s="205">
        <f>'SC des SUCS - P&amp;L'!K85</f>
        <v>42259</v>
      </c>
      <c r="L38" s="205">
        <f>'SC des SUCS - P&amp;L'!L85</f>
        <v>42766</v>
      </c>
      <c r="M38" s="205"/>
      <c r="N38" s="134"/>
      <c r="O38" s="134"/>
      <c r="P38" s="134"/>
      <c r="Q38" s="134"/>
    </row>
    <row r="39" spans="2:17" s="137" customFormat="1" ht="12.75" hidden="1" outlineLevel="1">
      <c r="B39" s="164" t="str">
        <f>'SC des SUCS - P&amp;L'!B87</f>
        <v>Revenu titre de participation</v>
      </c>
      <c r="C39" s="206"/>
      <c r="D39" s="206">
        <f>'SC des SUCS - P&amp;L'!D87</f>
        <v>26111</v>
      </c>
      <c r="E39" s="206">
        <f>'SC des SUCS - P&amp;L'!E87</f>
        <v>110112</v>
      </c>
      <c r="F39" s="206">
        <f>'SC des SUCS - P&amp;L'!F87</f>
        <v>0</v>
      </c>
      <c r="G39" s="133"/>
      <c r="H39" s="206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s="137" customFormat="1" ht="12.75" hidden="1" outlineLevel="1">
      <c r="B40" s="164" t="str">
        <f>'SC des SUCS - P&amp;L'!B88</f>
        <v>Intérêts C/C Probois</v>
      </c>
      <c r="C40" s="206"/>
      <c r="D40" s="206">
        <f>'SC des SUCS - P&amp;L'!D88</f>
        <v>0</v>
      </c>
      <c r="E40" s="206">
        <f>'SC des SUCS - P&amp;L'!E88</f>
        <v>0</v>
      </c>
      <c r="F40" s="206">
        <f>'SC des SUCS - P&amp;L'!F88</f>
        <v>0</v>
      </c>
      <c r="G40" s="133"/>
      <c r="H40" s="206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hidden="1" outlineLevel="1">
      <c r="B41" s="164" t="str">
        <f>'SC des SUCS - P&amp;L'!B89</f>
        <v>Intérêt C/C BSB</v>
      </c>
      <c r="C41" s="206"/>
      <c r="D41" s="206">
        <f>'SC des SUCS - P&amp;L'!D89</f>
        <v>3303</v>
      </c>
      <c r="E41" s="206">
        <f>'SC des SUCS - P&amp;L'!E89</f>
        <v>4870</v>
      </c>
      <c r="F41" s="206">
        <f>'SC des SUCS - P&amp;L'!F89</f>
        <v>28076</v>
      </c>
      <c r="G41" s="133"/>
      <c r="H41" s="206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hidden="1" outlineLevel="1">
      <c r="B42" s="164" t="str">
        <f>'SC des SUCS - P&amp;L'!B90</f>
        <v>Intérêt C/C bout du monde</v>
      </c>
      <c r="C42" s="206"/>
      <c r="D42" s="206">
        <f>'SC des SUCS - P&amp;L'!D90</f>
        <v>228</v>
      </c>
      <c r="E42" s="206">
        <f>'SC des SUCS - P&amp;L'!E90</f>
        <v>562</v>
      </c>
      <c r="F42" s="206">
        <f>'SC des SUCS - P&amp;L'!F90</f>
        <v>3584</v>
      </c>
      <c r="G42" s="133"/>
      <c r="H42" s="206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 s="137" customFormat="1" ht="12.75" hidden="1" outlineLevel="1">
      <c r="B43" s="164" t="str">
        <f>'SC des SUCS - P&amp;L'!B91</f>
        <v>Intérêt C/C immo d'antreuil</v>
      </c>
      <c r="C43" s="206"/>
      <c r="D43" s="206">
        <f>'SC des SUCS - P&amp;L'!D91</f>
        <v>0</v>
      </c>
      <c r="E43" s="206">
        <f>'SC des SUCS - P&amp;L'!E91</f>
        <v>0</v>
      </c>
      <c r="F43" s="206">
        <f>'SC des SUCS - P&amp;L'!F91</f>
        <v>9</v>
      </c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s="137" customFormat="1" ht="12.75" hidden="1" outlineLevel="1">
      <c r="B44" s="164" t="str">
        <f>'SC des SUCS - P&amp;L'!B92</f>
        <v>Intérêt C/C EMH</v>
      </c>
      <c r="C44" s="206"/>
      <c r="D44" s="206">
        <f>'SC des SUCS - P&amp;L'!D92</f>
        <v>66</v>
      </c>
      <c r="E44" s="206">
        <f>'SC des SUCS - P&amp;L'!E92</f>
        <v>1242</v>
      </c>
      <c r="F44" s="206">
        <f>'SC des SUCS - P&amp;L'!F92</f>
        <v>0</v>
      </c>
      <c r="G44" s="133"/>
      <c r="H44" s="206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hidden="1" outlineLevel="1">
      <c r="B45" s="164"/>
      <c r="C45" s="206"/>
      <c r="D45" s="206"/>
      <c r="E45" s="206"/>
      <c r="F45" s="206"/>
      <c r="G45" s="133"/>
      <c r="H45" s="206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collapsed="1">
      <c r="B46" s="161" t="s">
        <v>28</v>
      </c>
      <c r="C46" s="205"/>
      <c r="D46" s="205">
        <f>SUM(D47:D50)</f>
        <v>-4879</v>
      </c>
      <c r="E46" s="205">
        <f>SUM(E47:E50)</f>
        <v>-14271</v>
      </c>
      <c r="F46" s="205">
        <f>SUM(F47:F50)</f>
        <v>-43420</v>
      </c>
      <c r="G46" s="134"/>
      <c r="H46" s="205">
        <f>SUM(H47:H50)</f>
        <v>0</v>
      </c>
      <c r="I46" s="205">
        <f>SUM(I47:I50)</f>
        <v>0</v>
      </c>
      <c r="J46" s="205">
        <f>SUM(J47:J50)</f>
        <v>0</v>
      </c>
      <c r="K46" s="205">
        <f>SUM(K47:K50)</f>
        <v>0</v>
      </c>
      <c r="L46" s="205">
        <f>SUM(L47:L50)</f>
        <v>0</v>
      </c>
      <c r="M46" s="205"/>
      <c r="N46" s="134"/>
      <c r="O46" s="134"/>
      <c r="P46" s="134"/>
      <c r="Q46" s="134"/>
    </row>
    <row r="47" spans="2:17" s="137" customFormat="1" ht="12.75" hidden="1" outlineLevel="1">
      <c r="B47" s="164" t="str">
        <f>'SC des SUCS - P&amp;L'!B95</f>
        <v>Intérêt sur emprunt</v>
      </c>
      <c r="C47" s="206"/>
      <c r="D47" s="206">
        <f>'SC des SUCS - P&amp;L'!D95</f>
        <v>-671</v>
      </c>
      <c r="E47" s="206">
        <f>'SC des SUCS - P&amp;L'!E95</f>
        <v>-472</v>
      </c>
      <c r="F47" s="206">
        <f>'SC des SUCS - P&amp;L'!F95</f>
        <v>-3034</v>
      </c>
      <c r="G47" s="133"/>
      <c r="H47" s="206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hidden="1" outlineLevel="1">
      <c r="B48" s="164" t="str">
        <f>'SC des SUCS - P&amp;L'!B96</f>
        <v>Intérêt C/C emballages</v>
      </c>
      <c r="C48" s="206"/>
      <c r="D48" s="206">
        <f>'SC des SUCS - P&amp;L'!D96</f>
        <v>0</v>
      </c>
      <c r="E48" s="206">
        <f>'SC des SUCS - P&amp;L'!E96</f>
        <v>0</v>
      </c>
      <c r="F48" s="206">
        <f>'SC des SUCS - P&amp;L'!F96</f>
        <v>-6225</v>
      </c>
      <c r="G48" s="133"/>
      <c r="H48" s="206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hidden="1" outlineLevel="1">
      <c r="B49" s="164" t="str">
        <f>'SC des SUCS - P&amp;L'!B97</f>
        <v>Intérêt C/c probois</v>
      </c>
      <c r="C49" s="206"/>
      <c r="D49" s="206">
        <f>'SC des SUCS - P&amp;L'!D97</f>
        <v>-4208</v>
      </c>
      <c r="E49" s="206">
        <f>'SC des SUCS - P&amp;L'!E97</f>
        <v>-13799</v>
      </c>
      <c r="F49" s="206">
        <f>'SC des SUCS - P&amp;L'!F97</f>
        <v>-34161</v>
      </c>
      <c r="G49" s="133"/>
      <c r="H49" s="206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hidden="1" outlineLevel="1">
      <c r="B50" s="164"/>
      <c r="C50" s="206"/>
      <c r="D50" s="206"/>
      <c r="E50" s="206"/>
      <c r="F50" s="206"/>
      <c r="G50" s="133"/>
      <c r="H50" s="206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 collapsed="1">
      <c r="B51" s="161" t="s">
        <v>213</v>
      </c>
      <c r="C51" s="152"/>
      <c r="D51" s="152">
        <f>SUM(D52:D55)</f>
        <v>-12895</v>
      </c>
      <c r="E51" s="152">
        <f>SUM(E52:E55)</f>
        <v>-13094</v>
      </c>
      <c r="F51" s="152">
        <f>SUM(F52:F55)</f>
        <v>214026</v>
      </c>
      <c r="G51" s="152"/>
      <c r="H51" s="152">
        <v>-55786</v>
      </c>
      <c r="I51" s="152">
        <f>'SC des SUCS - Bilan'!I37-'SC des SUCS - Bilan'!H37</f>
        <v>-45745</v>
      </c>
      <c r="J51" s="152">
        <f>'SC des SUCS - Bilan'!J37-'SC des SUCS - Bilan'!I37</f>
        <v>-46241</v>
      </c>
      <c r="K51" s="152">
        <f>'SC des SUCS - Bilan'!K37-'SC des SUCS - Bilan'!J37</f>
        <v>-46743</v>
      </c>
      <c r="L51" s="152">
        <f>'SC des SUCS - Bilan'!L37-'SC des SUCS - Bilan'!K37</f>
        <v>-43293</v>
      </c>
      <c r="M51" s="205"/>
      <c r="N51" s="134"/>
      <c r="O51" s="134"/>
      <c r="P51" s="134"/>
      <c r="Q51" s="134"/>
    </row>
    <row r="52" spans="2:17" s="137" customFormat="1" ht="12.75" hidden="1" outlineLevel="1">
      <c r="B52" s="165" t="str">
        <f>'SC des SUCS - Bilan'!B39</f>
        <v>Empunt CA n°1356365</v>
      </c>
      <c r="C52" s="206"/>
      <c r="D52" s="206">
        <f>'SC des SUCS - Bilan'!D39-'SC des SUCS - Bilan'!C39</f>
        <v>-12894</v>
      </c>
      <c r="E52" s="206">
        <f>'SC des SUCS - Bilan'!E39-'SC des SUCS - Bilan'!D39</f>
        <v>-13093</v>
      </c>
      <c r="F52" s="206">
        <f>'SC des SUCS - Bilan'!F39-'SC des SUCS - Bilan'!E39</f>
        <v>-13295</v>
      </c>
      <c r="G52" s="133"/>
      <c r="H52" s="206"/>
      <c r="I52" s="206"/>
      <c r="J52" s="206"/>
      <c r="K52" s="206"/>
      <c r="L52" s="206"/>
      <c r="M52" s="206"/>
      <c r="N52" s="138"/>
      <c r="O52" s="138"/>
      <c r="P52" s="138"/>
      <c r="Q52" s="138"/>
    </row>
    <row r="53" spans="2:17" s="137" customFormat="1" ht="12.75" hidden="1" outlineLevel="1">
      <c r="B53" s="165" t="str">
        <f>'SC des SUCS - Bilan'!B40</f>
        <v>Emprunt n°8002 EMH</v>
      </c>
      <c r="C53" s="206"/>
      <c r="D53" s="206">
        <f>'SC des SUCS - Bilan'!D40-'SC des SUCS - Bilan'!C40</f>
        <v>0</v>
      </c>
      <c r="E53" s="206">
        <f>'SC des SUCS - Bilan'!E40-'SC des SUCS - Bilan'!D40</f>
        <v>0</v>
      </c>
      <c r="F53" s="206">
        <f>'SC des SUCS - Bilan'!F40-'SC des SUCS - Bilan'!E40</f>
        <v>227276</v>
      </c>
      <c r="G53" s="133"/>
      <c r="H53" s="206"/>
      <c r="I53" s="206"/>
      <c r="J53" s="206"/>
      <c r="K53" s="206"/>
      <c r="L53" s="206"/>
      <c r="M53" s="206"/>
      <c r="N53" s="138"/>
      <c r="O53" s="138"/>
      <c r="P53" s="138"/>
      <c r="Q53" s="138"/>
    </row>
    <row r="54" spans="2:17" s="137" customFormat="1" ht="12.75" hidden="1" outlineLevel="1">
      <c r="B54" s="165" t="str">
        <f>'SC des SUCS - Bilan'!B41</f>
        <v>Intréêt couru sur emprunt</v>
      </c>
      <c r="C54" s="206"/>
      <c r="D54" s="206">
        <f>'SC des SUCS - Bilan'!D41-'SC des SUCS - Bilan'!C41</f>
        <v>-1</v>
      </c>
      <c r="E54" s="206">
        <f>'SC des SUCS - Bilan'!E41-'SC des SUCS - Bilan'!D41</f>
        <v>-1</v>
      </c>
      <c r="F54" s="206">
        <f>'SC des SUCS - Bilan'!F41-'SC des SUCS - Bilan'!E41</f>
        <v>45</v>
      </c>
      <c r="G54" s="133"/>
      <c r="H54" s="206"/>
      <c r="I54" s="206"/>
      <c r="J54" s="206"/>
      <c r="K54" s="206"/>
      <c r="L54" s="206"/>
      <c r="M54" s="206"/>
      <c r="N54" s="138"/>
      <c r="O54" s="138"/>
      <c r="P54" s="138"/>
      <c r="Q54" s="138"/>
    </row>
    <row r="55" spans="2:17" s="137" customFormat="1" ht="12.75" hidden="1" outlineLevel="1">
      <c r="B55" s="165"/>
      <c r="C55" s="206"/>
      <c r="D55" s="206"/>
      <c r="E55" s="206"/>
      <c r="F55" s="206"/>
      <c r="G55" s="133"/>
      <c r="H55" s="206"/>
      <c r="I55" s="206"/>
      <c r="J55" s="206"/>
      <c r="K55" s="206"/>
      <c r="L55" s="206"/>
      <c r="M55" s="206"/>
      <c r="N55" s="138"/>
      <c r="O55" s="138"/>
      <c r="P55" s="138"/>
      <c r="Q55" s="138"/>
    </row>
    <row r="56" spans="2:17" collapsed="1">
      <c r="B56" s="161" t="s">
        <v>214</v>
      </c>
      <c r="C56" s="152"/>
      <c r="D56" s="152">
        <f>SUM(D57:D60)</f>
        <v>528116</v>
      </c>
      <c r="E56" s="152">
        <f>SUM(E57:E60)</f>
        <v>-209313</v>
      </c>
      <c r="F56" s="152">
        <f>SUM(F57:F60)</f>
        <v>292495</v>
      </c>
      <c r="G56" s="152"/>
      <c r="H56" s="152">
        <v>0</v>
      </c>
      <c r="I56" s="152">
        <f>'Probois 43 - Bilan'!I43</f>
        <v>0</v>
      </c>
      <c r="J56" s="152">
        <f>'Probois 43 - Bilan'!J43</f>
        <v>0</v>
      </c>
      <c r="K56" s="152">
        <f>'Probois 43 - Bilan'!K43</f>
        <v>0</v>
      </c>
      <c r="L56" s="152">
        <f>'Probois 43 - Bilan'!L43</f>
        <v>0</v>
      </c>
      <c r="M56" s="205"/>
      <c r="N56" s="134"/>
      <c r="O56" s="134"/>
      <c r="P56" s="134"/>
      <c r="Q56" s="134"/>
    </row>
    <row r="57" spans="2:17" s="137" customFormat="1" ht="12.75" hidden="1" outlineLevel="1">
      <c r="B57" s="165" t="str">
        <f>'SC des SUCS - Bilan'!B44</f>
        <v>C/C EM</v>
      </c>
      <c r="C57" s="206"/>
      <c r="D57" s="206">
        <f>'SC des SUCS - Bilan'!D44-'SC des SUCS - Bilan'!C44</f>
        <v>0</v>
      </c>
      <c r="E57" s="206">
        <f>'SC des SUCS - Bilan'!E44-'SC des SUCS - Bilan'!D44</f>
        <v>0</v>
      </c>
      <c r="F57" s="206">
        <f>'SC des SUCS - Bilan'!F44-'SC des SUCS - Bilan'!E44</f>
        <v>204287</v>
      </c>
      <c r="G57" s="133"/>
      <c r="H57" s="206"/>
      <c r="I57" s="206"/>
      <c r="J57" s="206"/>
      <c r="K57" s="206"/>
      <c r="L57" s="206"/>
      <c r="M57" s="206"/>
      <c r="N57" s="138"/>
      <c r="O57" s="138"/>
      <c r="P57" s="138"/>
      <c r="Q57" s="138"/>
    </row>
    <row r="58" spans="2:17" s="137" customFormat="1" ht="12.75" hidden="1" outlineLevel="1">
      <c r="B58" s="165" t="str">
        <f>'SC des SUCS - Bilan'!B45</f>
        <v>C/C S. DURSAP</v>
      </c>
      <c r="C58" s="206"/>
      <c r="D58" s="206">
        <f>'SC des SUCS - Bilan'!D45-'SC des SUCS - Bilan'!C45</f>
        <v>0</v>
      </c>
      <c r="E58" s="206">
        <f>'SC des SUCS - Bilan'!E45-'SC des SUCS - Bilan'!D45</f>
        <v>-63000</v>
      </c>
      <c r="F58" s="206">
        <f>'SC des SUCS - Bilan'!F45-'SC des SUCS - Bilan'!E45</f>
        <v>-104100</v>
      </c>
      <c r="G58" s="133"/>
      <c r="H58" s="206"/>
      <c r="I58" s="206"/>
      <c r="J58" s="206"/>
      <c r="K58" s="206"/>
      <c r="L58" s="206"/>
      <c r="M58" s="206"/>
      <c r="N58" s="138"/>
      <c r="O58" s="138"/>
      <c r="P58" s="138"/>
      <c r="Q58" s="138"/>
    </row>
    <row r="59" spans="2:17" s="137" customFormat="1" ht="12.75" hidden="1" outlineLevel="1">
      <c r="B59" s="165" t="str">
        <f>'SC des SUCS - Bilan'!B46</f>
        <v>C/C Probois</v>
      </c>
      <c r="C59" s="206"/>
      <c r="D59" s="206">
        <f>'SC des SUCS - Bilan'!D46-'SC des SUCS - Bilan'!C46</f>
        <v>528116</v>
      </c>
      <c r="E59" s="206">
        <f>'SC des SUCS - Bilan'!E46-'SC des SUCS - Bilan'!D46</f>
        <v>-146313</v>
      </c>
      <c r="F59" s="206">
        <f>'SC des SUCS - Bilan'!F46-'SC des SUCS - Bilan'!E46</f>
        <v>192308</v>
      </c>
      <c r="G59" s="133"/>
      <c r="H59" s="206"/>
      <c r="I59" s="206"/>
      <c r="J59" s="206"/>
      <c r="K59" s="206"/>
      <c r="L59" s="206"/>
      <c r="M59" s="206"/>
      <c r="N59" s="138"/>
      <c r="O59" s="138"/>
      <c r="P59" s="138"/>
      <c r="Q59" s="138"/>
    </row>
    <row r="60" spans="2:17" s="137" customFormat="1" ht="12.75" hidden="1" outlineLevel="1">
      <c r="B60" s="164"/>
      <c r="C60" s="206"/>
      <c r="D60" s="206"/>
      <c r="E60" s="206"/>
      <c r="F60" s="206"/>
      <c r="G60" s="133"/>
      <c r="H60" s="206"/>
      <c r="I60" s="206"/>
      <c r="J60" s="206"/>
      <c r="K60" s="206"/>
      <c r="L60" s="206"/>
      <c r="M60" s="206"/>
      <c r="N60" s="138"/>
      <c r="O60" s="138"/>
      <c r="P60" s="138"/>
      <c r="Q60" s="138"/>
    </row>
    <row r="61" spans="2:17" collapsed="1">
      <c r="B61" s="161" t="s">
        <v>162</v>
      </c>
      <c r="C61" s="134"/>
      <c r="D61" s="134"/>
      <c r="E61" s="134"/>
      <c r="F61" s="134"/>
      <c r="G61" s="134"/>
      <c r="H61" s="134">
        <f>'Probois 43 - Bilan'!F30</f>
        <v>0</v>
      </c>
      <c r="I61" s="308">
        <v>0</v>
      </c>
      <c r="J61" s="134">
        <f>'Probois 43 - Bilan'!I30</f>
        <v>0</v>
      </c>
      <c r="K61" s="134">
        <f>'Probois 43 - Bilan'!J30</f>
        <v>0</v>
      </c>
      <c r="L61" s="134">
        <f>'Probois 43 - Bilan'!K30</f>
        <v>0</v>
      </c>
      <c r="M61" s="205"/>
      <c r="N61" s="134"/>
      <c r="O61" s="134"/>
      <c r="P61" s="134"/>
      <c r="Q61" s="134"/>
    </row>
    <row r="62" spans="2:17" s="137" customFormat="1" ht="12.75" hidden="1" outlineLevel="1">
      <c r="B62" s="162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207"/>
      <c r="N62" s="138"/>
      <c r="O62" s="138"/>
      <c r="P62" s="138"/>
      <c r="Q62" s="138"/>
    </row>
    <row r="63" spans="2:17" s="137" customFormat="1" collapsed="1">
      <c r="B63" s="161" t="s">
        <v>263</v>
      </c>
      <c r="C63" s="134"/>
      <c r="D63" s="134"/>
      <c r="E63" s="134"/>
      <c r="F63" s="134"/>
      <c r="G63" s="134"/>
      <c r="H63" s="134"/>
      <c r="I63" s="134">
        <v>0</v>
      </c>
      <c r="J63" s="134">
        <f>+'Probois 43 - Bilan'!J28-('Probois 43 - Bilan'!I28+'Probois 43 - Bilan'!I29)</f>
        <v>0</v>
      </c>
      <c r="K63" s="134">
        <f>+'Probois 43 - Bilan'!K28-('Probois 43 - Bilan'!J28+'Probois 43 - Bilan'!J29)</f>
        <v>0</v>
      </c>
      <c r="L63" s="134">
        <f>+'Probois 43 - Bilan'!L28-('Probois 43 - Bilan'!K28+'Probois 43 - Bilan'!K29)</f>
        <v>0</v>
      </c>
      <c r="M63" s="207"/>
      <c r="N63" s="138"/>
      <c r="O63" s="138"/>
      <c r="P63" s="138"/>
      <c r="Q63" s="138"/>
    </row>
    <row r="64" spans="2:17" s="137" customFormat="1" ht="12.75" hidden="1" outlineLevel="1">
      <c r="B64" s="162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207"/>
      <c r="N64" s="138"/>
      <c r="O64" s="138"/>
      <c r="P64" s="138"/>
      <c r="Q64" s="138"/>
    </row>
    <row r="65" spans="2:17" collapsed="1">
      <c r="B65" s="161" t="s">
        <v>252</v>
      </c>
      <c r="C65" s="205"/>
      <c r="D65" s="205">
        <f>'SC des SUCS - Bilan'!D26-'SC des SUCS - Bilan'!C26</f>
        <v>0</v>
      </c>
      <c r="E65" s="205">
        <f>'SC des SUCS - Bilan'!E26-'SC des SUCS - Bilan'!D26</f>
        <v>510000</v>
      </c>
      <c r="F65" s="205">
        <f>'SC des SUCS - Bilan'!F26-'SC des SUCS - Bilan'!E26</f>
        <v>0</v>
      </c>
      <c r="G65" s="134"/>
      <c r="H65" s="205">
        <f t="shared" ref="H65:J65" si="5">SUM(H66:H67)</f>
        <v>0</v>
      </c>
      <c r="I65" s="134">
        <v>0</v>
      </c>
      <c r="J65" s="134">
        <f t="shared" si="5"/>
        <v>0</v>
      </c>
      <c r="K65" s="134">
        <f t="shared" ref="K65:L65" si="6">SUM(K66:K67)</f>
        <v>0</v>
      </c>
      <c r="L65" s="134">
        <f t="shared" si="6"/>
        <v>0</v>
      </c>
      <c r="M65" s="205"/>
      <c r="N65" s="134"/>
      <c r="O65" s="134"/>
      <c r="P65" s="134"/>
      <c r="Q65" s="134"/>
    </row>
    <row r="66" spans="2:17" s="137" customFormat="1" ht="12.75" hidden="1" outlineLevel="1">
      <c r="B66" s="166" t="s">
        <v>101</v>
      </c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207"/>
      <c r="N66" s="138"/>
      <c r="O66" s="138"/>
      <c r="P66" s="138"/>
      <c r="Q66" s="138"/>
    </row>
    <row r="67" spans="2:17" s="137" customFormat="1" ht="12.75" hidden="1" outlineLevel="1">
      <c r="B67" s="166" t="s">
        <v>253</v>
      </c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207"/>
      <c r="N67" s="138"/>
      <c r="O67" s="138"/>
      <c r="P67" s="138"/>
      <c r="Q67" s="138"/>
    </row>
    <row r="68" spans="2:17" s="137" customFormat="1" ht="12.75" collapsed="1">
      <c r="B68" s="162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207"/>
      <c r="N68" s="138"/>
      <c r="O68" s="138"/>
      <c r="P68" s="138"/>
      <c r="Q68" s="138"/>
    </row>
    <row r="69" spans="2:17">
      <c r="B69" s="159" t="s">
        <v>246</v>
      </c>
      <c r="C69" s="208"/>
      <c r="D69" s="208">
        <f>D38+D46+D51+D56+D61+D63+D65</f>
        <v>540050</v>
      </c>
      <c r="E69" s="208">
        <f>E38+E46+E51+E56+E61+E63+E65</f>
        <v>390108</v>
      </c>
      <c r="F69" s="208">
        <f>F38+F46+F51+F56+F61+F63+F65</f>
        <v>494770</v>
      </c>
      <c r="G69" s="221"/>
      <c r="H69" s="208">
        <f>H38+H46+H51+H56+H61+H63+H65</f>
        <v>-15087</v>
      </c>
      <c r="I69" s="208">
        <f>I38+I46+I51+I56+I61+I63+I65</f>
        <v>-4485</v>
      </c>
      <c r="J69" s="208">
        <f>J38+J46+J51+J56+J61+J63+J65</f>
        <v>-4485</v>
      </c>
      <c r="K69" s="208">
        <f>K38+K46+K51+K56+K61+K63+K65</f>
        <v>-4484</v>
      </c>
      <c r="L69" s="208">
        <f>L38+L46+L51+L56+L61+L63+L65</f>
        <v>-527</v>
      </c>
      <c r="M69" s="208"/>
    </row>
    <row r="70" spans="2:17">
      <c r="B70" s="163"/>
      <c r="C70" s="163"/>
      <c r="D70" s="163"/>
      <c r="E70" s="163"/>
      <c r="F70" s="163"/>
      <c r="G70" s="151"/>
      <c r="H70" s="163"/>
      <c r="I70" s="163"/>
      <c r="J70" s="163"/>
      <c r="K70" s="163"/>
      <c r="L70" s="163"/>
      <c r="M70" s="203"/>
    </row>
    <row r="71" spans="2:17">
      <c r="B71" s="162" t="s">
        <v>247</v>
      </c>
      <c r="C71" s="138"/>
      <c r="D71" s="138"/>
      <c r="E71" s="138">
        <v>1</v>
      </c>
      <c r="F71" s="138">
        <v>1</v>
      </c>
      <c r="G71" s="138"/>
      <c r="H71" s="138"/>
      <c r="I71" s="138"/>
      <c r="J71" s="138"/>
      <c r="K71" s="138"/>
      <c r="L71" s="138"/>
      <c r="M71" s="207"/>
    </row>
    <row r="72" spans="2:17">
      <c r="B72" s="159" t="s">
        <v>248</v>
      </c>
      <c r="C72" s="160"/>
      <c r="D72" s="160">
        <f>D69+D71+D35+D28</f>
        <v>480825</v>
      </c>
      <c r="E72" s="160">
        <f>E69+E71+E35+E28</f>
        <v>-269772</v>
      </c>
      <c r="F72" s="160">
        <f>F69+F71+F35+F28</f>
        <v>51021</v>
      </c>
      <c r="G72" s="160"/>
      <c r="H72" s="160">
        <f>H69+H71+H35+H28</f>
        <v>49201</v>
      </c>
      <c r="I72" s="160">
        <f>I69+I71+I35+I28</f>
        <v>32256</v>
      </c>
      <c r="J72" s="160">
        <f>J69+J71+J35+J28</f>
        <v>37039</v>
      </c>
      <c r="K72" s="160">
        <f>K69+K71+K35+K28</f>
        <v>37633</v>
      </c>
      <c r="L72" s="160">
        <f>L69+L71+L35+L28</f>
        <v>41456</v>
      </c>
      <c r="M72" s="202"/>
    </row>
    <row r="73" spans="2:17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203"/>
    </row>
    <row r="74" spans="2:17">
      <c r="B74" s="151" t="s">
        <v>249</v>
      </c>
      <c r="C74" s="152"/>
      <c r="D74" s="152">
        <f>C75</f>
        <v>89776</v>
      </c>
      <c r="E74" s="152">
        <f>D75</f>
        <v>570601</v>
      </c>
      <c r="F74" s="152">
        <f t="shared" ref="F74:L74" si="7">E75</f>
        <v>300829</v>
      </c>
      <c r="G74" s="152"/>
      <c r="H74" s="152">
        <f>F75</f>
        <v>351850</v>
      </c>
      <c r="I74" s="152">
        <f t="shared" si="7"/>
        <v>401051</v>
      </c>
      <c r="J74" s="152">
        <f t="shared" si="7"/>
        <v>433307</v>
      </c>
      <c r="K74" s="152">
        <f t="shared" si="7"/>
        <v>470346</v>
      </c>
      <c r="L74" s="152">
        <f t="shared" si="7"/>
        <v>507979</v>
      </c>
      <c r="M74" s="191"/>
    </row>
    <row r="75" spans="2:17">
      <c r="B75" s="159" t="s">
        <v>250</v>
      </c>
      <c r="C75" s="160">
        <f>'SC des SUCS - Bilan'!C18</f>
        <v>89776</v>
      </c>
      <c r="D75" s="160">
        <f t="shared" ref="D75:F75" si="8">D72+D74</f>
        <v>570601</v>
      </c>
      <c r="E75" s="160">
        <f t="shared" si="8"/>
        <v>300829</v>
      </c>
      <c r="F75" s="160">
        <f t="shared" si="8"/>
        <v>351850</v>
      </c>
      <c r="G75" s="160"/>
      <c r="H75" s="160">
        <f>H72+H74</f>
        <v>401051</v>
      </c>
      <c r="I75" s="160">
        <f t="shared" ref="I75:L75" si="9">I72+I74</f>
        <v>433307</v>
      </c>
      <c r="J75" s="160">
        <f t="shared" si="9"/>
        <v>470346</v>
      </c>
      <c r="K75" s="160">
        <f t="shared" si="9"/>
        <v>507979</v>
      </c>
      <c r="L75" s="160">
        <f t="shared" si="9"/>
        <v>549435</v>
      </c>
      <c r="M75" s="202"/>
    </row>
    <row r="76" spans="2:17">
      <c r="B76" s="159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205"/>
    </row>
    <row r="77" spans="2:17">
      <c r="B77" s="168" t="s">
        <v>221</v>
      </c>
      <c r="C77" s="167"/>
      <c r="D77" s="167" t="str">
        <f>IF(ABS(D75-'SC des SUCS - Bilan'!D18)&lt;0.1,"Validé","Erreur")</f>
        <v>Validé</v>
      </c>
      <c r="E77" s="167" t="str">
        <f>IF(ABS(E75-'SC des SUCS - Bilan'!E18)&lt;0.1,"Validé","Erreur")</f>
        <v>Validé</v>
      </c>
      <c r="F77" s="167" t="str">
        <f>IF(ABS(F75-'SC des SUCS - Bilan'!F18)&lt;0.1,"Validé","Erreur")</f>
        <v>Validé</v>
      </c>
      <c r="G77" s="167"/>
      <c r="H77" s="167" t="str">
        <f>IF(ABS(H75-'SC des SUCS - Bilan'!H18)&lt;0.1,"Validé","Erreur")</f>
        <v>Validé</v>
      </c>
      <c r="I77" s="167" t="str">
        <f>IF(ABS(I75-'SC des SUCS - Bilan'!I18)&lt;0.1,"Validé","Erreur")</f>
        <v>Validé</v>
      </c>
      <c r="J77" s="167" t="str">
        <f>IF(ABS(J75-'SC des SUCS - Bilan'!J18)&lt;0.1,"Validé","Erreur")</f>
        <v>Validé</v>
      </c>
      <c r="K77" s="167" t="str">
        <f>IF(ABS(K75-'SC des SUCS - Bilan'!K18)&lt;0.1,"Validé","Erreur")</f>
        <v>Validé</v>
      </c>
      <c r="L77" s="167" t="str">
        <f>IF(ABS(L75-'SC des SUCS - Bilan'!L18)&lt;0.1,"Validé","Erreur")</f>
        <v>Validé</v>
      </c>
      <c r="M77" s="209"/>
    </row>
    <row r="78" spans="2:17">
      <c r="C78" s="151"/>
      <c r="D78" s="151"/>
      <c r="E78" s="151"/>
      <c r="F78" s="151"/>
      <c r="G78" s="151"/>
      <c r="H78" s="151"/>
    </row>
    <row r="79" spans="2:17">
      <c r="C79" s="134"/>
      <c r="D79" s="134"/>
      <c r="E79" s="134"/>
      <c r="F79" s="134"/>
      <c r="G79" s="134"/>
      <c r="H79" s="134"/>
      <c r="I79" s="134"/>
      <c r="J79" s="134"/>
    </row>
    <row r="80" spans="2:17">
      <c r="C80" s="136"/>
      <c r="D80" s="136"/>
      <c r="E80" s="136"/>
      <c r="F80" s="136"/>
      <c r="G80" s="136"/>
      <c r="H80" s="136"/>
      <c r="I80" s="136"/>
      <c r="J80" s="136"/>
      <c r="K80" s="136"/>
      <c r="L80" s="136"/>
    </row>
    <row r="81" spans="3:12">
      <c r="C81" s="134"/>
      <c r="D81" s="134"/>
      <c r="E81" s="134"/>
      <c r="F81" s="134"/>
      <c r="G81" s="134"/>
      <c r="H81" s="134"/>
      <c r="I81" s="134"/>
      <c r="J81" s="134"/>
    </row>
    <row r="82" spans="3:12">
      <c r="H82" s="273"/>
      <c r="I82" s="273"/>
      <c r="J82" s="273"/>
      <c r="K82" s="273"/>
      <c r="L82" s="273"/>
    </row>
  </sheetData>
  <mergeCells count="1">
    <mergeCell ref="B2:B4"/>
  </mergeCells>
  <conditionalFormatting sqref="C77:L77">
    <cfRule type="containsText" dxfId="113" priority="1" operator="containsText" text="Validé">
      <formula>NOT(ISERROR(SEARCH("Validé",C77)))</formula>
    </cfRule>
    <cfRule type="containsText" dxfId="112" priority="2" operator="containsText" text="Erreur">
      <formula>NOT(ISERROR(SEARCH("Erreur",C77)))</formula>
    </cfRule>
  </conditionalFormatting>
  <conditionalFormatting sqref="C74:M74">
    <cfRule type="containsText" dxfId="111" priority="3" operator="containsText" text="Equilibré">
      <formula>NOT(ISERROR(SEARCH("Equilibré",C74)))</formula>
    </cfRule>
    <cfRule type="containsText" dxfId="110" priority="4" operator="containsText" text="Erreur">
      <formula>NOT(ISERROR(SEARCH("Erreur",C74)))</formula>
    </cfRule>
    <cfRule type="containsText" dxfId="109" priority="5" operator="containsText" text="Validé">
      <formula>NOT(ISERROR(SEARCH("Validé",C74)))</formula>
    </cfRule>
    <cfRule type="containsText" dxfId="108" priority="6" operator="containsText" text="Erreur">
      <formula>NOT(ISERROR(SEARCH("Erreur",C74)))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BA9F-55B4-F144-B2DF-70EC0B238F64}">
  <sheetPr codeName="Feuil26">
    <tabColor theme="9" tint="0.79998168889431442"/>
  </sheetPr>
  <dimension ref="A2:XFD74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F11" sqref="F11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44196</v>
      </c>
      <c r="D3" s="244">
        <v>44561</v>
      </c>
      <c r="E3" s="244">
        <v>44926</v>
      </c>
      <c r="F3" s="244">
        <v>45291</v>
      </c>
      <c r="G3" s="244"/>
      <c r="H3" s="248">
        <v>45657</v>
      </c>
      <c r="I3" s="248">
        <v>46022</v>
      </c>
      <c r="J3" s="248">
        <v>46387</v>
      </c>
      <c r="K3" s="248">
        <v>46752</v>
      </c>
      <c r="L3" s="248">
        <v>47118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687078</v>
      </c>
      <c r="D8" s="128">
        <f t="shared" si="0"/>
        <v>689178</v>
      </c>
      <c r="E8" s="128">
        <f t="shared" si="0"/>
        <v>1200078</v>
      </c>
      <c r="F8" s="128">
        <f>SUM(F9:F11)</f>
        <v>1562817</v>
      </c>
      <c r="G8" s="128"/>
      <c r="H8" s="128">
        <v>1562816</v>
      </c>
      <c r="I8" s="128">
        <v>1562816</v>
      </c>
      <c r="J8" s="128">
        <v>1562816</v>
      </c>
      <c r="K8" s="128">
        <v>1562816</v>
      </c>
      <c r="L8" s="128">
        <v>1562816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88"/>
      <c r="N10" s="188"/>
      <c r="O10" s="188"/>
    </row>
    <row r="11" spans="2:15">
      <c r="B11" s="131" t="s">
        <v>197</v>
      </c>
      <c r="C11" s="132">
        <v>687078</v>
      </c>
      <c r="D11" s="132">
        <v>689178</v>
      </c>
      <c r="E11" s="132">
        <v>1200078</v>
      </c>
      <c r="F11" s="132">
        <v>1562817</v>
      </c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1">SUM(C14:C16,C17:C19)</f>
        <v>328862</v>
      </c>
      <c r="D13" s="128">
        <f t="shared" si="1"/>
        <v>863635</v>
      </c>
      <c r="E13" s="128">
        <f t="shared" si="1"/>
        <v>737589</v>
      </c>
      <c r="F13" s="128">
        <f>SUM(F14:F16,F17:F19)</f>
        <v>1004644</v>
      </c>
      <c r="G13" s="128"/>
      <c r="H13" s="128">
        <f>SUM(H14:H20)</f>
        <v>443255</v>
      </c>
      <c r="I13" s="128">
        <f>SUM(I14:I20)</f>
        <v>476507</v>
      </c>
      <c r="J13" s="128">
        <f>SUM(J14:J20)</f>
        <v>513546</v>
      </c>
      <c r="K13" s="128">
        <f>SUM(K14:K20)</f>
        <v>551179</v>
      </c>
      <c r="L13" s="128">
        <f>SUM(L14:L20)</f>
        <v>592635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/>
      <c r="E16" s="132"/>
      <c r="F16" s="132">
        <f>28800+42000</f>
        <v>70800</v>
      </c>
      <c r="G16" s="132"/>
      <c r="H16" s="132">
        <v>42204</v>
      </c>
      <c r="I16" s="132">
        <v>43200</v>
      </c>
      <c r="J16" s="132">
        <v>43200</v>
      </c>
      <c r="K16" s="132">
        <v>43200</v>
      </c>
      <c r="L16" s="132">
        <v>43200</v>
      </c>
      <c r="M16" s="136"/>
      <c r="N16" s="136"/>
      <c r="O16" s="136"/>
    </row>
    <row r="17" spans="2:15 16384:16384">
      <c r="B17" s="131" t="s">
        <v>202</v>
      </c>
      <c r="C17" s="132">
        <f>156+238930</f>
        <v>239086</v>
      </c>
      <c r="D17" s="132">
        <v>293034</v>
      </c>
      <c r="E17" s="132">
        <f>252+436508</f>
        <v>436760</v>
      </c>
      <c r="F17" s="132">
        <f>164+581158+672</f>
        <v>581994</v>
      </c>
      <c r="G17" s="132"/>
      <c r="H17" s="132"/>
      <c r="I17" s="132"/>
      <c r="J17" s="132"/>
      <c r="K17" s="132"/>
      <c r="L17" s="132"/>
      <c r="M17" s="136"/>
      <c r="N17" s="136"/>
      <c r="O17" s="136"/>
    </row>
    <row r="18" spans="2:15 16384:16384">
      <c r="B18" s="131" t="s">
        <v>203</v>
      </c>
      <c r="C18" s="132">
        <v>89776</v>
      </c>
      <c r="D18" s="132">
        <v>570601</v>
      </c>
      <c r="E18" s="132">
        <v>300829</v>
      </c>
      <c r="F18" s="132">
        <v>351850</v>
      </c>
      <c r="G18" s="132"/>
      <c r="H18" s="132">
        <v>401051</v>
      </c>
      <c r="I18" s="132">
        <v>433307</v>
      </c>
      <c r="J18" s="132">
        <v>470346</v>
      </c>
      <c r="K18" s="132">
        <v>507979</v>
      </c>
      <c r="L18" s="132">
        <v>549435</v>
      </c>
      <c r="M18" s="136"/>
      <c r="N18" s="136"/>
      <c r="O18" s="136"/>
    </row>
    <row r="19" spans="2:15 16384:16384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 16384:16384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 16384:16384">
      <c r="B21" s="130" t="s">
        <v>188</v>
      </c>
      <c r="C21" s="132">
        <v>1</v>
      </c>
      <c r="D21" s="132"/>
      <c r="E21" s="132"/>
      <c r="F21" s="132">
        <v>-1</v>
      </c>
      <c r="G21" s="132"/>
      <c r="H21" s="132"/>
      <c r="I21" s="132"/>
      <c r="J21" s="132"/>
      <c r="K21" s="132"/>
      <c r="L21" s="132"/>
    </row>
    <row r="22" spans="2:15 16384:16384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 16384:16384">
      <c r="B23" s="139" t="s">
        <v>205</v>
      </c>
      <c r="C23" s="140">
        <f>+C6+C8+C13+C21</f>
        <v>1015941</v>
      </c>
      <c r="D23" s="140">
        <f t="shared" ref="D23:L23" si="2">+D6+D8+D13+D21</f>
        <v>1552813</v>
      </c>
      <c r="E23" s="140">
        <f t="shared" si="2"/>
        <v>1937667</v>
      </c>
      <c r="F23" s="140">
        <f t="shared" si="2"/>
        <v>2567460</v>
      </c>
      <c r="G23" s="271"/>
      <c r="H23" s="140">
        <f t="shared" si="2"/>
        <v>2006071</v>
      </c>
      <c r="I23" s="140">
        <f t="shared" si="2"/>
        <v>2039323</v>
      </c>
      <c r="J23" s="140">
        <f t="shared" si="2"/>
        <v>2076362</v>
      </c>
      <c r="K23" s="140">
        <f t="shared" si="2"/>
        <v>2113995</v>
      </c>
      <c r="L23" s="140">
        <f t="shared" si="2"/>
        <v>2155451</v>
      </c>
    </row>
    <row r="24" spans="2:15 16384:16384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 16384:16384">
      <c r="B25" s="130" t="s">
        <v>111</v>
      </c>
      <c r="C25" s="128">
        <f t="shared" ref="C25:E25" si="3">SUM(C26:C31)</f>
        <v>798978</v>
      </c>
      <c r="D25" s="128">
        <f t="shared" si="3"/>
        <v>820376</v>
      </c>
      <c r="E25" s="128">
        <f t="shared" si="3"/>
        <v>1427572</v>
      </c>
      <c r="F25" s="128">
        <f t="shared" ref="F25:L25" si="4">SUM(F26:F31)</f>
        <v>1537285</v>
      </c>
      <c r="G25" s="128"/>
      <c r="H25" s="128">
        <f t="shared" si="4"/>
        <v>1616178</v>
      </c>
      <c r="I25" s="128">
        <f t="shared" si="4"/>
        <v>1699798</v>
      </c>
      <c r="J25" s="128">
        <f t="shared" si="4"/>
        <v>1783791</v>
      </c>
      <c r="K25" s="128">
        <f t="shared" si="4"/>
        <v>1868161</v>
      </c>
      <c r="L25" s="128">
        <f t="shared" si="4"/>
        <v>1952911</v>
      </c>
    </row>
    <row r="26" spans="2:15 16384:16384">
      <c r="B26" s="131" t="s">
        <v>206</v>
      </c>
      <c r="C26" s="132">
        <v>600100</v>
      </c>
      <c r="D26" s="132">
        <v>600100</v>
      </c>
      <c r="E26" s="132">
        <v>1110100</v>
      </c>
      <c r="F26" s="132">
        <f>E26</f>
        <v>1110100</v>
      </c>
      <c r="G26" s="132"/>
      <c r="H26" s="132">
        <f>F26</f>
        <v>1110100</v>
      </c>
      <c r="I26" s="132">
        <f>H26</f>
        <v>1110100</v>
      </c>
      <c r="J26" s="132">
        <f t="shared" ref="J26:L26" si="5">I26</f>
        <v>1110100</v>
      </c>
      <c r="K26" s="132">
        <f t="shared" si="5"/>
        <v>1110100</v>
      </c>
      <c r="L26" s="132">
        <f t="shared" si="5"/>
        <v>1110100</v>
      </c>
    </row>
    <row r="27" spans="2:15 16384:16384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 16384:16384">
      <c r="B28" s="131" t="s">
        <v>65</v>
      </c>
      <c r="C28" s="132">
        <v>199427</v>
      </c>
      <c r="D28" s="132">
        <f>C28+C29</f>
        <v>198878</v>
      </c>
      <c r="E28" s="132">
        <f>D28+D29</f>
        <v>220276</v>
      </c>
      <c r="F28" s="132">
        <f>E28+E29</f>
        <v>317472</v>
      </c>
      <c r="G28" s="132"/>
      <c r="H28" s="132">
        <f>F28+F29</f>
        <v>427185</v>
      </c>
      <c r="I28" s="132">
        <f>H28+H29</f>
        <v>506078</v>
      </c>
      <c r="J28" s="132">
        <f>I28+I29</f>
        <v>589698</v>
      </c>
      <c r="K28" s="132">
        <f>J28+J29</f>
        <v>673691</v>
      </c>
      <c r="L28" s="132">
        <f>K28+K29</f>
        <v>758061</v>
      </c>
      <c r="N28" s="134"/>
      <c r="O28" s="134"/>
      <c r="XFD28" s="132"/>
    </row>
    <row r="29" spans="2:15 16384:16384">
      <c r="B29" s="131" t="s">
        <v>32</v>
      </c>
      <c r="C29" s="132">
        <v>-549</v>
      </c>
      <c r="D29" s="132">
        <f>'SC des SUCS - P&amp;L'!D114</f>
        <v>21398</v>
      </c>
      <c r="E29" s="132">
        <f>'SC des SUCS - P&amp;L'!E114</f>
        <v>97196</v>
      </c>
      <c r="F29" s="132">
        <f>'SC des SUCS - P&amp;L'!F114</f>
        <v>109713</v>
      </c>
      <c r="G29" s="132"/>
      <c r="H29" s="132">
        <f>'SC des SUCS - P&amp;L'!H114</f>
        <v>78893</v>
      </c>
      <c r="I29" s="132">
        <f>'SC des SUCS - P&amp;L'!I114</f>
        <v>83620</v>
      </c>
      <c r="J29" s="132">
        <f>'SC des SUCS - P&amp;L'!J114</f>
        <v>83993</v>
      </c>
      <c r="K29" s="132">
        <f>'SC des SUCS - P&amp;L'!K114</f>
        <v>84370</v>
      </c>
      <c r="L29" s="132">
        <f>'SC des SUCS - P&amp;L'!L114</f>
        <v>84750</v>
      </c>
      <c r="N29" s="134"/>
    </row>
    <row r="30" spans="2:15 16384:16384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  <c r="L30" s="132"/>
    </row>
    <row r="31" spans="2:15 16384:16384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 16384:16384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6">SUM(C34:C36)</f>
        <v>0</v>
      </c>
      <c r="D33" s="128">
        <f t="shared" si="6"/>
        <v>0</v>
      </c>
      <c r="E33" s="128">
        <f t="shared" si="6"/>
        <v>0</v>
      </c>
      <c r="F33" s="128">
        <f t="shared" si="6"/>
        <v>0</v>
      </c>
      <c r="G33" s="128"/>
      <c r="H33" s="128">
        <f t="shared" si="6"/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  <c r="L33" s="128">
        <f t="shared" si="6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F37" si="7">+C38+C43</f>
        <v>216963</v>
      </c>
      <c r="D37" s="185">
        <f t="shared" si="7"/>
        <v>732184</v>
      </c>
      <c r="E37" s="185">
        <f t="shared" si="7"/>
        <v>509777</v>
      </c>
      <c r="F37" s="185">
        <f t="shared" si="7"/>
        <v>1016298</v>
      </c>
      <c r="G37" s="185"/>
      <c r="H37" s="185">
        <v>378682</v>
      </c>
      <c r="I37" s="185">
        <v>332937</v>
      </c>
      <c r="J37" s="185">
        <v>286696</v>
      </c>
      <c r="K37" s="185">
        <v>239953</v>
      </c>
      <c r="L37" s="185">
        <v>196660</v>
      </c>
      <c r="M37" s="190"/>
      <c r="N37" s="190"/>
      <c r="O37" s="190"/>
    </row>
    <row r="38" spans="2:17">
      <c r="B38" s="131" t="s">
        <v>213</v>
      </c>
      <c r="C38" s="132">
        <f>SUM(C39:C42)</f>
        <v>49818</v>
      </c>
      <c r="D38" s="132">
        <f>SUM(D39:D42)</f>
        <v>36923</v>
      </c>
      <c r="E38" s="132">
        <f>SUM(E39:E42)</f>
        <v>23829</v>
      </c>
      <c r="F38" s="132">
        <f>SUM(F39:F42)</f>
        <v>237855</v>
      </c>
      <c r="G38" s="132"/>
      <c r="H38" s="132"/>
      <c r="I38" s="132"/>
      <c r="J38" s="132"/>
      <c r="K38" s="132"/>
      <c r="L38" s="132"/>
      <c r="M38" s="189"/>
      <c r="N38" s="189"/>
      <c r="O38" s="189"/>
      <c r="Q38" s="134"/>
    </row>
    <row r="39" spans="2:17" s="192" customFormat="1" ht="12.75" outlineLevel="1">
      <c r="B39" s="147" t="s">
        <v>699</v>
      </c>
      <c r="C39" s="133">
        <v>49814</v>
      </c>
      <c r="D39" s="133">
        <v>36920</v>
      </c>
      <c r="E39" s="133">
        <v>23827</v>
      </c>
      <c r="F39" s="133">
        <v>10532</v>
      </c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outlineLevel="1">
      <c r="B40" s="147" t="s">
        <v>703</v>
      </c>
      <c r="C40" s="133"/>
      <c r="D40" s="133"/>
      <c r="E40" s="133"/>
      <c r="F40" s="133">
        <v>227276</v>
      </c>
      <c r="G40" s="133"/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s="192" customFormat="1" ht="12.75" outlineLevel="1">
      <c r="B41" s="147" t="s">
        <v>700</v>
      </c>
      <c r="C41" s="133">
        <v>4</v>
      </c>
      <c r="D41" s="133">
        <v>3</v>
      </c>
      <c r="E41" s="133">
        <v>2</v>
      </c>
      <c r="F41" s="133">
        <v>47</v>
      </c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s="192" customFormat="1" ht="12.75" outlineLevel="1">
      <c r="B42" s="147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216"/>
      <c r="N42" s="216"/>
      <c r="O42" s="216"/>
      <c r="Q42" s="217"/>
    </row>
    <row r="43" spans="2:17">
      <c r="B43" s="131" t="s">
        <v>214</v>
      </c>
      <c r="C43" s="132">
        <f>SUM(C44:C47)</f>
        <v>167145</v>
      </c>
      <c r="D43" s="132">
        <f t="shared" ref="D43:L43" si="8">SUM(D44:D47)</f>
        <v>695261</v>
      </c>
      <c r="E43" s="132">
        <f t="shared" si="8"/>
        <v>485948</v>
      </c>
      <c r="F43" s="132">
        <f t="shared" si="8"/>
        <v>778443</v>
      </c>
      <c r="G43" s="132"/>
      <c r="H43" s="132">
        <f t="shared" si="8"/>
        <v>0</v>
      </c>
      <c r="I43" s="132">
        <f t="shared" si="8"/>
        <v>0</v>
      </c>
      <c r="J43" s="132">
        <f t="shared" si="8"/>
        <v>0</v>
      </c>
      <c r="K43" s="132">
        <f t="shared" si="8"/>
        <v>0</v>
      </c>
      <c r="L43" s="132">
        <f t="shared" si="8"/>
        <v>0</v>
      </c>
      <c r="M43" s="189"/>
      <c r="N43" s="189"/>
      <c r="O43" s="189"/>
    </row>
    <row r="44" spans="2:17" s="192" customFormat="1" ht="12.75" outlineLevel="1">
      <c r="B44" s="147" t="s">
        <v>704</v>
      </c>
      <c r="C44" s="133"/>
      <c r="D44" s="133"/>
      <c r="E44" s="133"/>
      <c r="F44" s="133">
        <v>204287</v>
      </c>
      <c r="G44" s="133"/>
      <c r="H44" s="133"/>
      <c r="I44" s="133"/>
      <c r="J44" s="133"/>
      <c r="K44" s="133"/>
      <c r="L44" s="133"/>
      <c r="M44" s="216"/>
      <c r="N44" s="216"/>
      <c r="O44" s="216"/>
      <c r="Q44" s="217"/>
    </row>
    <row r="45" spans="2:17" s="192" customFormat="1" ht="12.75" outlineLevel="1">
      <c r="B45" s="147" t="s">
        <v>701</v>
      </c>
      <c r="C45" s="133">
        <v>167145</v>
      </c>
      <c r="D45" s="133">
        <v>167145</v>
      </c>
      <c r="E45" s="133">
        <v>104145</v>
      </c>
      <c r="F45" s="133">
        <v>45</v>
      </c>
      <c r="G45" s="133"/>
      <c r="H45" s="133"/>
      <c r="I45" s="133"/>
      <c r="J45" s="133"/>
      <c r="K45" s="133"/>
      <c r="L45" s="133"/>
      <c r="M45" s="216"/>
      <c r="N45" s="216"/>
      <c r="O45" s="216"/>
      <c r="Q45" s="217"/>
    </row>
    <row r="46" spans="2:17" s="192" customFormat="1" ht="12.75" outlineLevel="1">
      <c r="B46" s="147" t="s">
        <v>702</v>
      </c>
      <c r="C46" s="133"/>
      <c r="D46" s="133">
        <v>528116</v>
      </c>
      <c r="E46" s="133">
        <v>381803</v>
      </c>
      <c r="F46" s="133">
        <v>574111</v>
      </c>
      <c r="G46" s="133"/>
      <c r="H46" s="133"/>
      <c r="I46" s="133"/>
      <c r="J46" s="133"/>
      <c r="K46" s="133"/>
      <c r="L46" s="133"/>
      <c r="M46" s="216"/>
      <c r="N46" s="216"/>
      <c r="O46" s="216"/>
      <c r="Q46" s="217"/>
    </row>
    <row r="47" spans="2:17">
      <c r="B47" s="147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211"/>
    </row>
    <row r="48" spans="2:17">
      <c r="B48" s="130" t="s">
        <v>215</v>
      </c>
      <c r="C48" s="128">
        <f t="shared" ref="C48:L48" si="9">SUM(C49:C55)</f>
        <v>0</v>
      </c>
      <c r="D48" s="128">
        <f t="shared" si="9"/>
        <v>253</v>
      </c>
      <c r="E48" s="128">
        <f t="shared" si="9"/>
        <v>318</v>
      </c>
      <c r="F48" s="128">
        <f t="shared" si="9"/>
        <v>13876</v>
      </c>
      <c r="G48" s="128"/>
      <c r="H48" s="128">
        <f t="shared" si="9"/>
        <v>11210</v>
      </c>
      <c r="I48" s="128">
        <f t="shared" si="9"/>
        <v>6587</v>
      </c>
      <c r="J48" s="128">
        <f t="shared" si="9"/>
        <v>5874</v>
      </c>
      <c r="K48" s="128">
        <f t="shared" si="9"/>
        <v>5880</v>
      </c>
      <c r="L48" s="128">
        <f t="shared" si="9"/>
        <v>5879</v>
      </c>
      <c r="M48" s="187"/>
      <c r="N48" s="187"/>
      <c r="O48" s="187"/>
    </row>
    <row r="49" spans="1:42">
      <c r="B49" s="131" t="s">
        <v>216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4"/>
      <c r="N49" s="134"/>
      <c r="O49" s="134"/>
    </row>
    <row r="50" spans="1:42">
      <c r="B50" s="131" t="s">
        <v>44</v>
      </c>
      <c r="C50" s="132"/>
      <c r="D50" s="132"/>
      <c r="E50" s="132">
        <v>318</v>
      </c>
      <c r="F50" s="132">
        <v>1499</v>
      </c>
      <c r="G50" s="132"/>
      <c r="H50" s="132">
        <v>2504</v>
      </c>
      <c r="I50" s="132">
        <v>2504</v>
      </c>
      <c r="J50" s="132">
        <v>2504</v>
      </c>
      <c r="K50" s="132">
        <v>2504</v>
      </c>
      <c r="L50" s="132">
        <v>2504</v>
      </c>
      <c r="M50" s="134"/>
      <c r="N50" s="134"/>
      <c r="O50" s="134"/>
    </row>
    <row r="51" spans="1:42">
      <c r="B51" s="131" t="s">
        <v>217</v>
      </c>
      <c r="C51" s="132"/>
      <c r="D51" s="132">
        <v>253</v>
      </c>
      <c r="E51" s="132"/>
      <c r="F51" s="132">
        <f>12368+9</f>
        <v>12377</v>
      </c>
      <c r="G51" s="132"/>
      <c r="H51" s="132">
        <v>8706</v>
      </c>
      <c r="I51" s="132">
        <v>4083</v>
      </c>
      <c r="J51" s="132">
        <v>3370</v>
      </c>
      <c r="K51" s="132">
        <v>3376</v>
      </c>
      <c r="L51" s="132">
        <v>3375</v>
      </c>
      <c r="M51" s="134"/>
      <c r="N51" s="134"/>
      <c r="O51" s="134"/>
    </row>
    <row r="52" spans="1:42">
      <c r="B52" s="131" t="s">
        <v>222</v>
      </c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4"/>
      <c r="N52" s="134"/>
      <c r="O52" s="134"/>
    </row>
    <row r="53" spans="1:42">
      <c r="B53" s="131" t="s">
        <v>218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4"/>
      <c r="N53" s="134"/>
      <c r="O53" s="134"/>
    </row>
    <row r="54" spans="1:42">
      <c r="B54" s="131" t="s">
        <v>219</v>
      </c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4"/>
      <c r="N54" s="134"/>
      <c r="O54" s="134"/>
    </row>
    <row r="55" spans="1:42">
      <c r="B55" s="131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42">
      <c r="B56" s="130" t="s">
        <v>188</v>
      </c>
      <c r="C56" s="132"/>
      <c r="D56" s="135"/>
      <c r="E56" s="132"/>
      <c r="F56" s="132">
        <v>1</v>
      </c>
      <c r="G56" s="132"/>
      <c r="H56" s="132">
        <v>1</v>
      </c>
      <c r="I56" s="132">
        <v>1</v>
      </c>
      <c r="J56" s="132">
        <v>1</v>
      </c>
      <c r="K56" s="132">
        <v>1</v>
      </c>
      <c r="L56" s="132">
        <v>1</v>
      </c>
    </row>
    <row r="57" spans="1:42">
      <c r="B57" s="130"/>
      <c r="C57" s="135"/>
      <c r="D57" s="135"/>
      <c r="E57" s="135"/>
      <c r="F57" s="135"/>
      <c r="G57" s="135"/>
      <c r="H57" s="135"/>
      <c r="I57" s="135"/>
      <c r="J57" s="135"/>
      <c r="K57" s="135"/>
      <c r="L57" s="135"/>
    </row>
    <row r="58" spans="1:42">
      <c r="B58" s="139" t="s">
        <v>220</v>
      </c>
      <c r="C58" s="140">
        <f t="shared" ref="C58:L58" si="10">+C25+C33+C37+C48+C56</f>
        <v>1015941</v>
      </c>
      <c r="D58" s="140">
        <f t="shared" si="10"/>
        <v>1552813</v>
      </c>
      <c r="E58" s="140">
        <f t="shared" si="10"/>
        <v>1937667</v>
      </c>
      <c r="F58" s="140">
        <f t="shared" si="10"/>
        <v>2567460</v>
      </c>
      <c r="G58" s="271"/>
      <c r="H58" s="140">
        <f t="shared" si="10"/>
        <v>2006071</v>
      </c>
      <c r="I58" s="140">
        <f t="shared" si="10"/>
        <v>2039323</v>
      </c>
      <c r="J58" s="140">
        <f t="shared" si="10"/>
        <v>2076362</v>
      </c>
      <c r="K58" s="140">
        <f t="shared" si="10"/>
        <v>2113995</v>
      </c>
      <c r="L58" s="140">
        <f t="shared" si="10"/>
        <v>2155451</v>
      </c>
    </row>
    <row r="59" spans="1:42">
      <c r="B59" s="141"/>
      <c r="C59" s="135"/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42">
      <c r="B60" s="143" t="s">
        <v>221</v>
      </c>
      <c r="C60" s="144" t="str">
        <f t="shared" ref="C60:L60" si="11">IF(ABS(C58-C23)&lt;2,"Equilibré","Erreur")</f>
        <v>Equilibré</v>
      </c>
      <c r="D60" s="144" t="str">
        <f t="shared" si="11"/>
        <v>Equilibré</v>
      </c>
      <c r="E60" s="144" t="str">
        <f t="shared" si="11"/>
        <v>Equilibré</v>
      </c>
      <c r="F60" s="144" t="str">
        <f t="shared" si="11"/>
        <v>Equilibré</v>
      </c>
      <c r="G60" s="252"/>
      <c r="H60" s="144" t="str">
        <f t="shared" si="11"/>
        <v>Equilibré</v>
      </c>
      <c r="I60" s="144" t="str">
        <f t="shared" si="11"/>
        <v>Equilibré</v>
      </c>
      <c r="J60" s="144" t="str">
        <f t="shared" si="11"/>
        <v>Equilibré</v>
      </c>
      <c r="K60" s="144" t="str">
        <f t="shared" si="11"/>
        <v>Equilibré</v>
      </c>
      <c r="L60" s="144" t="str">
        <f t="shared" si="11"/>
        <v>Equilibré</v>
      </c>
    </row>
    <row r="62" spans="1:42" s="32" customFormat="1">
      <c r="A62" s="83"/>
      <c r="B62" s="13" t="s">
        <v>68</v>
      </c>
      <c r="C62" s="14"/>
      <c r="D62" s="14"/>
      <c r="E62" s="14"/>
      <c r="F62" s="14"/>
      <c r="G62" s="52"/>
      <c r="H62" s="14"/>
      <c r="I62" s="14"/>
      <c r="J62" s="14"/>
      <c r="K62" s="14"/>
      <c r="L62" s="14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 s="32" customFormat="1">
      <c r="A63" s="83"/>
      <c r="B63" s="15" t="s">
        <v>42</v>
      </c>
      <c r="C63" s="309"/>
      <c r="D63" s="23"/>
      <c r="E63" s="23"/>
      <c r="F63" s="23"/>
      <c r="G63" s="272"/>
      <c r="H63" s="23"/>
      <c r="I63" s="23"/>
      <c r="J63" s="23"/>
      <c r="K63" s="23"/>
      <c r="L63" s="2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</row>
    <row r="64" spans="1:42" s="32" customFormat="1">
      <c r="A64" s="83"/>
      <c r="B64" s="15" t="s">
        <v>69</v>
      </c>
      <c r="C64" s="23"/>
      <c r="D64" s="23"/>
      <c r="E64" s="23"/>
      <c r="F64" s="23"/>
      <c r="G64" s="272"/>
      <c r="H64" s="23"/>
      <c r="I64" s="23"/>
      <c r="J64" s="23"/>
      <c r="K64" s="23"/>
      <c r="L64" s="2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1:42" s="32" customFormat="1">
      <c r="A65" s="83"/>
      <c r="B65" s="15" t="s">
        <v>70</v>
      </c>
      <c r="C65" s="23"/>
      <c r="D65" s="23"/>
      <c r="E65" s="23"/>
      <c r="F65" s="23"/>
      <c r="G65" s="272"/>
      <c r="H65" s="23"/>
      <c r="I65" s="23"/>
      <c r="J65" s="23"/>
      <c r="K65" s="23"/>
      <c r="L65" s="2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</row>
    <row r="66" spans="1:42">
      <c r="B66" s="24" t="s">
        <v>71</v>
      </c>
      <c r="C66" s="23"/>
      <c r="D66" s="23"/>
      <c r="E66" s="23"/>
      <c r="F66" s="23"/>
      <c r="G66" s="272"/>
      <c r="H66" s="23"/>
      <c r="I66" s="23"/>
      <c r="J66" s="23"/>
      <c r="K66" s="23"/>
      <c r="L66" s="23"/>
    </row>
    <row r="67" spans="1:42">
      <c r="B67" s="25" t="s">
        <v>50</v>
      </c>
      <c r="C67" s="26"/>
      <c r="D67" s="26"/>
      <c r="E67" s="26"/>
      <c r="F67" s="26"/>
      <c r="G67" s="280"/>
      <c r="H67" s="26"/>
      <c r="I67" s="26"/>
      <c r="J67" s="26"/>
      <c r="K67" s="26"/>
      <c r="L67" s="26"/>
    </row>
    <row r="68" spans="1:42">
      <c r="B68" s="25" t="s">
        <v>72</v>
      </c>
      <c r="C68" s="27"/>
      <c r="D68" s="27"/>
      <c r="E68" s="27"/>
      <c r="F68" s="27"/>
      <c r="G68" s="281"/>
      <c r="H68" s="27"/>
      <c r="I68" s="27"/>
      <c r="J68" s="27"/>
      <c r="K68" s="27"/>
      <c r="L68" s="27"/>
    </row>
    <row r="69" spans="1:42">
      <c r="B69" s="28" t="s">
        <v>73</v>
      </c>
      <c r="C69" s="29"/>
      <c r="D69" s="29"/>
      <c r="E69" s="29"/>
      <c r="F69" s="29"/>
      <c r="G69" s="282"/>
      <c r="H69" s="29"/>
      <c r="I69" s="29"/>
      <c r="J69" s="29"/>
      <c r="K69" s="29"/>
      <c r="L69" s="29"/>
    </row>
    <row r="70" spans="1:42">
      <c r="B70" s="17" t="s">
        <v>74</v>
      </c>
      <c r="C70" s="30"/>
      <c r="D70" s="30"/>
      <c r="E70" s="30"/>
      <c r="F70" s="30"/>
      <c r="G70" s="282"/>
      <c r="H70" s="30"/>
      <c r="I70" s="30"/>
      <c r="J70" s="30"/>
      <c r="K70" s="30"/>
      <c r="L70" s="30"/>
    </row>
    <row r="72" spans="1:42">
      <c r="I72" s="146"/>
    </row>
    <row r="73" spans="1:42">
      <c r="C73" s="146"/>
      <c r="D73" s="146"/>
      <c r="E73" s="146"/>
      <c r="F73" s="146"/>
      <c r="G73" s="146"/>
    </row>
    <row r="74" spans="1:42">
      <c r="D74" s="146"/>
      <c r="E74" s="146"/>
      <c r="F74" s="146"/>
      <c r="G74" s="146"/>
    </row>
  </sheetData>
  <mergeCells count="1">
    <mergeCell ref="B2:B4"/>
  </mergeCells>
  <conditionalFormatting sqref="C60:L60">
    <cfRule type="containsText" dxfId="107" priority="1" operator="containsText" text="Equilibré">
      <formula>NOT(ISERROR(SEARCH("Equilibré",C60)))</formula>
    </cfRule>
    <cfRule type="containsText" dxfId="106" priority="2" operator="containsText" text="Erreur">
      <formula>NOT(ISERROR(SEARCH("Erreur",C60)))</formula>
    </cfRule>
    <cfRule type="containsText" dxfId="105" priority="3" operator="containsText" text="Validé">
      <formula>NOT(ISERROR(SEARCH("Validé",C60)))</formula>
    </cfRule>
    <cfRule type="containsText" dxfId="104" priority="4" operator="containsText" text="Erreur">
      <formula>NOT(ISERROR(SEARCH("Erreur",C60)))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1B3F7-71DA-F041-9148-E210151F0A76}">
  <sheetPr codeName="Feuil36">
    <tabColor rgb="FFFFC000"/>
  </sheetPr>
  <dimension ref="A1"/>
  <sheetViews>
    <sheetView zoomScale="85" zoomScaleNormal="85" workbookViewId="0">
      <selection activeCell="P39" sqref="P39"/>
    </sheetView>
  </sheetViews>
  <sheetFormatPr baseColWidth="10" defaultColWidth="10.7109375" defaultRowHeight="15"/>
  <cols>
    <col min="1" max="16384" width="10.7109375" style="78"/>
  </cols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0AEF-DE0C-4744-ACCB-7099451C3498}">
  <sheetPr codeName="Feuil12">
    <tabColor rgb="FF006C4C"/>
  </sheetPr>
  <dimension ref="A1:AQ331"/>
  <sheetViews>
    <sheetView showGridLines="0" zoomScale="85" zoomScaleNormal="85" workbookViewId="0">
      <pane xSplit="2" ySplit="5" topLeftCell="C224" activePane="bottomRight" state="frozen"/>
      <selection pane="topRight" activeCell="C1" sqref="C1"/>
      <selection pane="bottomLeft" activeCell="A5" sqref="A5"/>
      <selection pane="bottomRight" activeCell="E230" sqref="E230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84"/>
      <c r="H2" s="245"/>
      <c r="I2" s="84"/>
      <c r="J2" s="84"/>
      <c r="K2" s="84"/>
      <c r="L2" s="247" t="s">
        <v>269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181" t="s">
        <v>261</v>
      </c>
      <c r="H3" s="246"/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44074</v>
      </c>
      <c r="D4" s="54">
        <v>44439</v>
      </c>
      <c r="E4" s="54">
        <v>44804</v>
      </c>
      <c r="F4" s="54">
        <v>45169</v>
      </c>
      <c r="G4" s="54">
        <v>45535</v>
      </c>
      <c r="H4" s="54"/>
      <c r="I4" s="119" t="s">
        <v>755</v>
      </c>
      <c r="J4" s="119" t="s">
        <v>756</v>
      </c>
      <c r="K4" s="119" t="s">
        <v>757</v>
      </c>
      <c r="L4" s="119" t="s">
        <v>758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87" t="s">
        <v>3</v>
      </c>
      <c r="H5" s="274"/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>
        <f>SUM(C7:C20)</f>
        <v>2632196</v>
      </c>
      <c r="D6" s="88">
        <f>SUM(D7:D20)</f>
        <v>2613013</v>
      </c>
      <c r="E6" s="88">
        <f>SUM(E7:E20)</f>
        <v>3325091</v>
      </c>
      <c r="F6" s="88">
        <f>SUM(F7:F20)</f>
        <v>4817825</v>
      </c>
      <c r="G6" s="88">
        <f>SUM(G7:G20)</f>
        <v>3489034</v>
      </c>
      <c r="H6" s="88"/>
      <c r="I6" s="88">
        <v>3710725</v>
      </c>
      <c r="J6" s="88">
        <v>3896261</v>
      </c>
      <c r="K6" s="88">
        <v>4091074</v>
      </c>
      <c r="L6" s="88">
        <v>4295628</v>
      </c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 outlineLevel="1">
      <c r="A7" s="83"/>
      <c r="B7" s="106" t="s">
        <v>279</v>
      </c>
      <c r="C7" s="95">
        <v>44136</v>
      </c>
      <c r="D7" s="95">
        <v>30903</v>
      </c>
      <c r="E7" s="95">
        <v>520333</v>
      </c>
      <c r="F7" s="95">
        <v>600091</v>
      </c>
      <c r="G7" s="95">
        <v>519532</v>
      </c>
      <c r="H7" s="95"/>
      <c r="I7" s="95"/>
      <c r="J7" s="95"/>
      <c r="K7" s="95"/>
      <c r="L7" s="95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 outlineLevel="1">
      <c r="A8" s="83"/>
      <c r="B8" s="106" t="s">
        <v>280</v>
      </c>
      <c r="C8" s="95"/>
      <c r="D8" s="95">
        <v>4887</v>
      </c>
      <c r="E8" s="95">
        <v>2587</v>
      </c>
      <c r="F8" s="95"/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281</v>
      </c>
      <c r="C9" s="95">
        <v>655550</v>
      </c>
      <c r="D9" s="95">
        <v>538798</v>
      </c>
      <c r="E9" s="95">
        <v>846718</v>
      </c>
      <c r="F9" s="95">
        <v>735693</v>
      </c>
      <c r="G9" s="95">
        <v>635039</v>
      </c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282</v>
      </c>
      <c r="C10" s="95">
        <v>72708</v>
      </c>
      <c r="D10" s="95">
        <v>83939</v>
      </c>
      <c r="E10" s="95"/>
      <c r="F10" s="95">
        <v>1217341</v>
      </c>
      <c r="G10" s="95">
        <v>798448</v>
      </c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283</v>
      </c>
      <c r="C11" s="95">
        <v>1267018</v>
      </c>
      <c r="D11" s="95">
        <v>518748</v>
      </c>
      <c r="E11" s="95">
        <v>424854</v>
      </c>
      <c r="F11" s="95">
        <v>122734</v>
      </c>
      <c r="G11" s="95">
        <v>110559</v>
      </c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425</v>
      </c>
      <c r="C12" s="95">
        <v>11154</v>
      </c>
      <c r="D12" s="95">
        <v>2000</v>
      </c>
      <c r="E12" s="95"/>
      <c r="F12" s="95"/>
      <c r="G12" s="95">
        <v>721</v>
      </c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 t="s">
        <v>284</v>
      </c>
      <c r="C13" s="95">
        <v>186781</v>
      </c>
      <c r="D13" s="95">
        <v>500428</v>
      </c>
      <c r="E13" s="95">
        <v>752161</v>
      </c>
      <c r="F13" s="95">
        <v>1235411</v>
      </c>
      <c r="G13" s="95">
        <v>950318</v>
      </c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1">
      <c r="A14" s="83"/>
      <c r="B14" s="106" t="s">
        <v>285</v>
      </c>
      <c r="C14" s="95">
        <v>129346</v>
      </c>
      <c r="D14" s="95">
        <v>60500</v>
      </c>
      <c r="E14" s="95">
        <v>108920</v>
      </c>
      <c r="F14" s="95">
        <v>303615</v>
      </c>
      <c r="G14" s="95">
        <v>145694</v>
      </c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 outlineLevel="1">
      <c r="A15" s="83"/>
      <c r="B15" s="106" t="s">
        <v>286</v>
      </c>
      <c r="D15" s="95"/>
      <c r="E15" s="95"/>
      <c r="F15" s="95">
        <v>283613</v>
      </c>
      <c r="G15" s="95">
        <v>185988</v>
      </c>
      <c r="H15" s="95"/>
      <c r="I15" s="95"/>
      <c r="J15" s="95"/>
      <c r="K15" s="95"/>
      <c r="L15" s="95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 outlineLevel="1">
      <c r="A16" s="83"/>
      <c r="B16" s="106" t="s">
        <v>842</v>
      </c>
      <c r="D16" s="95"/>
      <c r="E16" s="95"/>
      <c r="F16" s="95"/>
      <c r="G16" s="95">
        <v>2311</v>
      </c>
      <c r="H16" s="95"/>
      <c r="I16" s="95"/>
      <c r="J16" s="95"/>
      <c r="K16" s="95"/>
      <c r="L16" s="95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outlineLevel="1">
      <c r="A17" s="83"/>
      <c r="B17" s="106" t="s">
        <v>287</v>
      </c>
      <c r="C17" s="95">
        <v>155018</v>
      </c>
      <c r="D17" s="95">
        <v>385786</v>
      </c>
      <c r="E17" s="95">
        <v>445437</v>
      </c>
      <c r="F17" s="95"/>
      <c r="G17" s="95">
        <v>100114</v>
      </c>
      <c r="H17" s="95"/>
      <c r="I17" s="95"/>
      <c r="J17" s="95"/>
      <c r="K17" s="95"/>
      <c r="L17" s="95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outlineLevel="1">
      <c r="A18" s="83"/>
      <c r="B18" s="106" t="s">
        <v>288</v>
      </c>
      <c r="C18" s="95">
        <v>130471</v>
      </c>
      <c r="D18" s="95">
        <v>487024</v>
      </c>
      <c r="E18" s="95">
        <v>224081</v>
      </c>
      <c r="F18" s="95">
        <v>319327</v>
      </c>
      <c r="G18" s="95">
        <v>40310</v>
      </c>
      <c r="H18" s="95"/>
      <c r="I18" s="95"/>
      <c r="J18" s="95"/>
      <c r="K18" s="95"/>
      <c r="L18" s="95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 outlineLevel="1">
      <c r="A19" s="83"/>
      <c r="B19" s="106" t="s">
        <v>438</v>
      </c>
      <c r="C19" s="95">
        <v>-19986</v>
      </c>
      <c r="D19" s="95"/>
      <c r="E19" s="95"/>
      <c r="F19" s="95"/>
      <c r="G19" s="95"/>
      <c r="H19" s="95"/>
      <c r="I19" s="95"/>
      <c r="J19" s="95"/>
      <c r="K19" s="95"/>
      <c r="L19" s="95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outlineLevel="1">
      <c r="A20" s="83"/>
      <c r="B20" s="106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>
      <c r="A21" s="83"/>
      <c r="B21" s="83" t="s">
        <v>165</v>
      </c>
      <c r="C21" s="88">
        <f>SUM(C22:C31)</f>
        <v>15369</v>
      </c>
      <c r="D21" s="88">
        <f>SUM(D22:D31)</f>
        <v>26807</v>
      </c>
      <c r="E21" s="88">
        <f>SUM(E22:E31)</f>
        <v>54512</v>
      </c>
      <c r="F21" s="88">
        <f>SUM(F22:F31)</f>
        <v>64868</v>
      </c>
      <c r="G21" s="88">
        <f>SUM(G22:G31)</f>
        <v>112646</v>
      </c>
      <c r="H21" s="88"/>
      <c r="I21" s="88">
        <v>0</v>
      </c>
      <c r="J21" s="88">
        <v>0</v>
      </c>
      <c r="K21" s="88">
        <v>0</v>
      </c>
      <c r="L21" s="88">
        <v>0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 outlineLevel="1">
      <c r="A22" s="83"/>
      <c r="B22" s="106" t="s">
        <v>289</v>
      </c>
      <c r="C22" s="95">
        <v>15249</v>
      </c>
      <c r="D22" s="95">
        <v>17744</v>
      </c>
      <c r="E22" s="95">
        <v>14950</v>
      </c>
      <c r="F22" s="95">
        <v>11923</v>
      </c>
      <c r="G22" s="95">
        <v>8874</v>
      </c>
      <c r="H22" s="95"/>
      <c r="I22" s="95"/>
      <c r="J22" s="95"/>
      <c r="K22" s="95"/>
      <c r="L22" s="95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 outlineLevel="1">
      <c r="A23" s="83"/>
      <c r="B23" s="106" t="s">
        <v>290</v>
      </c>
      <c r="C23" s="95"/>
      <c r="D23" s="95"/>
      <c r="E23" s="95"/>
      <c r="F23" s="95">
        <v>10267</v>
      </c>
      <c r="G23" s="95"/>
      <c r="H23" s="95"/>
      <c r="I23" s="95"/>
      <c r="J23" s="95"/>
      <c r="K23" s="95"/>
      <c r="L23" s="95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</row>
    <row r="24" spans="1:43" ht="15.75" outlineLevel="1">
      <c r="A24" s="83"/>
      <c r="B24" s="106" t="s">
        <v>291</v>
      </c>
      <c r="C24" s="95"/>
      <c r="D24" s="95"/>
      <c r="E24" s="95">
        <v>20995</v>
      </c>
      <c r="F24" s="95">
        <v>27300</v>
      </c>
      <c r="G24" s="95">
        <v>46655</v>
      </c>
      <c r="H24" s="95"/>
      <c r="I24" s="95"/>
      <c r="J24" s="95"/>
      <c r="K24" s="95"/>
      <c r="L24" s="95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5.75" outlineLevel="1">
      <c r="A25" s="83"/>
      <c r="B25" s="106" t="s">
        <v>292</v>
      </c>
      <c r="C25" s="95"/>
      <c r="D25" s="95">
        <v>5400</v>
      </c>
      <c r="E25" s="95">
        <v>10800</v>
      </c>
      <c r="F25" s="95">
        <v>10800</v>
      </c>
      <c r="G25" s="95">
        <v>30000</v>
      </c>
      <c r="H25" s="95"/>
      <c r="I25" s="95"/>
      <c r="J25" s="95"/>
      <c r="K25" s="95"/>
      <c r="L25" s="95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</row>
    <row r="26" spans="1:43" ht="15.75" outlineLevel="1">
      <c r="A26" s="83"/>
      <c r="B26" s="106" t="s">
        <v>293</v>
      </c>
      <c r="C26" s="95">
        <v>120</v>
      </c>
      <c r="D26" s="95"/>
      <c r="E26" s="95"/>
      <c r="F26" s="95">
        <v>1813</v>
      </c>
      <c r="G26" s="95"/>
      <c r="H26" s="95"/>
      <c r="I26" s="95"/>
      <c r="J26" s="95"/>
      <c r="K26" s="95"/>
      <c r="L26" s="95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</row>
    <row r="27" spans="1:43" ht="15.75" outlineLevel="1">
      <c r="A27" s="83"/>
      <c r="B27" s="106" t="s">
        <v>294</v>
      </c>
      <c r="C27" s="95"/>
      <c r="D27" s="95">
        <v>2723</v>
      </c>
      <c r="E27" s="95">
        <v>4592</v>
      </c>
      <c r="F27" s="95"/>
      <c r="G27" s="95"/>
      <c r="H27" s="95"/>
      <c r="I27" s="95"/>
      <c r="J27" s="95"/>
      <c r="K27" s="95"/>
      <c r="L27" s="95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</row>
    <row r="28" spans="1:43" ht="15.75" outlineLevel="1">
      <c r="A28" s="83"/>
      <c r="B28" s="106" t="s">
        <v>295</v>
      </c>
      <c r="C28" s="95"/>
      <c r="D28" s="95">
        <v>940</v>
      </c>
      <c r="E28" s="95">
        <v>3175</v>
      </c>
      <c r="F28" s="95">
        <v>1535</v>
      </c>
      <c r="G28" s="95">
        <v>15117</v>
      </c>
      <c r="H28" s="95"/>
      <c r="I28" s="95"/>
      <c r="J28" s="95"/>
      <c r="K28" s="95"/>
      <c r="L28" s="95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</row>
    <row r="29" spans="1:43" ht="15.75" outlineLevel="1">
      <c r="A29" s="83"/>
      <c r="B29" s="106" t="s">
        <v>296</v>
      </c>
      <c r="C29" s="95"/>
      <c r="D29" s="95"/>
      <c r="E29" s="95"/>
      <c r="F29" s="95">
        <v>579</v>
      </c>
      <c r="G29" s="95">
        <v>12000</v>
      </c>
      <c r="H29" s="95"/>
      <c r="I29" s="95"/>
      <c r="J29" s="95"/>
      <c r="K29" s="95"/>
      <c r="L29" s="95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</row>
    <row r="30" spans="1:43" ht="15.75" outlineLevel="1">
      <c r="A30" s="83"/>
      <c r="B30" s="106" t="s">
        <v>297</v>
      </c>
      <c r="C30" s="95"/>
      <c r="D30" s="95"/>
      <c r="E30" s="95"/>
      <c r="F30" s="95">
        <v>651</v>
      </c>
      <c r="G30" s="95"/>
      <c r="H30" s="95"/>
      <c r="I30" s="95"/>
      <c r="J30" s="95"/>
      <c r="K30" s="95"/>
      <c r="L30" s="95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</row>
    <row r="31" spans="1:43" ht="15.75" outlineLevel="1">
      <c r="A31" s="83"/>
      <c r="B31" s="106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</row>
    <row r="32" spans="1:43" ht="15.75">
      <c r="A32" s="83"/>
      <c r="B32" s="83" t="s">
        <v>166</v>
      </c>
      <c r="C32" s="88">
        <v>0</v>
      </c>
      <c r="D32" s="88">
        <v>0</v>
      </c>
      <c r="E32" s="88">
        <v>0</v>
      </c>
      <c r="F32" s="88">
        <v>0</v>
      </c>
      <c r="G32" s="88">
        <v>0</v>
      </c>
      <c r="H32" s="88"/>
      <c r="I32" s="88">
        <v>0</v>
      </c>
      <c r="J32" s="88">
        <v>0</v>
      </c>
      <c r="K32" s="88">
        <v>0</v>
      </c>
      <c r="L32" s="88">
        <v>0</v>
      </c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</row>
    <row r="33" spans="1:43" ht="15.75">
      <c r="A33" s="83"/>
      <c r="B33" s="98" t="s">
        <v>7</v>
      </c>
      <c r="C33" s="99">
        <f t="shared" ref="C33:L33" si="0">C6+C32+C21</f>
        <v>2647565</v>
      </c>
      <c r="D33" s="99">
        <f t="shared" si="0"/>
        <v>2639820</v>
      </c>
      <c r="E33" s="99">
        <f t="shared" si="0"/>
        <v>3379603</v>
      </c>
      <c r="F33" s="99">
        <f t="shared" si="0"/>
        <v>4882693</v>
      </c>
      <c r="G33" s="99">
        <f t="shared" si="0"/>
        <v>3601680</v>
      </c>
      <c r="H33" s="330">
        <f>(G33/C33)^(1/5)-1</f>
        <v>6.348580775680257E-2</v>
      </c>
      <c r="I33" s="99">
        <f t="shared" si="0"/>
        <v>3710725</v>
      </c>
      <c r="J33" s="99">
        <f t="shared" si="0"/>
        <v>3896261</v>
      </c>
      <c r="K33" s="99">
        <f t="shared" si="0"/>
        <v>4091074</v>
      </c>
      <c r="L33" s="99">
        <f t="shared" si="0"/>
        <v>4295628</v>
      </c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>
      <c r="A34" s="83"/>
      <c r="B34" s="97" t="s">
        <v>8</v>
      </c>
      <c r="C34" s="89">
        <f>'Probois 43'!C9</f>
        <v>0</v>
      </c>
      <c r="D34" s="89">
        <f>'Probois 43'!D9</f>
        <v>0</v>
      </c>
      <c r="E34" s="89">
        <f>'Probois 43'!E9</f>
        <v>0</v>
      </c>
      <c r="F34" s="89">
        <f>'Probois 43'!F9</f>
        <v>0</v>
      </c>
      <c r="G34" s="89">
        <f>'Probois 43'!G9</f>
        <v>0</v>
      </c>
      <c r="H34" s="89"/>
      <c r="I34" s="89">
        <v>0</v>
      </c>
      <c r="J34" s="89">
        <v>0</v>
      </c>
      <c r="K34" s="89">
        <v>0</v>
      </c>
      <c r="L34" s="89">
        <v>0</v>
      </c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>
      <c r="A35" s="83"/>
      <c r="B35" s="97" t="s">
        <v>9</v>
      </c>
      <c r="C35" s="169">
        <f>'Probois 43'!C10</f>
        <v>0</v>
      </c>
      <c r="D35" s="169">
        <f>'Probois 43'!D10</f>
        <v>0</v>
      </c>
      <c r="E35" s="169">
        <f>'Probois 43'!E10</f>
        <v>0</v>
      </c>
      <c r="F35" s="169">
        <f>'Probois 43'!F10</f>
        <v>0</v>
      </c>
      <c r="G35" s="169">
        <f>'Probois 43'!G10</f>
        <v>0</v>
      </c>
      <c r="H35" s="169"/>
      <c r="I35" s="169">
        <v>0</v>
      </c>
      <c r="J35" s="169">
        <v>0</v>
      </c>
      <c r="K35" s="169">
        <v>0</v>
      </c>
      <c r="L35" s="169">
        <v>0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>
      <c r="A36" s="83"/>
      <c r="B36" s="100" t="s">
        <v>14</v>
      </c>
      <c r="C36" s="99">
        <f t="shared" ref="C36:L36" si="1">C33+C34+C35</f>
        <v>2647565</v>
      </c>
      <c r="D36" s="99">
        <f t="shared" si="1"/>
        <v>2639820</v>
      </c>
      <c r="E36" s="99">
        <f t="shared" si="1"/>
        <v>3379603</v>
      </c>
      <c r="F36" s="99">
        <f t="shared" si="1"/>
        <v>4882693</v>
      </c>
      <c r="G36" s="99">
        <f t="shared" si="1"/>
        <v>3601680</v>
      </c>
      <c r="H36" s="275"/>
      <c r="I36" s="99">
        <f t="shared" si="1"/>
        <v>3710725</v>
      </c>
      <c r="J36" s="99">
        <f t="shared" si="1"/>
        <v>3896261</v>
      </c>
      <c r="K36" s="99">
        <f t="shared" si="1"/>
        <v>4091074</v>
      </c>
      <c r="L36" s="99">
        <f t="shared" si="1"/>
        <v>4295628</v>
      </c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6.5" thickBot="1">
      <c r="A37" s="83"/>
      <c r="B37" s="101" t="s">
        <v>106</v>
      </c>
      <c r="C37" s="102">
        <f t="shared" ref="C37:L37" si="2">C36/C33</f>
        <v>1</v>
      </c>
      <c r="D37" s="102">
        <f t="shared" si="2"/>
        <v>1</v>
      </c>
      <c r="E37" s="102">
        <f t="shared" si="2"/>
        <v>1</v>
      </c>
      <c r="F37" s="102">
        <f t="shared" si="2"/>
        <v>1</v>
      </c>
      <c r="G37" s="102">
        <f t="shared" si="2"/>
        <v>1</v>
      </c>
      <c r="H37" s="276"/>
      <c r="I37" s="102">
        <f t="shared" si="2"/>
        <v>1</v>
      </c>
      <c r="J37" s="102">
        <f t="shared" si="2"/>
        <v>1</v>
      </c>
      <c r="K37" s="102">
        <f t="shared" si="2"/>
        <v>1</v>
      </c>
      <c r="L37" s="102">
        <f t="shared" si="2"/>
        <v>1</v>
      </c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ht="15.75" collapsed="1">
      <c r="A38" s="83"/>
      <c r="B38" s="103" t="s">
        <v>167</v>
      </c>
      <c r="C38" s="89">
        <f>SUM(C39:C60)</f>
        <v>-2221830</v>
      </c>
      <c r="D38" s="89">
        <f>SUM(D39:D60)</f>
        <v>-2339794</v>
      </c>
      <c r="E38" s="89">
        <f>SUM(E39:E60)</f>
        <v>-2856195</v>
      </c>
      <c r="F38" s="89">
        <f>SUM(F39:F60)</f>
        <v>-4124290</v>
      </c>
      <c r="G38" s="89">
        <f>SUM(G39:G60)</f>
        <v>-3047998</v>
      </c>
      <c r="H38" s="89"/>
      <c r="I38" s="89">
        <f>-(I36-I67)</f>
        <v>-3117009</v>
      </c>
      <c r="J38" s="89">
        <f>-(J36-J67)</f>
        <v>-3272859.24</v>
      </c>
      <c r="K38" s="89">
        <f>-(K36-K67)</f>
        <v>-3436502.16</v>
      </c>
      <c r="L38" s="89">
        <f>-(L36-L67)</f>
        <v>-3608327.52</v>
      </c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</row>
    <row r="39" spans="1:43" ht="15.75" outlineLevel="1">
      <c r="A39" s="83"/>
      <c r="B39" s="106" t="s">
        <v>301</v>
      </c>
      <c r="C39" s="95">
        <v>-510656</v>
      </c>
      <c r="D39" s="95">
        <v>-445921</v>
      </c>
      <c r="E39" s="95">
        <v>-564703</v>
      </c>
      <c r="F39" s="95">
        <v>-406748</v>
      </c>
      <c r="G39" s="95">
        <v>-331257</v>
      </c>
      <c r="H39" s="95"/>
      <c r="I39" s="95"/>
      <c r="J39" s="95"/>
      <c r="K39" s="95"/>
      <c r="L39" s="95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</row>
    <row r="40" spans="1:43" ht="15.75" outlineLevel="1">
      <c r="A40" s="83"/>
      <c r="B40" s="106" t="s">
        <v>302</v>
      </c>
      <c r="C40" s="95">
        <v>-395174</v>
      </c>
      <c r="D40" s="95">
        <v>-226014</v>
      </c>
      <c r="E40" s="95">
        <v>-355240</v>
      </c>
      <c r="F40" s="95">
        <v>-208824</v>
      </c>
      <c r="G40" s="95">
        <v>-432758</v>
      </c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1">
      <c r="A41" s="83"/>
      <c r="B41" s="106" t="s">
        <v>303</v>
      </c>
      <c r="D41" s="95"/>
      <c r="E41" s="95">
        <v>-2340</v>
      </c>
      <c r="F41" s="95">
        <v>-350</v>
      </c>
      <c r="G41" s="95">
        <v>-5126</v>
      </c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1">
      <c r="A42" s="83"/>
      <c r="B42" s="106" t="s">
        <v>304</v>
      </c>
      <c r="C42" s="95">
        <v>-58627</v>
      </c>
      <c r="D42" s="95">
        <v>-518783</v>
      </c>
      <c r="E42" s="95">
        <v>-370567</v>
      </c>
      <c r="F42" s="95">
        <v>-561786</v>
      </c>
      <c r="G42" s="95">
        <v>-621040</v>
      </c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1">
      <c r="A43" s="83"/>
      <c r="B43" s="106" t="s">
        <v>305</v>
      </c>
      <c r="C43" s="95">
        <v>-689025</v>
      </c>
      <c r="D43" s="95">
        <v>-515106</v>
      </c>
      <c r="E43" s="95">
        <v>-306220</v>
      </c>
      <c r="F43" s="95">
        <v>-245153</v>
      </c>
      <c r="G43" s="95">
        <v>-82723</v>
      </c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106" t="s">
        <v>306</v>
      </c>
      <c r="C44" s="95">
        <v>-137465</v>
      </c>
      <c r="D44" s="95">
        <v>-162501</v>
      </c>
      <c r="E44" s="95">
        <v>-597814</v>
      </c>
      <c r="F44" s="95">
        <v>-656940</v>
      </c>
      <c r="G44" s="95">
        <v>-493463</v>
      </c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1">
      <c r="A45" s="83"/>
      <c r="B45" s="106" t="s">
        <v>307</v>
      </c>
      <c r="D45" s="95"/>
      <c r="E45" s="95">
        <v>-15000</v>
      </c>
      <c r="F45" s="95"/>
      <c r="G45" s="95"/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5.75" outlineLevel="1">
      <c r="A46" s="83"/>
      <c r="B46" s="106" t="s">
        <v>308</v>
      </c>
      <c r="D46" s="95"/>
      <c r="E46" s="95"/>
      <c r="F46" s="95">
        <v>-516667</v>
      </c>
      <c r="G46" s="95">
        <v>-597092</v>
      </c>
      <c r="H46" s="95"/>
      <c r="I46" s="95"/>
      <c r="J46" s="95"/>
      <c r="K46" s="95"/>
      <c r="L46" s="95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 outlineLevel="1">
      <c r="A47" s="83"/>
      <c r="B47" s="106" t="s">
        <v>309</v>
      </c>
      <c r="D47" s="95"/>
      <c r="E47" s="95"/>
      <c r="F47" s="95">
        <v>-615289</v>
      </c>
      <c r="G47" s="95">
        <v>-18088</v>
      </c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1">
      <c r="A48" s="83"/>
      <c r="B48" s="106" t="s">
        <v>310</v>
      </c>
      <c r="C48" s="95"/>
      <c r="D48" s="95"/>
      <c r="E48" s="95"/>
      <c r="F48" s="95">
        <v>-163984</v>
      </c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ht="15.75" outlineLevel="1">
      <c r="A49" s="83"/>
      <c r="B49" s="106" t="s">
        <v>311</v>
      </c>
      <c r="C49" s="95">
        <v>-117465</v>
      </c>
      <c r="D49" s="95">
        <v>-126655</v>
      </c>
      <c r="E49" s="95">
        <v>-313245</v>
      </c>
      <c r="F49" s="95">
        <v>-479549</v>
      </c>
      <c r="G49" s="95">
        <v>-269057</v>
      </c>
      <c r="H49" s="95"/>
      <c r="I49" s="95"/>
      <c r="J49" s="95"/>
      <c r="K49" s="95"/>
      <c r="L49" s="95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 t="s">
        <v>312</v>
      </c>
      <c r="C50" s="95">
        <v>-5676</v>
      </c>
      <c r="D50" s="95">
        <v>-2789</v>
      </c>
      <c r="E50" s="95">
        <v>-9498</v>
      </c>
      <c r="F50" s="95">
        <v>-14488</v>
      </c>
      <c r="G50" s="95">
        <v>-9638</v>
      </c>
      <c r="H50" s="95"/>
      <c r="I50" s="95"/>
      <c r="J50" s="95"/>
      <c r="K50" s="95"/>
      <c r="L50" s="95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 outlineLevel="1">
      <c r="A51" s="83"/>
      <c r="B51" s="106" t="s">
        <v>313</v>
      </c>
      <c r="C51" s="95">
        <v>-130384</v>
      </c>
      <c r="D51" s="95">
        <v>-60060</v>
      </c>
      <c r="E51" s="95">
        <v>-67153</v>
      </c>
      <c r="F51" s="95">
        <v>-94330</v>
      </c>
      <c r="G51" s="95">
        <v>-77131</v>
      </c>
      <c r="H51" s="95"/>
      <c r="I51" s="95"/>
      <c r="J51" s="95"/>
      <c r="K51" s="95"/>
      <c r="L51" s="95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 outlineLevel="1">
      <c r="A52" s="83"/>
      <c r="B52" s="106" t="s">
        <v>441</v>
      </c>
      <c r="C52" s="95">
        <v>-50026</v>
      </c>
      <c r="D52" s="95">
        <v>-81203</v>
      </c>
      <c r="E52" s="95">
        <v>-58819</v>
      </c>
      <c r="F52" s="95">
        <v>-15052</v>
      </c>
      <c r="G52" s="95">
        <v>-16020</v>
      </c>
      <c r="H52" s="95"/>
      <c r="I52" s="95"/>
      <c r="J52" s="95"/>
      <c r="K52" s="95"/>
      <c r="L52" s="95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 outlineLevel="1">
      <c r="A53" s="83"/>
      <c r="B53" s="106" t="s">
        <v>314</v>
      </c>
      <c r="C53" s="95">
        <v>-26061</v>
      </c>
      <c r="D53" s="95">
        <v>-107277</v>
      </c>
      <c r="E53" s="95">
        <v>-52383</v>
      </c>
      <c r="F53" s="95">
        <v>-14569</v>
      </c>
      <c r="G53" s="95">
        <v>-1283</v>
      </c>
      <c r="H53" s="95"/>
      <c r="I53" s="95"/>
      <c r="J53" s="95"/>
      <c r="K53" s="95"/>
      <c r="L53" s="95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106" t="s">
        <v>315</v>
      </c>
      <c r="C54" s="95"/>
      <c r="D54" s="95"/>
      <c r="E54" s="95"/>
      <c r="F54" s="95">
        <v>-4190</v>
      </c>
      <c r="G54" s="95">
        <v>-19847</v>
      </c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 outlineLevel="1">
      <c r="A55" s="83"/>
      <c r="B55" s="106" t="s">
        <v>316</v>
      </c>
      <c r="C55" s="95"/>
      <c r="D55" s="95"/>
      <c r="E55" s="95"/>
      <c r="F55" s="95">
        <v>-11335</v>
      </c>
      <c r="G55" s="95">
        <v>-32015</v>
      </c>
      <c r="H55" s="95"/>
      <c r="I55" s="95"/>
      <c r="J55" s="95"/>
      <c r="K55" s="95"/>
      <c r="L55" s="95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 outlineLevel="1">
      <c r="A56" s="83"/>
      <c r="B56" s="106" t="s">
        <v>317</v>
      </c>
      <c r="C56" s="95"/>
      <c r="D56" s="95"/>
      <c r="E56" s="95"/>
      <c r="F56" s="95">
        <v>-2571</v>
      </c>
      <c r="G56" s="95"/>
      <c r="H56" s="95"/>
      <c r="I56" s="95"/>
      <c r="J56" s="95"/>
      <c r="K56" s="95"/>
      <c r="L56" s="95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 outlineLevel="1">
      <c r="A57" s="83"/>
      <c r="B57" s="106" t="s">
        <v>318</v>
      </c>
      <c r="C57" s="95">
        <v>-3437</v>
      </c>
      <c r="D57" s="95">
        <v>-5461</v>
      </c>
      <c r="E57" s="95">
        <v>-4107</v>
      </c>
      <c r="F57" s="95"/>
      <c r="G57" s="95"/>
      <c r="H57" s="95"/>
      <c r="I57" s="95"/>
      <c r="J57" s="95"/>
      <c r="K57" s="95"/>
      <c r="L57" s="95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5.75" outlineLevel="1">
      <c r="A58" s="83"/>
      <c r="B58" s="106" t="s">
        <v>319</v>
      </c>
      <c r="C58" s="95">
        <v>-759</v>
      </c>
      <c r="D58" s="95">
        <v>-1507</v>
      </c>
      <c r="E58" s="95">
        <v>-1078</v>
      </c>
      <c r="F58" s="95">
        <v>-3527</v>
      </c>
      <c r="G58" s="95">
        <v>-2787</v>
      </c>
      <c r="H58" s="95"/>
      <c r="I58" s="95"/>
      <c r="J58" s="95"/>
      <c r="K58" s="95"/>
      <c r="L58" s="95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 outlineLevel="1">
      <c r="A59" s="83"/>
      <c r="B59" s="106" t="s">
        <v>526</v>
      </c>
      <c r="C59" s="95">
        <v>-97075</v>
      </c>
      <c r="D59" s="95">
        <v>-86517</v>
      </c>
      <c r="E59" s="95">
        <v>-138028</v>
      </c>
      <c r="F59" s="95">
        <v>-108938</v>
      </c>
      <c r="G59" s="95">
        <v>-38673</v>
      </c>
      <c r="H59" s="95"/>
      <c r="I59" s="95"/>
      <c r="J59" s="95"/>
      <c r="K59" s="95"/>
      <c r="L59" s="95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83"/>
      <c r="B61" s="103" t="s">
        <v>168</v>
      </c>
      <c r="C61" s="89">
        <f>SUM(C62:C64)</f>
        <v>-75593</v>
      </c>
      <c r="D61" s="89">
        <f>SUM(D62:D64)</f>
        <v>54057</v>
      </c>
      <c r="E61" s="89">
        <f>SUM(E62:E64)</f>
        <v>53913</v>
      </c>
      <c r="F61" s="89">
        <f>SUM(F62:F64)</f>
        <v>-141272</v>
      </c>
      <c r="G61" s="89">
        <f>SUM(G62:G64)</f>
        <v>92791</v>
      </c>
      <c r="H61" s="89"/>
      <c r="I61" s="89">
        <f t="shared" ref="I61:L61" si="3">I62</f>
        <v>0</v>
      </c>
      <c r="J61" s="89">
        <f t="shared" si="3"/>
        <v>0</v>
      </c>
      <c r="K61" s="89">
        <f t="shared" si="3"/>
        <v>0</v>
      </c>
      <c r="L61" s="89">
        <f t="shared" si="3"/>
        <v>0</v>
      </c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 outlineLevel="1">
      <c r="A62" s="83"/>
      <c r="B62" s="106" t="s">
        <v>320</v>
      </c>
      <c r="C62" s="95">
        <v>-74893</v>
      </c>
      <c r="D62" s="95">
        <v>54857</v>
      </c>
      <c r="E62" s="95">
        <v>53913</v>
      </c>
      <c r="F62" s="95">
        <v>-141272</v>
      </c>
      <c r="G62" s="95">
        <v>92791</v>
      </c>
      <c r="H62" s="95"/>
      <c r="I62" s="95"/>
      <c r="J62" s="95"/>
      <c r="K62" s="95"/>
      <c r="L62" s="95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426</v>
      </c>
      <c r="C63" s="95">
        <v>-700</v>
      </c>
      <c r="D63" s="95">
        <v>-800</v>
      </c>
      <c r="E63" s="95"/>
      <c r="F63" s="95"/>
      <c r="G63" s="95"/>
      <c r="H63" s="95"/>
      <c r="I63" s="95"/>
      <c r="J63" s="95"/>
      <c r="K63" s="95"/>
      <c r="L63" s="95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>
      <c r="A65" s="83"/>
      <c r="B65" s="83" t="s">
        <v>190</v>
      </c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>
      <c r="A66" s="107"/>
      <c r="B66" s="108" t="s">
        <v>169</v>
      </c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8"/>
      <c r="N66" s="108"/>
      <c r="O66" s="109"/>
      <c r="P66" s="109"/>
      <c r="Q66" s="109"/>
      <c r="R66" s="109"/>
      <c r="S66" s="109"/>
      <c r="T66" s="109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</row>
    <row r="67" spans="1:43" ht="15.75">
      <c r="A67" s="83"/>
      <c r="B67" s="100" t="s">
        <v>16</v>
      </c>
      <c r="C67" s="99">
        <f t="shared" ref="C67:G67" si="4">C36+C38+C61+C65+C66</f>
        <v>350142</v>
      </c>
      <c r="D67" s="99">
        <f t="shared" si="4"/>
        <v>354083</v>
      </c>
      <c r="E67" s="99">
        <f t="shared" si="4"/>
        <v>577321</v>
      </c>
      <c r="F67" s="99">
        <f t="shared" si="4"/>
        <v>617131</v>
      </c>
      <c r="G67" s="99">
        <f t="shared" si="4"/>
        <v>646473</v>
      </c>
      <c r="H67" s="275"/>
      <c r="I67" s="99">
        <f>I68*I36</f>
        <v>593716</v>
      </c>
      <c r="J67" s="99">
        <f>J68*J36</f>
        <v>623401.76</v>
      </c>
      <c r="K67" s="99">
        <f>K68*K36</f>
        <v>654571.84</v>
      </c>
      <c r="L67" s="99">
        <f>L68*L36</f>
        <v>687300.48</v>
      </c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6.5" thickBot="1">
      <c r="A68" s="107"/>
      <c r="B68" s="101" t="s">
        <v>106</v>
      </c>
      <c r="C68" s="102">
        <f>C67/C36</f>
        <v>0.13225057741736274</v>
      </c>
      <c r="D68" s="102">
        <f t="shared" ref="D68:G68" si="5">D67/D36</f>
        <v>0.13413149381397216</v>
      </c>
      <c r="E68" s="102">
        <f t="shared" si="5"/>
        <v>0.17082509395334303</v>
      </c>
      <c r="F68" s="102">
        <f t="shared" si="5"/>
        <v>0.12639152205555418</v>
      </c>
      <c r="G68" s="102">
        <f t="shared" si="5"/>
        <v>0.179492070367162</v>
      </c>
      <c r="H68" s="276"/>
      <c r="I68" s="102">
        <v>0.16</v>
      </c>
      <c r="J68" s="102">
        <v>0.16</v>
      </c>
      <c r="K68" s="102">
        <v>0.16</v>
      </c>
      <c r="L68" s="102">
        <v>0.16</v>
      </c>
      <c r="M68" s="108"/>
      <c r="N68" s="108"/>
      <c r="O68" s="109"/>
      <c r="P68" s="109"/>
      <c r="Q68" s="109"/>
      <c r="R68" s="109"/>
      <c r="S68" s="109"/>
      <c r="T68" s="109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</row>
    <row r="69" spans="1:43" ht="15.75">
      <c r="A69" s="107"/>
      <c r="B69" s="108" t="s">
        <v>170</v>
      </c>
      <c r="C69" s="104">
        <f>C71+C82+C85+C92+C99+C109+C119+C122+C137+C144+C154</f>
        <v>-130343</v>
      </c>
      <c r="D69" s="104">
        <f>D71+D82+D85+D92+D99+D109+D119+D122+D137+D144+D154</f>
        <v>-120600</v>
      </c>
      <c r="E69" s="104">
        <f>E71+E82+E85+E92+E99+E109+E119+E122+E137+E144+E154</f>
        <v>-167887</v>
      </c>
      <c r="F69" s="104">
        <f>F71+F82+F85+F92+F99+F109+F119+F122+F137+F144+F154</f>
        <v>-174039</v>
      </c>
      <c r="G69" s="104">
        <f>G71+G82+G85+G92+G99+G109+G119+G122+G137+G144+G154</f>
        <v>-255410</v>
      </c>
      <c r="H69" s="104"/>
      <c r="I69" s="104">
        <f t="shared" ref="I69:L69" si="6">I71+I82+I85+I92+I99+I109+I119+I122+I137+I144+I154</f>
        <v>-267500</v>
      </c>
      <c r="J69" s="104">
        <f t="shared" si="6"/>
        <v>-277000</v>
      </c>
      <c r="K69" s="104">
        <f t="shared" si="6"/>
        <v>-287500</v>
      </c>
      <c r="L69" s="104">
        <f t="shared" si="6"/>
        <v>-296000</v>
      </c>
      <c r="M69" s="108"/>
      <c r="N69" s="108"/>
      <c r="O69" s="109"/>
      <c r="P69" s="109"/>
      <c r="Q69" s="109"/>
      <c r="R69" s="109"/>
      <c r="S69" s="109"/>
      <c r="T69" s="109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</row>
    <row r="70" spans="1:43" outlineLevel="1"/>
    <row r="71" spans="1:43" s="92" customFormat="1" ht="12.75" outlineLevel="1">
      <c r="A71" s="90"/>
      <c r="B71" s="105" t="s">
        <v>171</v>
      </c>
      <c r="C71" s="91">
        <f>SUM(C72:C81)</f>
        <v>-18223</v>
      </c>
      <c r="D71" s="91">
        <f>SUM(D72:D81)</f>
        <v>-17002</v>
      </c>
      <c r="E71" s="91">
        <f t="shared" ref="E71:G71" si="7">SUM(E72:E81)</f>
        <v>-26976</v>
      </c>
      <c r="F71" s="91">
        <f t="shared" si="7"/>
        <v>-26010</v>
      </c>
      <c r="G71" s="91">
        <f t="shared" si="7"/>
        <v>-18508</v>
      </c>
      <c r="H71" s="91"/>
      <c r="I71" s="91">
        <v>-22000</v>
      </c>
      <c r="J71" s="91">
        <v>-24000</v>
      </c>
      <c r="K71" s="91">
        <v>-26000</v>
      </c>
      <c r="L71" s="91">
        <v>-28000</v>
      </c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</row>
    <row r="72" spans="1:43" ht="15.75" outlineLevel="2">
      <c r="A72" s="83"/>
      <c r="B72" s="106" t="s">
        <v>321</v>
      </c>
      <c r="C72" s="95"/>
      <c r="D72" s="95"/>
      <c r="E72" s="95"/>
      <c r="F72" s="95">
        <v>-2388</v>
      </c>
      <c r="G72" s="95"/>
      <c r="H72" s="95"/>
      <c r="I72" s="95"/>
      <c r="J72" s="95"/>
      <c r="K72" s="95"/>
      <c r="L72" s="95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 outlineLevel="2">
      <c r="A73" s="83"/>
      <c r="B73" s="106" t="s">
        <v>322</v>
      </c>
      <c r="C73" s="95">
        <v>-1858</v>
      </c>
      <c r="D73" s="95">
        <v>-1635</v>
      </c>
      <c r="E73" s="95">
        <v>-2051</v>
      </c>
      <c r="F73" s="95">
        <v>-1820</v>
      </c>
      <c r="G73" s="95">
        <v>-1968</v>
      </c>
      <c r="H73" s="95"/>
      <c r="I73" s="95"/>
      <c r="J73" s="95"/>
      <c r="K73" s="95"/>
      <c r="L73" s="95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2">
      <c r="A74" s="83"/>
      <c r="B74" s="106" t="s">
        <v>323</v>
      </c>
      <c r="C74" s="95"/>
      <c r="D74" s="95">
        <v>-310</v>
      </c>
      <c r="E74" s="95">
        <v>-112</v>
      </c>
      <c r="F74" s="95">
        <v>-124</v>
      </c>
      <c r="G74" s="95">
        <v>-135</v>
      </c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2">
      <c r="A75" s="83"/>
      <c r="B75" s="106" t="s">
        <v>324</v>
      </c>
      <c r="C75" s="95">
        <v>-8205</v>
      </c>
      <c r="D75" s="95">
        <v>-6985</v>
      </c>
      <c r="E75" s="95">
        <v>-8980</v>
      </c>
      <c r="F75" s="95">
        <v>-7611</v>
      </c>
      <c r="G75" s="95">
        <v>-7499</v>
      </c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2">
      <c r="A76" s="83"/>
      <c r="B76" s="106" t="s">
        <v>325</v>
      </c>
      <c r="C76" s="95">
        <v>-3123</v>
      </c>
      <c r="D76" s="95">
        <v>-3248</v>
      </c>
      <c r="E76" s="95">
        <v>-4709</v>
      </c>
      <c r="F76" s="95">
        <v>-5348</v>
      </c>
      <c r="G76" s="95">
        <v>-5649</v>
      </c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 outlineLevel="2">
      <c r="A77" s="83"/>
      <c r="B77" s="106" t="s">
        <v>326</v>
      </c>
      <c r="E77" s="95"/>
      <c r="F77" s="95">
        <v>-2340</v>
      </c>
      <c r="G77" s="95"/>
      <c r="H77" s="95"/>
      <c r="I77" s="95"/>
      <c r="J77" s="95"/>
      <c r="K77" s="95"/>
      <c r="L77" s="95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5.75" outlineLevel="2">
      <c r="A78" s="83"/>
      <c r="B78" s="106" t="s">
        <v>327</v>
      </c>
      <c r="C78" s="95">
        <v>-4423</v>
      </c>
      <c r="D78" s="95">
        <v>-1843</v>
      </c>
      <c r="E78" s="95">
        <v>-4952</v>
      </c>
      <c r="F78" s="95">
        <v>-2766</v>
      </c>
      <c r="G78" s="95">
        <v>-976</v>
      </c>
      <c r="H78" s="95"/>
      <c r="I78" s="95"/>
      <c r="J78" s="95"/>
      <c r="K78" s="95"/>
      <c r="L78" s="95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15.75" outlineLevel="2">
      <c r="A79" s="83"/>
      <c r="B79" s="106" t="s">
        <v>328</v>
      </c>
      <c r="C79" s="95">
        <v>-228</v>
      </c>
      <c r="D79" s="95">
        <v>-574</v>
      </c>
      <c r="E79" s="95">
        <v>-2833</v>
      </c>
      <c r="F79" s="95">
        <v>-1720</v>
      </c>
      <c r="G79" s="95"/>
      <c r="H79" s="95"/>
      <c r="I79" s="95"/>
      <c r="J79" s="95"/>
      <c r="K79" s="95"/>
      <c r="L79" s="95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 outlineLevel="2">
      <c r="A80" s="83"/>
      <c r="B80" s="106" t="s">
        <v>329</v>
      </c>
      <c r="C80" s="95">
        <v>-386</v>
      </c>
      <c r="D80" s="95">
        <v>-2407</v>
      </c>
      <c r="E80" s="95">
        <v>-3339</v>
      </c>
      <c r="F80" s="95">
        <v>-1893</v>
      </c>
      <c r="G80" s="95">
        <v>-2281</v>
      </c>
      <c r="H80" s="95"/>
      <c r="I80" s="95"/>
      <c r="J80" s="95"/>
      <c r="K80" s="95"/>
      <c r="L80" s="95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ht="15.75" outlineLevel="2">
      <c r="A81" s="83"/>
      <c r="B81" s="106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</row>
    <row r="82" spans="1:43" s="92" customFormat="1" ht="12.75" outlineLevel="1">
      <c r="A82" s="90"/>
      <c r="B82" s="105" t="s">
        <v>172</v>
      </c>
      <c r="C82" s="91">
        <f t="shared" ref="C82:D82" si="8">C83</f>
        <v>0</v>
      </c>
      <c r="D82" s="91">
        <f t="shared" si="8"/>
        <v>-1665</v>
      </c>
      <c r="E82" s="91">
        <f>E83</f>
        <v>-1260</v>
      </c>
      <c r="F82" s="91">
        <f t="shared" ref="F82:G82" si="9">F83</f>
        <v>0</v>
      </c>
      <c r="G82" s="91">
        <f t="shared" si="9"/>
        <v>-1650</v>
      </c>
      <c r="H82" s="91"/>
      <c r="I82" s="91">
        <v>-1600</v>
      </c>
      <c r="J82" s="91">
        <v>-1600</v>
      </c>
      <c r="K82" s="91">
        <v>-1600</v>
      </c>
      <c r="L82" s="91">
        <v>-1600</v>
      </c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</row>
    <row r="83" spans="1:43" ht="15.75" outlineLevel="2">
      <c r="A83" s="83"/>
      <c r="B83" s="106" t="s">
        <v>330</v>
      </c>
      <c r="C83" s="95"/>
      <c r="D83" s="95">
        <v>-1665</v>
      </c>
      <c r="E83" s="95">
        <v>-1260</v>
      </c>
      <c r="F83" s="95"/>
      <c r="G83" s="95">
        <v>-1650</v>
      </c>
      <c r="H83" s="95"/>
      <c r="I83" s="95"/>
      <c r="J83" s="95"/>
      <c r="K83" s="95"/>
      <c r="L83" s="95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2">
      <c r="A84" s="83"/>
      <c r="B84" s="106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s="92" customFormat="1" ht="12.75" outlineLevel="1">
      <c r="A85" s="90"/>
      <c r="B85" s="105" t="s">
        <v>173</v>
      </c>
      <c r="C85" s="91">
        <f>SUM(C86:C90)</f>
        <v>-31175</v>
      </c>
      <c r="D85" s="91">
        <f>SUM(D86:D90)</f>
        <v>-26237</v>
      </c>
      <c r="E85" s="91">
        <f t="shared" ref="E85:G85" si="10">SUM(E86:E90)</f>
        <v>-25182</v>
      </c>
      <c r="F85" s="91">
        <f t="shared" si="10"/>
        <v>-25248</v>
      </c>
      <c r="G85" s="91">
        <f t="shared" si="10"/>
        <v>-18969</v>
      </c>
      <c r="H85" s="91"/>
      <c r="I85" s="91">
        <v>-20000</v>
      </c>
      <c r="J85" s="91">
        <v>-22000</v>
      </c>
      <c r="K85" s="91">
        <v>-24000</v>
      </c>
      <c r="L85" s="91">
        <v>-26000</v>
      </c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</row>
    <row r="86" spans="1:43" ht="15.75" outlineLevel="2">
      <c r="A86" s="83"/>
      <c r="B86" s="106" t="s">
        <v>331</v>
      </c>
      <c r="C86" s="95">
        <v>-8403</v>
      </c>
      <c r="D86" s="95">
        <v>-8403</v>
      </c>
      <c r="E86" s="95">
        <v>-5895</v>
      </c>
      <c r="F86" s="95">
        <v>-5488</v>
      </c>
      <c r="G86" s="95">
        <v>-11568</v>
      </c>
      <c r="H86" s="95"/>
      <c r="I86" s="95"/>
      <c r="J86" s="95"/>
      <c r="K86" s="95"/>
      <c r="L86" s="95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332</v>
      </c>
      <c r="C87" s="95"/>
      <c r="D87" s="95"/>
      <c r="E87" s="95">
        <v>-5804</v>
      </c>
      <c r="F87" s="95">
        <v>-6277</v>
      </c>
      <c r="G87" s="95">
        <v>-6277</v>
      </c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 t="s">
        <v>427</v>
      </c>
      <c r="C88" s="95">
        <v>-4164</v>
      </c>
      <c r="D88" s="95">
        <v>-2922</v>
      </c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5.75" outlineLevel="2">
      <c r="A89" s="83"/>
      <c r="B89" s="106" t="s">
        <v>428</v>
      </c>
      <c r="C89" s="95">
        <v>-18608</v>
      </c>
      <c r="D89" s="95">
        <v>-9294</v>
      </c>
      <c r="E89" s="95"/>
      <c r="F89" s="95"/>
      <c r="G89" s="95"/>
      <c r="H89" s="95"/>
      <c r="I89" s="95"/>
      <c r="J89" s="95"/>
      <c r="K89" s="95"/>
      <c r="L89" s="95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 outlineLevel="2">
      <c r="A90" s="83"/>
      <c r="B90" s="106" t="s">
        <v>333</v>
      </c>
      <c r="C90" s="95"/>
      <c r="D90" s="95">
        <v>-5618</v>
      </c>
      <c r="E90" s="95">
        <v>-13483</v>
      </c>
      <c r="F90" s="95">
        <v>-13483</v>
      </c>
      <c r="G90" s="95">
        <v>-1124</v>
      </c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s="92" customFormat="1" ht="12.75" outlineLevel="1">
      <c r="A92" s="90"/>
      <c r="B92" s="105" t="s">
        <v>174</v>
      </c>
      <c r="C92" s="91">
        <f>SUM(C93:C98)</f>
        <v>-15561</v>
      </c>
      <c r="D92" s="91">
        <f>SUM(D93:D98)</f>
        <v>-15420</v>
      </c>
      <c r="E92" s="91">
        <f t="shared" ref="E92:G92" si="11">SUM(E93:E98)</f>
        <v>-15556</v>
      </c>
      <c r="F92" s="91">
        <f t="shared" si="11"/>
        <v>-17356</v>
      </c>
      <c r="G92" s="91">
        <f t="shared" si="11"/>
        <v>-16421</v>
      </c>
      <c r="H92" s="91"/>
      <c r="I92" s="91">
        <v>-17000</v>
      </c>
      <c r="J92" s="91">
        <v>-18000</v>
      </c>
      <c r="K92" s="91">
        <v>-19000</v>
      </c>
      <c r="L92" s="91">
        <v>-20000</v>
      </c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</row>
    <row r="93" spans="1:43" ht="15.75" outlineLevel="2">
      <c r="A93" s="83"/>
      <c r="B93" s="106" t="s">
        <v>334</v>
      </c>
      <c r="C93" s="95">
        <v>-12930</v>
      </c>
      <c r="D93" s="95">
        <v>-12930</v>
      </c>
      <c r="E93" s="95">
        <v>-12930</v>
      </c>
      <c r="F93" s="95">
        <v>-14080</v>
      </c>
      <c r="G93" s="95">
        <v>-14080</v>
      </c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2">
      <c r="A94" s="83"/>
      <c r="B94" s="106" t="s">
        <v>335</v>
      </c>
      <c r="C94" s="95"/>
      <c r="E94" s="95"/>
      <c r="F94" s="95">
        <v>-204</v>
      </c>
      <c r="G94" s="95"/>
      <c r="H94" s="95"/>
      <c r="I94" s="95"/>
      <c r="J94" s="95"/>
      <c r="K94" s="95"/>
      <c r="L94" s="95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336</v>
      </c>
      <c r="C95" s="95">
        <v>-766</v>
      </c>
      <c r="D95" s="95">
        <v>-764</v>
      </c>
      <c r="E95" s="95">
        <v>-762</v>
      </c>
      <c r="F95" s="95">
        <v>-762</v>
      </c>
      <c r="G95" s="95">
        <v>129</v>
      </c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337</v>
      </c>
      <c r="C96" s="95">
        <v>-696</v>
      </c>
      <c r="D96" s="95">
        <v>-696</v>
      </c>
      <c r="E96" s="95">
        <v>-893</v>
      </c>
      <c r="F96" s="95">
        <v>-1155</v>
      </c>
      <c r="G96" s="95">
        <v>-1248</v>
      </c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338</v>
      </c>
      <c r="C97" s="95">
        <v>-1169</v>
      </c>
      <c r="D97" s="95">
        <v>-1030</v>
      </c>
      <c r="E97" s="95">
        <v>-971</v>
      </c>
      <c r="F97" s="95">
        <v>-1155</v>
      </c>
      <c r="G97" s="95">
        <v>-1222</v>
      </c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2">
      <c r="A98" s="83"/>
      <c r="B98" s="106"/>
      <c r="C98" s="95"/>
      <c r="D98" s="95"/>
      <c r="F98" s="95"/>
      <c r="G98" s="95"/>
      <c r="H98" s="95"/>
      <c r="I98" s="95"/>
      <c r="J98" s="95"/>
      <c r="K98" s="95"/>
      <c r="L98" s="95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s="92" customFormat="1" ht="12.75" outlineLevel="1">
      <c r="A99" s="90"/>
      <c r="B99" s="105" t="s">
        <v>175</v>
      </c>
      <c r="C99" s="91">
        <f>SUM(C100:C108)</f>
        <v>-11105</v>
      </c>
      <c r="D99" s="91">
        <f>SUM(D100:D108)</f>
        <v>-12972</v>
      </c>
      <c r="E99" s="91">
        <f>SUM(E100:E108)</f>
        <v>-20760</v>
      </c>
      <c r="F99" s="91">
        <f>SUM(F100:F108)</f>
        <v>-10654</v>
      </c>
      <c r="G99" s="91">
        <f>SUM(G100:G108)</f>
        <v>-16879</v>
      </c>
      <c r="H99" s="91"/>
      <c r="I99" s="91">
        <v>-17000</v>
      </c>
      <c r="J99" s="91">
        <v>-18000</v>
      </c>
      <c r="K99" s="91">
        <v>-19000</v>
      </c>
      <c r="L99" s="91">
        <v>-20000</v>
      </c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</row>
    <row r="100" spans="1:43" ht="15.75" outlineLevel="2">
      <c r="A100" s="83"/>
      <c r="B100" s="106" t="s">
        <v>339</v>
      </c>
      <c r="C100" s="95"/>
      <c r="D100" s="95"/>
      <c r="E100" s="95">
        <v>-4788</v>
      </c>
      <c r="F100" s="95"/>
      <c r="G100" s="95">
        <v>-1078</v>
      </c>
      <c r="H100" s="95"/>
      <c r="I100" s="95"/>
      <c r="J100" s="95"/>
      <c r="K100" s="95"/>
      <c r="L100" s="95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ht="15.75" outlineLevel="2">
      <c r="A101" s="83"/>
      <c r="B101" s="106" t="s">
        <v>340</v>
      </c>
      <c r="C101" s="95">
        <v>-3127</v>
      </c>
      <c r="D101" s="95">
        <v>-3933</v>
      </c>
      <c r="E101" s="95">
        <v>-2743</v>
      </c>
      <c r="F101" s="95">
        <v>-2710</v>
      </c>
      <c r="G101" s="95">
        <v>-6453</v>
      </c>
      <c r="H101" s="95"/>
      <c r="I101" s="95"/>
      <c r="J101" s="95"/>
      <c r="K101" s="95"/>
      <c r="L101" s="95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</row>
    <row r="102" spans="1:43" ht="15.75" outlineLevel="2">
      <c r="A102" s="83"/>
      <c r="B102" s="106" t="s">
        <v>341</v>
      </c>
      <c r="C102" s="95">
        <v>-1650</v>
      </c>
      <c r="D102" s="95">
        <v>-1633</v>
      </c>
      <c r="E102" s="95">
        <v>-675</v>
      </c>
      <c r="F102" s="95">
        <v>-1145</v>
      </c>
      <c r="G102" s="95">
        <v>-1310</v>
      </c>
      <c r="H102" s="95"/>
      <c r="I102" s="95"/>
      <c r="J102" s="95"/>
      <c r="K102" s="95"/>
      <c r="L102" s="95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</row>
    <row r="103" spans="1:43" ht="15.75" outlineLevel="2">
      <c r="A103" s="83"/>
      <c r="B103" s="106" t="s">
        <v>342</v>
      </c>
      <c r="C103" s="95">
        <v>-1098</v>
      </c>
      <c r="D103" s="95"/>
      <c r="E103" s="95">
        <v>-2653</v>
      </c>
      <c r="F103" s="95">
        <v>-111</v>
      </c>
      <c r="G103" s="95">
        <v>-1547</v>
      </c>
      <c r="H103" s="95"/>
      <c r="I103" s="95"/>
      <c r="J103" s="95"/>
      <c r="K103" s="95"/>
      <c r="L103" s="95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ht="15.75" outlineLevel="2">
      <c r="A104" s="83"/>
      <c r="B104" s="106" t="s">
        <v>343</v>
      </c>
      <c r="C104" s="95"/>
      <c r="D104" s="95"/>
      <c r="E104" s="95"/>
      <c r="F104" s="95">
        <v>-609</v>
      </c>
      <c r="G104" s="95"/>
      <c r="H104" s="95"/>
      <c r="I104" s="95"/>
      <c r="J104" s="95"/>
      <c r="K104" s="95"/>
      <c r="L104" s="95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</row>
    <row r="105" spans="1:43" ht="15.75" outlineLevel="2">
      <c r="A105" s="83"/>
      <c r="B105" s="106" t="s">
        <v>344</v>
      </c>
      <c r="C105" s="95">
        <v>-5160</v>
      </c>
      <c r="D105" s="95">
        <v>-6125</v>
      </c>
      <c r="E105" s="95">
        <v>-5983</v>
      </c>
      <c r="F105" s="95">
        <v>-5441</v>
      </c>
      <c r="G105" s="95">
        <v>-6491</v>
      </c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ht="15.75" outlineLevel="2">
      <c r="A106" s="83"/>
      <c r="B106" s="106" t="s">
        <v>345</v>
      </c>
      <c r="C106" s="95">
        <v>-70</v>
      </c>
      <c r="D106" s="95">
        <v>-1281</v>
      </c>
      <c r="E106" s="95">
        <v>-3183</v>
      </c>
      <c r="F106" s="95">
        <v>-638</v>
      </c>
      <c r="G106" s="95"/>
      <c r="H106" s="95"/>
      <c r="I106" s="95"/>
      <c r="J106" s="95"/>
      <c r="K106" s="95"/>
      <c r="L106" s="95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 outlineLevel="2">
      <c r="A107" s="83"/>
      <c r="B107" s="106" t="s">
        <v>346</v>
      </c>
      <c r="C107" s="95"/>
      <c r="D107" s="95"/>
      <c r="E107" s="95">
        <v>-735</v>
      </c>
      <c r="F107" s="95"/>
      <c r="G107" s="95"/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 outlineLevel="2">
      <c r="A108" s="8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</row>
    <row r="109" spans="1:43" s="92" customFormat="1" ht="12.75" outlineLevel="1">
      <c r="A109" s="90"/>
      <c r="B109" s="105" t="s">
        <v>176</v>
      </c>
      <c r="C109" s="91">
        <f>SUM(C110:C118)</f>
        <v>-11086</v>
      </c>
      <c r="D109" s="91">
        <f>SUM(D110:D118)</f>
        <v>-10709</v>
      </c>
      <c r="E109" s="91">
        <f t="shared" ref="E109:G109" si="12">SUM(E110:E118)</f>
        <v>-12069</v>
      </c>
      <c r="F109" s="91">
        <f t="shared" si="12"/>
        <v>-12909</v>
      </c>
      <c r="G109" s="91">
        <f t="shared" si="12"/>
        <v>-12843</v>
      </c>
      <c r="H109" s="91"/>
      <c r="I109" s="91">
        <v>-13000</v>
      </c>
      <c r="J109" s="91">
        <v>-13500</v>
      </c>
      <c r="K109" s="91">
        <v>-14000</v>
      </c>
      <c r="L109" s="91">
        <v>-14500</v>
      </c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</row>
    <row r="110" spans="1:43" ht="15.75" outlineLevel="2">
      <c r="A110" s="83"/>
      <c r="B110" s="106" t="s">
        <v>347</v>
      </c>
      <c r="C110" s="95">
        <v>-4468</v>
      </c>
      <c r="D110" s="95">
        <v>-3652</v>
      </c>
      <c r="E110" s="95">
        <v>-3585</v>
      </c>
      <c r="F110" s="95">
        <v>-4384</v>
      </c>
      <c r="G110" s="95">
        <v>-4106</v>
      </c>
      <c r="H110" s="95"/>
      <c r="I110" s="95"/>
      <c r="J110" s="95"/>
      <c r="K110" s="95"/>
      <c r="L110" s="95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</row>
    <row r="111" spans="1:43" ht="15.75" outlineLevel="2">
      <c r="A111" s="83"/>
      <c r="B111" s="106" t="s">
        <v>348</v>
      </c>
      <c r="C111" s="95"/>
      <c r="D111" s="95">
        <v>-307</v>
      </c>
      <c r="E111" s="95">
        <v>-1013</v>
      </c>
      <c r="F111" s="95">
        <v>-506</v>
      </c>
      <c r="G111" s="95">
        <v>-761</v>
      </c>
      <c r="H111" s="95"/>
      <c r="I111" s="95"/>
      <c r="J111" s="95"/>
      <c r="K111" s="95"/>
      <c r="L111" s="95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2">
      <c r="A112" s="83"/>
      <c r="B112" s="106" t="s">
        <v>349</v>
      </c>
      <c r="C112" s="95">
        <v>-1889</v>
      </c>
      <c r="D112" s="95">
        <v>-1935</v>
      </c>
      <c r="E112" s="95">
        <v>-2010</v>
      </c>
      <c r="F112" s="95">
        <v>-2049</v>
      </c>
      <c r="G112" s="95">
        <v>-3297</v>
      </c>
      <c r="H112" s="95"/>
      <c r="I112" s="95"/>
      <c r="J112" s="95"/>
      <c r="K112" s="95"/>
      <c r="L112" s="95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2">
      <c r="A113" s="83"/>
      <c r="B113" s="106" t="s">
        <v>350</v>
      </c>
      <c r="C113" s="95">
        <v>-4061</v>
      </c>
      <c r="D113" s="95">
        <v>-4174</v>
      </c>
      <c r="E113" s="95">
        <v>-4840</v>
      </c>
      <c r="F113" s="95">
        <v>-4899</v>
      </c>
      <c r="G113" s="95">
        <v>-3324</v>
      </c>
      <c r="H113" s="95"/>
      <c r="I113" s="95"/>
      <c r="J113" s="95"/>
      <c r="K113" s="95"/>
      <c r="L113" s="95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 outlineLevel="2">
      <c r="A114" s="83"/>
      <c r="B114" s="106" t="s">
        <v>351</v>
      </c>
      <c r="C114" s="95">
        <v>-560</v>
      </c>
      <c r="D114" s="95">
        <v>-593</v>
      </c>
      <c r="E114" s="95">
        <v>-621</v>
      </c>
      <c r="F114" s="95">
        <v>-609</v>
      </c>
      <c r="G114" s="95">
        <v>-688</v>
      </c>
      <c r="H114" s="95"/>
      <c r="I114" s="95"/>
      <c r="J114" s="95"/>
      <c r="K114" s="95"/>
      <c r="L114" s="95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 outlineLevel="2">
      <c r="A115" s="83"/>
      <c r="B115" s="106" t="s">
        <v>442</v>
      </c>
      <c r="C115" s="95">
        <v>-11</v>
      </c>
      <c r="D115" s="95"/>
      <c r="E115" s="95"/>
      <c r="F115" s="95"/>
      <c r="G115" s="95"/>
      <c r="H115" s="95"/>
      <c r="I115" s="95"/>
      <c r="J115" s="95"/>
      <c r="K115" s="95"/>
      <c r="L115" s="95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 outlineLevel="2">
      <c r="A116" s="83"/>
      <c r="B116" s="106" t="s">
        <v>429</v>
      </c>
      <c r="C116" s="95">
        <v>-97</v>
      </c>
      <c r="D116" s="95">
        <v>-48</v>
      </c>
      <c r="E116" s="95"/>
      <c r="F116" s="95"/>
      <c r="G116" s="95"/>
      <c r="H116" s="95"/>
      <c r="I116" s="95"/>
      <c r="J116" s="95"/>
      <c r="K116" s="95"/>
      <c r="L116" s="95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5.75" outlineLevel="2">
      <c r="A117" s="83"/>
      <c r="B117" s="106" t="s">
        <v>380</v>
      </c>
      <c r="C117" s="95"/>
      <c r="D117" s="95"/>
      <c r="E117" s="95"/>
      <c r="F117" s="95">
        <v>-462</v>
      </c>
      <c r="G117" s="95">
        <v>-667</v>
      </c>
      <c r="H117" s="95"/>
      <c r="I117" s="95"/>
      <c r="J117" s="95"/>
      <c r="K117" s="95"/>
      <c r="L117" s="95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</row>
    <row r="118" spans="1:43" ht="15.75" outlineLevel="2">
      <c r="A118" s="83"/>
      <c r="B118" s="106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s="92" customFormat="1" ht="12.75" outlineLevel="1">
      <c r="A119" s="90"/>
      <c r="B119" s="105" t="s">
        <v>177</v>
      </c>
      <c r="C119" s="91">
        <f>C120</f>
        <v>-191</v>
      </c>
      <c r="D119" s="91">
        <f t="shared" ref="D119:G119" si="13">D120</f>
        <v>-375</v>
      </c>
      <c r="E119" s="91">
        <f t="shared" si="13"/>
        <v>-465</v>
      </c>
      <c r="F119" s="91">
        <f t="shared" si="13"/>
        <v>-223</v>
      </c>
      <c r="G119" s="91">
        <f t="shared" si="13"/>
        <v>-287</v>
      </c>
      <c r="H119" s="91"/>
      <c r="I119" s="91">
        <v>-400</v>
      </c>
      <c r="J119" s="91">
        <v>-400</v>
      </c>
      <c r="K119" s="91">
        <v>-400</v>
      </c>
      <c r="L119" s="91">
        <v>-400</v>
      </c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</row>
    <row r="120" spans="1:43" ht="15.75" outlineLevel="2">
      <c r="A120" s="83"/>
      <c r="B120" s="106" t="s">
        <v>352</v>
      </c>
      <c r="C120" s="95">
        <v>-191</v>
      </c>
      <c r="D120" s="95">
        <v>-375</v>
      </c>
      <c r="E120" s="95">
        <v>-465</v>
      </c>
      <c r="F120" s="95">
        <v>-223</v>
      </c>
      <c r="G120" s="95">
        <v>-287</v>
      </c>
      <c r="H120" s="95"/>
      <c r="I120" s="95"/>
      <c r="J120" s="95"/>
      <c r="K120" s="95"/>
      <c r="L120" s="95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</row>
    <row r="121" spans="1:43" ht="15.75" outlineLevel="2">
      <c r="A121" s="83"/>
      <c r="B121" s="106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s="92" customFormat="1" ht="12.75" outlineLevel="1">
      <c r="A122" s="90"/>
      <c r="B122" s="105" t="s">
        <v>143</v>
      </c>
      <c r="C122" s="91">
        <f>SUM(C123:C136)</f>
        <v>-15134</v>
      </c>
      <c r="D122" s="91">
        <f t="shared" ref="D122:G122" si="14">SUM(D123:D136)</f>
        <v>-10658</v>
      </c>
      <c r="E122" s="91">
        <f t="shared" si="14"/>
        <v>-25211</v>
      </c>
      <c r="F122" s="91">
        <f t="shared" si="14"/>
        <v>-45616</v>
      </c>
      <c r="G122" s="91">
        <f t="shared" si="14"/>
        <v>-142633</v>
      </c>
      <c r="H122" s="91"/>
      <c r="I122" s="91">
        <v>-145000</v>
      </c>
      <c r="J122" s="91">
        <v>-147000</v>
      </c>
      <c r="K122" s="91">
        <v>-150000</v>
      </c>
      <c r="L122" s="91">
        <v>-152000</v>
      </c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</row>
    <row r="123" spans="1:43" ht="15.75" outlineLevel="2">
      <c r="A123" s="83"/>
      <c r="B123" s="106" t="s">
        <v>843</v>
      </c>
      <c r="C123" s="95"/>
      <c r="D123" s="95"/>
      <c r="E123" s="95"/>
      <c r="F123" s="95"/>
      <c r="G123" s="95">
        <v>-84400</v>
      </c>
      <c r="H123" s="95"/>
      <c r="I123" s="95"/>
      <c r="J123" s="95"/>
      <c r="K123" s="95"/>
      <c r="L123" s="95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 outlineLevel="2">
      <c r="A124" s="83"/>
      <c r="B124" s="106" t="s">
        <v>353</v>
      </c>
      <c r="C124" s="95">
        <v>-6445</v>
      </c>
      <c r="D124" s="95">
        <v>-2257</v>
      </c>
      <c r="E124" s="95">
        <v>-1788</v>
      </c>
      <c r="F124" s="95">
        <v>-3200</v>
      </c>
      <c r="G124" s="95"/>
      <c r="H124" s="95"/>
      <c r="I124" s="95"/>
      <c r="J124" s="95"/>
      <c r="K124" s="95"/>
      <c r="L124" s="95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 outlineLevel="2">
      <c r="A125" s="83"/>
      <c r="B125" s="106" t="s">
        <v>354</v>
      </c>
      <c r="C125" s="95"/>
      <c r="D125" s="95"/>
      <c r="E125" s="95"/>
      <c r="F125" s="95">
        <v>-2813</v>
      </c>
      <c r="G125" s="95"/>
      <c r="H125" s="95"/>
      <c r="I125" s="95"/>
      <c r="J125" s="95"/>
      <c r="K125" s="95"/>
      <c r="L125" s="95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 outlineLevel="2">
      <c r="A126" s="83"/>
      <c r="B126" s="106" t="s">
        <v>355</v>
      </c>
      <c r="C126" s="95"/>
      <c r="D126" s="95"/>
      <c r="E126" s="95"/>
      <c r="F126" s="95">
        <v>-16053</v>
      </c>
      <c r="G126" s="95">
        <v>-20372</v>
      </c>
      <c r="H126" s="95"/>
      <c r="I126" s="95"/>
      <c r="J126" s="95"/>
      <c r="K126" s="95"/>
      <c r="L126" s="95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 outlineLevel="2">
      <c r="A127" s="83"/>
      <c r="B127" s="106" t="s">
        <v>356</v>
      </c>
      <c r="C127" s="95"/>
      <c r="D127" s="95"/>
      <c r="E127" s="95"/>
      <c r="F127" s="95">
        <v>-8215</v>
      </c>
      <c r="G127" s="95">
        <v>-5580</v>
      </c>
      <c r="H127" s="95"/>
      <c r="I127" s="95"/>
      <c r="J127" s="95"/>
      <c r="K127" s="95"/>
      <c r="L127" s="95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</row>
    <row r="128" spans="1:43" ht="15.75" outlineLevel="2">
      <c r="A128" s="83"/>
      <c r="B128" s="106" t="s">
        <v>357</v>
      </c>
      <c r="C128" s="95"/>
      <c r="D128" s="95">
        <v>-2248</v>
      </c>
      <c r="E128" s="95">
        <v>-6085</v>
      </c>
      <c r="F128" s="95"/>
      <c r="G128" s="95">
        <v>-1223</v>
      </c>
      <c r="H128" s="95"/>
      <c r="I128" s="95"/>
      <c r="J128" s="95"/>
      <c r="K128" s="95"/>
      <c r="L128" s="95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</row>
    <row r="129" spans="1:43" ht="15.75" outlineLevel="2">
      <c r="A129" s="83"/>
      <c r="B129" s="243" t="s">
        <v>358</v>
      </c>
      <c r="C129" s="95">
        <v>-3279</v>
      </c>
      <c r="D129" s="95">
        <v>-741</v>
      </c>
      <c r="E129" s="95">
        <v>-7114</v>
      </c>
      <c r="F129" s="95">
        <v>-1741</v>
      </c>
      <c r="G129" s="95">
        <v>-1283</v>
      </c>
      <c r="H129" s="95"/>
      <c r="I129" s="95"/>
      <c r="J129" s="95"/>
      <c r="K129" s="95"/>
      <c r="L129" s="95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 outlineLevel="2">
      <c r="A130" s="83"/>
      <c r="B130" s="106" t="s">
        <v>359</v>
      </c>
      <c r="C130" s="95">
        <v>-5016</v>
      </c>
      <c r="D130" s="95">
        <v>-5206</v>
      </c>
      <c r="E130" s="95">
        <v>-5179</v>
      </c>
      <c r="F130" s="95">
        <v>-6685</v>
      </c>
      <c r="G130" s="95">
        <v>-7105</v>
      </c>
      <c r="H130" s="95"/>
      <c r="I130" s="95"/>
      <c r="J130" s="95"/>
      <c r="K130" s="95"/>
      <c r="L130" s="95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</row>
    <row r="131" spans="1:43" ht="15.75" outlineLevel="2">
      <c r="A131" s="83"/>
      <c r="B131" s="106" t="s">
        <v>844</v>
      </c>
      <c r="C131" s="95"/>
      <c r="D131" s="95"/>
      <c r="E131" s="95"/>
      <c r="F131" s="95"/>
      <c r="G131" s="95">
        <v>-18000</v>
      </c>
      <c r="H131" s="95"/>
      <c r="I131" s="95"/>
      <c r="J131" s="95"/>
      <c r="K131" s="95"/>
      <c r="L131" s="95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</row>
    <row r="132" spans="1:43" ht="15.75" outlineLevel="2">
      <c r="A132" s="83"/>
      <c r="B132" s="106" t="s">
        <v>845</v>
      </c>
      <c r="C132" s="95"/>
      <c r="D132" s="95"/>
      <c r="E132" s="95"/>
      <c r="F132" s="95"/>
      <c r="G132" s="95">
        <v>-1200</v>
      </c>
      <c r="H132" s="95"/>
      <c r="I132" s="95"/>
      <c r="J132" s="95"/>
      <c r="K132" s="95"/>
      <c r="L132" s="95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</row>
    <row r="133" spans="1:43" ht="15.75" outlineLevel="2">
      <c r="A133" s="83"/>
      <c r="B133" s="106" t="s">
        <v>360</v>
      </c>
      <c r="C133" s="95">
        <v>-46</v>
      </c>
      <c r="D133" s="95">
        <v>-14</v>
      </c>
      <c r="E133" s="95">
        <v>-15</v>
      </c>
      <c r="F133" s="95">
        <v>-6</v>
      </c>
      <c r="G133" s="95">
        <v>-1664</v>
      </c>
      <c r="H133" s="95"/>
      <c r="I133" s="95"/>
      <c r="J133" s="95"/>
      <c r="K133" s="95"/>
      <c r="L133" s="95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ht="15.75" outlineLevel="2">
      <c r="A134" s="83"/>
      <c r="B134" s="106" t="s">
        <v>361</v>
      </c>
      <c r="C134" s="95"/>
      <c r="D134" s="95">
        <v>-192</v>
      </c>
      <c r="E134" s="95">
        <v>-30</v>
      </c>
      <c r="F134" s="95">
        <v>-473</v>
      </c>
      <c r="G134" s="95">
        <v>-526</v>
      </c>
      <c r="H134" s="95"/>
      <c r="I134" s="95"/>
      <c r="J134" s="95"/>
      <c r="K134" s="95"/>
      <c r="L134" s="95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</row>
    <row r="135" spans="1:43" ht="15.75" outlineLevel="2">
      <c r="A135" s="83"/>
      <c r="B135" s="106" t="s">
        <v>362</v>
      </c>
      <c r="C135" s="95">
        <v>-348</v>
      </c>
      <c r="D135" s="95"/>
      <c r="E135" s="95">
        <v>-5000</v>
      </c>
      <c r="F135" s="95">
        <v>-6430</v>
      </c>
      <c r="G135" s="95">
        <v>-1280</v>
      </c>
      <c r="H135" s="95"/>
      <c r="I135" s="95"/>
      <c r="J135" s="95"/>
      <c r="K135" s="95"/>
      <c r="L135" s="95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</row>
    <row r="136" spans="1:43" ht="15.75" outlineLevel="2">
      <c r="A136" s="83"/>
      <c r="B136" s="106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s="92" customFormat="1" ht="12.75" outlineLevel="1">
      <c r="A137" s="90"/>
      <c r="B137" s="105" t="s">
        <v>178</v>
      </c>
      <c r="C137" s="91">
        <f>SUM(C138:C143)</f>
        <v>-875</v>
      </c>
      <c r="D137" s="91">
        <f t="shared" ref="D137:G137" si="15">SUM(D138:D143)</f>
        <v>-754</v>
      </c>
      <c r="E137" s="91">
        <f t="shared" si="15"/>
        <v>-1105</v>
      </c>
      <c r="F137" s="91">
        <f t="shared" si="15"/>
        <v>-4173</v>
      </c>
      <c r="G137" s="91">
        <f t="shared" si="15"/>
        <v>-891</v>
      </c>
      <c r="H137" s="91"/>
      <c r="I137" s="91">
        <v>-1500</v>
      </c>
      <c r="J137" s="91">
        <v>-1500</v>
      </c>
      <c r="K137" s="91">
        <v>-1500</v>
      </c>
      <c r="L137" s="91">
        <v>-1500</v>
      </c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</row>
    <row r="138" spans="1:43" ht="15.75" outlineLevel="2">
      <c r="A138" s="83"/>
      <c r="B138" s="106" t="s">
        <v>178</v>
      </c>
      <c r="C138" s="95"/>
      <c r="D138" s="95"/>
      <c r="E138" s="95">
        <v>-450</v>
      </c>
      <c r="F138" s="95"/>
      <c r="G138" s="95"/>
      <c r="H138" s="95"/>
      <c r="I138" s="95"/>
      <c r="J138" s="95"/>
      <c r="K138" s="95"/>
      <c r="L138" s="95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ht="15.75" outlineLevel="2">
      <c r="A139" s="83"/>
      <c r="B139" s="106" t="s">
        <v>363</v>
      </c>
      <c r="C139" s="95">
        <v>-67</v>
      </c>
      <c r="D139" s="95"/>
      <c r="E139" s="95"/>
      <c r="F139" s="95">
        <v>-1600</v>
      </c>
      <c r="G139" s="95"/>
      <c r="H139" s="95"/>
      <c r="I139" s="95"/>
      <c r="J139" s="95"/>
      <c r="K139" s="95"/>
      <c r="L139" s="95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</row>
    <row r="140" spans="1:43" ht="15.75" outlineLevel="2">
      <c r="A140" s="83"/>
      <c r="B140" s="106" t="s">
        <v>364</v>
      </c>
      <c r="C140" s="95"/>
      <c r="D140" s="95">
        <v>-450</v>
      </c>
      <c r="E140" s="95"/>
      <c r="F140" s="95">
        <v>-450</v>
      </c>
      <c r="G140" s="95">
        <v>-650</v>
      </c>
      <c r="H140" s="95"/>
      <c r="I140" s="95"/>
      <c r="J140" s="95"/>
      <c r="K140" s="95"/>
      <c r="L140" s="95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</row>
    <row r="141" spans="1:43" ht="15.75" outlineLevel="2">
      <c r="A141" s="83"/>
      <c r="B141" s="106" t="s">
        <v>121</v>
      </c>
      <c r="C141" s="95">
        <v>-408</v>
      </c>
      <c r="D141" s="95">
        <v>-304</v>
      </c>
      <c r="E141" s="95">
        <v>-655</v>
      </c>
      <c r="F141" s="95">
        <v>-623</v>
      </c>
      <c r="G141" s="95">
        <v>-241</v>
      </c>
      <c r="H141" s="95"/>
      <c r="I141" s="95"/>
      <c r="J141" s="95"/>
      <c r="K141" s="95"/>
      <c r="L141" s="95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43" ht="15.75" outlineLevel="2">
      <c r="A142" s="83"/>
      <c r="B142" s="106" t="s">
        <v>365</v>
      </c>
      <c r="C142" s="95">
        <v>-400</v>
      </c>
      <c r="D142" s="95"/>
      <c r="E142" s="95"/>
      <c r="F142" s="95">
        <v>-1500</v>
      </c>
      <c r="G142" s="95"/>
      <c r="H142" s="95"/>
      <c r="I142" s="95"/>
      <c r="J142" s="95"/>
      <c r="K142" s="95"/>
      <c r="L142" s="95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</row>
    <row r="143" spans="1:43" ht="15.75" outlineLevel="2">
      <c r="A143" s="83"/>
      <c r="B143" s="106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s="92" customFormat="1" ht="12.75" outlineLevel="1">
      <c r="A144" s="90"/>
      <c r="B144" s="105" t="s">
        <v>179</v>
      </c>
      <c r="C144" s="91">
        <f>SUM(C145:C153)</f>
        <v>-9507</v>
      </c>
      <c r="D144" s="91">
        <f>SUM(D145:D153)</f>
        <v>-4649</v>
      </c>
      <c r="E144" s="91">
        <f t="shared" ref="E144:G144" si="16">SUM(E145:E153)</f>
        <v>-7561</v>
      </c>
      <c r="F144" s="91">
        <f t="shared" si="16"/>
        <v>-9979</v>
      </c>
      <c r="G144" s="91">
        <f t="shared" si="16"/>
        <v>-6442</v>
      </c>
      <c r="H144" s="91"/>
      <c r="I144" s="91">
        <v>-8000</v>
      </c>
      <c r="J144" s="91">
        <v>-9000</v>
      </c>
      <c r="K144" s="91">
        <v>-10000</v>
      </c>
      <c r="L144" s="91">
        <v>-10000</v>
      </c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</row>
    <row r="145" spans="1:43" ht="15.75" outlineLevel="2">
      <c r="A145" s="83"/>
      <c r="B145" s="106" t="s">
        <v>366</v>
      </c>
      <c r="C145" s="95">
        <v>-4289</v>
      </c>
      <c r="D145" s="95">
        <v>-3193</v>
      </c>
      <c r="E145" s="95">
        <v>-2669</v>
      </c>
      <c r="F145" s="95">
        <v>-3010</v>
      </c>
      <c r="G145" s="95">
        <v>-628</v>
      </c>
      <c r="H145" s="95"/>
      <c r="I145" s="95"/>
      <c r="J145" s="95"/>
      <c r="K145" s="95"/>
      <c r="L145" s="95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</row>
    <row r="146" spans="1:43" ht="15.75" outlineLevel="2">
      <c r="A146" s="83"/>
      <c r="B146" s="106" t="s">
        <v>367</v>
      </c>
      <c r="C146" s="95">
        <v>-1872</v>
      </c>
      <c r="D146" s="95">
        <v>-422</v>
      </c>
      <c r="E146" s="95">
        <v>-810</v>
      </c>
      <c r="F146" s="95">
        <v>-966</v>
      </c>
      <c r="G146" s="95">
        <v>-688</v>
      </c>
      <c r="H146" s="95"/>
      <c r="I146" s="95"/>
      <c r="J146" s="95"/>
      <c r="K146" s="95"/>
      <c r="L146" s="95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</row>
    <row r="147" spans="1:43" ht="15.75" outlineLevel="2">
      <c r="A147" s="83"/>
      <c r="B147" s="106" t="s">
        <v>368</v>
      </c>
      <c r="C147" s="95"/>
      <c r="D147" s="95"/>
      <c r="E147" s="95"/>
      <c r="F147" s="95">
        <v>-1076</v>
      </c>
      <c r="G147" s="95">
        <v>-1005</v>
      </c>
      <c r="H147" s="95"/>
      <c r="I147" s="95"/>
      <c r="J147" s="95"/>
      <c r="K147" s="95"/>
      <c r="L147" s="95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ht="15.75" outlineLevel="2">
      <c r="A148" s="83"/>
      <c r="B148" s="106" t="s">
        <v>369</v>
      </c>
      <c r="C148" s="95">
        <v>-992</v>
      </c>
      <c r="D148" s="95"/>
      <c r="E148" s="95">
        <v>-2326</v>
      </c>
      <c r="F148" s="95">
        <v>-2712</v>
      </c>
      <c r="G148" s="95">
        <v>-2282</v>
      </c>
      <c r="H148" s="95"/>
      <c r="I148" s="95"/>
      <c r="J148" s="95"/>
      <c r="K148" s="95"/>
      <c r="L148" s="95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  <row r="149" spans="1:43" ht="15.75" outlineLevel="2">
      <c r="A149" s="83"/>
      <c r="B149" s="106" t="s">
        <v>370</v>
      </c>
      <c r="C149" s="95"/>
      <c r="D149" s="95">
        <v>-70</v>
      </c>
      <c r="E149" s="95">
        <v>-968</v>
      </c>
      <c r="F149" s="95">
        <v>-1153</v>
      </c>
      <c r="G149" s="95">
        <v>-976</v>
      </c>
      <c r="H149" s="95"/>
      <c r="I149" s="95"/>
      <c r="J149" s="95"/>
      <c r="K149" s="95"/>
      <c r="L149" s="95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</row>
    <row r="150" spans="1:43" ht="15.75" outlineLevel="2">
      <c r="A150" s="83"/>
      <c r="B150" s="106" t="s">
        <v>371</v>
      </c>
      <c r="C150" s="95">
        <v>-1217</v>
      </c>
      <c r="D150" s="95">
        <v>-604</v>
      </c>
      <c r="E150" s="95">
        <v>-658</v>
      </c>
      <c r="F150" s="95">
        <v>-502</v>
      </c>
      <c r="G150" s="95">
        <v>-863</v>
      </c>
      <c r="H150" s="95"/>
      <c r="I150" s="95"/>
      <c r="J150" s="95"/>
      <c r="K150" s="95"/>
      <c r="L150" s="95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</row>
    <row r="151" spans="1:43" ht="15.75" outlineLevel="2">
      <c r="A151" s="83"/>
      <c r="B151" s="106" t="s">
        <v>372</v>
      </c>
      <c r="C151" s="95">
        <v>-1137</v>
      </c>
      <c r="D151" s="95">
        <v>-360</v>
      </c>
      <c r="E151" s="95">
        <v>-130</v>
      </c>
      <c r="F151" s="95">
        <v>-138</v>
      </c>
      <c r="G151" s="95"/>
      <c r="H151" s="95"/>
      <c r="I151" s="95"/>
      <c r="J151" s="95"/>
      <c r="K151" s="95"/>
      <c r="L151" s="95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</row>
    <row r="152" spans="1:43" ht="15.75" outlineLevel="2">
      <c r="A152" s="83"/>
      <c r="B152" s="106" t="s">
        <v>373</v>
      </c>
      <c r="C152" s="95"/>
      <c r="D152" s="95"/>
      <c r="E152" s="95"/>
      <c r="F152" s="95">
        <v>-422</v>
      </c>
      <c r="G152" s="95"/>
      <c r="H152" s="95"/>
      <c r="I152" s="95"/>
      <c r="J152" s="95"/>
      <c r="K152" s="95"/>
      <c r="L152" s="95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 ht="15.75" outlineLevel="2">
      <c r="A153" s="83"/>
      <c r="B153" s="106"/>
      <c r="C153" s="95"/>
      <c r="D153" s="95"/>
      <c r="E153" s="95"/>
      <c r="I153" s="95"/>
      <c r="J153" s="95"/>
      <c r="K153" s="95"/>
      <c r="L153" s="95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</row>
    <row r="154" spans="1:43" s="92" customFormat="1" ht="12.75" outlineLevel="1">
      <c r="A154" s="90"/>
      <c r="B154" s="105" t="s">
        <v>180</v>
      </c>
      <c r="C154" s="91">
        <f>SUM(C155:C168)</f>
        <v>-17486</v>
      </c>
      <c r="D154" s="91">
        <f>SUM(D155:D168)</f>
        <v>-20159</v>
      </c>
      <c r="E154" s="91">
        <f t="shared" ref="E154:G154" si="17">SUM(E155:E168)</f>
        <v>-31742</v>
      </c>
      <c r="F154" s="91">
        <f t="shared" si="17"/>
        <v>-21871</v>
      </c>
      <c r="G154" s="91">
        <f t="shared" si="17"/>
        <v>-19887</v>
      </c>
      <c r="H154" s="91"/>
      <c r="I154" s="91">
        <v>-22000</v>
      </c>
      <c r="J154" s="91">
        <v>-22000</v>
      </c>
      <c r="K154" s="91">
        <v>-22000</v>
      </c>
      <c r="L154" s="91">
        <v>-22000</v>
      </c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</row>
    <row r="155" spans="1:43" ht="15.75" outlineLevel="2">
      <c r="A155" s="83"/>
      <c r="B155" s="106" t="s">
        <v>374</v>
      </c>
      <c r="C155" s="95">
        <v>-652</v>
      </c>
      <c r="D155" s="95">
        <v>-704</v>
      </c>
      <c r="E155" s="95">
        <v>-852</v>
      </c>
      <c r="F155" s="95">
        <v>-420</v>
      </c>
      <c r="G155" s="95">
        <v>-315</v>
      </c>
      <c r="H155" s="95"/>
      <c r="I155" s="95"/>
      <c r="J155" s="95"/>
      <c r="K155" s="95"/>
      <c r="L155" s="95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</row>
    <row r="156" spans="1:43" ht="15.75" outlineLevel="2">
      <c r="A156" s="83"/>
      <c r="B156" s="106" t="s">
        <v>145</v>
      </c>
      <c r="C156" s="95">
        <v>-391</v>
      </c>
      <c r="D156" s="95">
        <v>-455</v>
      </c>
      <c r="E156" s="95">
        <v>-311</v>
      </c>
      <c r="F156" s="95">
        <v>-342</v>
      </c>
      <c r="G156" s="95">
        <v>-520</v>
      </c>
      <c r="H156" s="95"/>
      <c r="I156" s="95"/>
      <c r="J156" s="95"/>
      <c r="K156" s="95"/>
      <c r="L156" s="95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</row>
    <row r="157" spans="1:43" ht="15.75" outlineLevel="2">
      <c r="A157" s="83"/>
      <c r="B157" s="106" t="s">
        <v>375</v>
      </c>
      <c r="C157" s="95">
        <v>-2206</v>
      </c>
      <c r="D157" s="95">
        <v>-2384</v>
      </c>
      <c r="E157" s="95">
        <v>-2417</v>
      </c>
      <c r="F157" s="95">
        <v>-3772</v>
      </c>
      <c r="G157" s="95">
        <v>-2934</v>
      </c>
      <c r="H157" s="95"/>
      <c r="I157" s="95"/>
      <c r="J157" s="95"/>
      <c r="K157" s="95"/>
      <c r="L157" s="95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</row>
    <row r="158" spans="1:43" ht="15.75" outlineLevel="2">
      <c r="A158" s="83"/>
      <c r="B158" s="106" t="s">
        <v>376</v>
      </c>
      <c r="C158" s="95">
        <v>-219</v>
      </c>
      <c r="D158" s="95">
        <v>-216</v>
      </c>
      <c r="E158" s="95">
        <v>-221</v>
      </c>
      <c r="F158" s="95">
        <v>-216</v>
      </c>
      <c r="G158" s="95">
        <v>-220</v>
      </c>
      <c r="H158" s="95"/>
      <c r="I158" s="95"/>
      <c r="J158" s="95"/>
      <c r="K158" s="95"/>
      <c r="L158" s="95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</row>
    <row r="159" spans="1:43" ht="15.75" outlineLevel="2">
      <c r="A159" s="83"/>
      <c r="B159" s="106" t="s">
        <v>433</v>
      </c>
      <c r="C159" s="95">
        <v>-670</v>
      </c>
      <c r="D159" s="95">
        <v>-1404</v>
      </c>
      <c r="E159" s="95"/>
      <c r="F159" s="95"/>
      <c r="G159" s="95"/>
      <c r="H159" s="95"/>
      <c r="I159" s="95"/>
      <c r="J159" s="95"/>
      <c r="K159" s="95"/>
      <c r="L159" s="95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</row>
    <row r="160" spans="1:43" ht="15.75" outlineLevel="2">
      <c r="A160" s="83"/>
      <c r="B160" s="106" t="s">
        <v>434</v>
      </c>
      <c r="C160" s="95"/>
      <c r="D160" s="95">
        <v>-592</v>
      </c>
      <c r="E160" s="95">
        <v>-228</v>
      </c>
      <c r="F160" s="95"/>
      <c r="G160" s="95"/>
      <c r="H160" s="95"/>
      <c r="I160" s="95"/>
      <c r="J160" s="95"/>
      <c r="K160" s="95"/>
      <c r="L160" s="95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</row>
    <row r="161" spans="1:43" ht="15.75" outlineLevel="2">
      <c r="A161" s="83"/>
      <c r="B161" s="106" t="s">
        <v>430</v>
      </c>
      <c r="C161" s="95">
        <v>-7065</v>
      </c>
      <c r="D161" s="95">
        <v>-5574</v>
      </c>
      <c r="E161" s="95">
        <v>-6147</v>
      </c>
      <c r="F161" s="95">
        <v>-6196</v>
      </c>
      <c r="G161" s="95">
        <v>-4344</v>
      </c>
      <c r="H161" s="95"/>
      <c r="I161" s="95"/>
      <c r="J161" s="95"/>
      <c r="K161" s="95"/>
      <c r="L161" s="95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</row>
    <row r="162" spans="1:43" ht="15.75" outlineLevel="2">
      <c r="A162" s="83"/>
      <c r="B162" s="106" t="s">
        <v>431</v>
      </c>
      <c r="C162" s="95">
        <v>-3249</v>
      </c>
      <c r="D162" s="95">
        <v>-4954</v>
      </c>
      <c r="E162" s="95">
        <v>-4656</v>
      </c>
      <c r="F162" s="95">
        <v>-4370</v>
      </c>
      <c r="G162" s="95">
        <v>-3775</v>
      </c>
      <c r="H162" s="95"/>
      <c r="I162" s="95"/>
      <c r="J162" s="95"/>
      <c r="K162" s="95"/>
      <c r="L162" s="95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</row>
    <row r="163" spans="1:43" ht="15.75" outlineLevel="2">
      <c r="A163" s="83"/>
      <c r="B163" s="243" t="s">
        <v>432</v>
      </c>
      <c r="C163" s="95"/>
      <c r="D163" s="95">
        <v>-1139</v>
      </c>
      <c r="E163" s="95">
        <v>-3328</v>
      </c>
      <c r="F163" s="95">
        <v>-2334</v>
      </c>
      <c r="G163" s="95">
        <v>-3053</v>
      </c>
      <c r="H163" s="95"/>
      <c r="I163" s="95"/>
      <c r="J163" s="95"/>
      <c r="K163" s="95"/>
      <c r="L163" s="95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</row>
    <row r="164" spans="1:43" ht="15.75" outlineLevel="2">
      <c r="A164" s="83"/>
      <c r="B164" s="243" t="s">
        <v>435</v>
      </c>
      <c r="C164" s="95"/>
      <c r="D164" s="95">
        <v>-800</v>
      </c>
      <c r="E164" s="95"/>
      <c r="F164" s="95"/>
      <c r="G164" s="95"/>
      <c r="H164" s="95"/>
      <c r="I164" s="95"/>
      <c r="J164" s="95"/>
      <c r="K164" s="95"/>
      <c r="L164" s="95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</row>
    <row r="165" spans="1:43" ht="15.75" outlineLevel="2">
      <c r="A165" s="83"/>
      <c r="B165" s="106" t="s">
        <v>377</v>
      </c>
      <c r="C165" s="95">
        <v>-2614</v>
      </c>
      <c r="D165" s="95">
        <v>-1640</v>
      </c>
      <c r="E165" s="95">
        <v>-1601</v>
      </c>
      <c r="F165" s="95">
        <v>-1768</v>
      </c>
      <c r="G165" s="95">
        <v>-2251</v>
      </c>
      <c r="H165" s="95"/>
      <c r="I165" s="95"/>
      <c r="J165" s="95"/>
      <c r="K165" s="95"/>
      <c r="L165" s="95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</row>
    <row r="166" spans="1:43" ht="15.75" outlineLevel="2">
      <c r="A166" s="83"/>
      <c r="B166" s="106" t="s">
        <v>378</v>
      </c>
      <c r="C166" s="95">
        <v>-420</v>
      </c>
      <c r="D166" s="95">
        <v>-297</v>
      </c>
      <c r="E166" s="95">
        <v>-362</v>
      </c>
      <c r="F166" s="95">
        <v>-382</v>
      </c>
      <c r="G166" s="95">
        <v>-400</v>
      </c>
      <c r="H166" s="95"/>
      <c r="I166" s="95"/>
      <c r="J166" s="95"/>
      <c r="K166" s="95"/>
      <c r="L166" s="95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</row>
    <row r="167" spans="1:43" ht="15.75" outlineLevel="2">
      <c r="A167" s="83"/>
      <c r="B167" s="106" t="s">
        <v>379</v>
      </c>
      <c r="C167" s="95"/>
      <c r="D167" s="95"/>
      <c r="E167" s="95">
        <v>-11619</v>
      </c>
      <c r="F167" s="95">
        <v>-2071</v>
      </c>
      <c r="G167" s="95">
        <v>-2075</v>
      </c>
      <c r="H167" s="95"/>
      <c r="I167" s="95"/>
      <c r="J167" s="95"/>
      <c r="K167" s="95"/>
      <c r="L167" s="95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</row>
    <row r="168" spans="1:43" ht="15.75" outlineLevel="1">
      <c r="A168" s="8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</row>
    <row r="169" spans="1:43" ht="15.75">
      <c r="A169" s="83"/>
      <c r="B169" s="100" t="s">
        <v>181</v>
      </c>
      <c r="C169" s="110">
        <f t="shared" ref="C169:L169" si="18">C67+C69</f>
        <v>219799</v>
      </c>
      <c r="D169" s="110">
        <f t="shared" si="18"/>
        <v>233483</v>
      </c>
      <c r="E169" s="110">
        <f t="shared" si="18"/>
        <v>409434</v>
      </c>
      <c r="F169" s="110">
        <f t="shared" si="18"/>
        <v>443092</v>
      </c>
      <c r="G169" s="110">
        <f t="shared" si="18"/>
        <v>391063</v>
      </c>
      <c r="H169" s="277"/>
      <c r="I169" s="110">
        <f t="shared" si="18"/>
        <v>326216</v>
      </c>
      <c r="J169" s="110">
        <f t="shared" si="18"/>
        <v>346401.76</v>
      </c>
      <c r="K169" s="110">
        <f t="shared" si="18"/>
        <v>367071.83999999997</v>
      </c>
      <c r="L169" s="110">
        <f t="shared" si="18"/>
        <v>391300.48</v>
      </c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</row>
    <row r="170" spans="1:43" ht="16.5" thickBot="1">
      <c r="A170" s="83"/>
      <c r="B170" s="101" t="s">
        <v>106</v>
      </c>
      <c r="C170" s="102">
        <f>C169/C36</f>
        <v>8.3019302642239196E-2</v>
      </c>
      <c r="D170" s="102">
        <f t="shared" ref="D170:L170" si="19">D169/D36</f>
        <v>8.8446560750354189E-2</v>
      </c>
      <c r="E170" s="102">
        <f t="shared" si="19"/>
        <v>0.12114854910473212</v>
      </c>
      <c r="F170" s="102">
        <f t="shared" si="19"/>
        <v>9.0747462517098657E-2</v>
      </c>
      <c r="G170" s="102">
        <f t="shared" si="19"/>
        <v>0.10857794140512206</v>
      </c>
      <c r="H170" s="276"/>
      <c r="I170" s="102">
        <f t="shared" si="19"/>
        <v>8.7911661467772476E-2</v>
      </c>
      <c r="J170" s="102">
        <f t="shared" si="19"/>
        <v>8.8906200072325747E-2</v>
      </c>
      <c r="K170" s="102">
        <f t="shared" si="19"/>
        <v>8.9725055083335073E-2</v>
      </c>
      <c r="L170" s="102">
        <f t="shared" si="19"/>
        <v>9.1092729631150546E-2</v>
      </c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</row>
    <row r="171" spans="1:43" ht="15.75">
      <c r="A171" s="107"/>
      <c r="B171" s="83" t="s">
        <v>262</v>
      </c>
      <c r="C171" s="104">
        <f>C172</f>
        <v>1250</v>
      </c>
      <c r="D171" s="104">
        <f t="shared" ref="D171:G171" si="20">D172</f>
        <v>0</v>
      </c>
      <c r="E171" s="104">
        <f t="shared" si="20"/>
        <v>0</v>
      </c>
      <c r="F171" s="104">
        <f t="shared" si="20"/>
        <v>855</v>
      </c>
      <c r="G171" s="104">
        <f t="shared" si="20"/>
        <v>0</v>
      </c>
      <c r="H171" s="104"/>
      <c r="I171" s="104">
        <f>SUM(I173:I173)</f>
        <v>0</v>
      </c>
      <c r="J171" s="104">
        <f>SUM(J173:J173)</f>
        <v>0</v>
      </c>
      <c r="K171" s="104">
        <f>SUM(K173:K173)</f>
        <v>0</v>
      </c>
      <c r="L171" s="104">
        <f>SUM(L173:L173)</f>
        <v>0</v>
      </c>
      <c r="M171" s="108"/>
      <c r="N171" s="108"/>
      <c r="O171" s="109"/>
      <c r="P171" s="109"/>
      <c r="Q171" s="109"/>
      <c r="R171" s="109"/>
      <c r="S171" s="109"/>
      <c r="T171" s="109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</row>
    <row r="172" spans="1:43" ht="15.75" outlineLevel="1">
      <c r="A172" s="83"/>
      <c r="B172" s="106" t="s">
        <v>262</v>
      </c>
      <c r="C172" s="95">
        <v>1250</v>
      </c>
      <c r="D172" s="95"/>
      <c r="E172" s="95"/>
      <c r="F172" s="95">
        <v>855</v>
      </c>
      <c r="G172" s="95"/>
      <c r="H172" s="95"/>
      <c r="I172" s="95"/>
      <c r="J172" s="95"/>
      <c r="K172" s="95"/>
      <c r="L172" s="95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</row>
    <row r="173" spans="1:43" ht="15.75" outlineLevel="1">
      <c r="A173" s="83"/>
      <c r="B173" s="106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</row>
    <row r="174" spans="1:43" ht="15.75">
      <c r="A174" s="107"/>
      <c r="B174" s="97" t="s">
        <v>22</v>
      </c>
      <c r="C174" s="104">
        <f>SUM(C175:C181)</f>
        <v>-8380</v>
      </c>
      <c r="D174" s="104">
        <f>SUM(D175:D181)</f>
        <v>-5794</v>
      </c>
      <c r="E174" s="104">
        <f>SUM(E175:E181)</f>
        <v>-4883</v>
      </c>
      <c r="F174" s="104">
        <f>SUM(F175:F181)</f>
        <v>-4519</v>
      </c>
      <c r="G174" s="104">
        <f>SUM(G175:G181)</f>
        <v>-4468</v>
      </c>
      <c r="H174" s="104"/>
      <c r="I174" s="104">
        <v>-5000</v>
      </c>
      <c r="J174" s="104">
        <v>-5000</v>
      </c>
      <c r="K174" s="104">
        <v>-5000</v>
      </c>
      <c r="L174" s="104">
        <v>-5000</v>
      </c>
      <c r="M174" s="108"/>
      <c r="N174" s="108"/>
      <c r="O174" s="109"/>
      <c r="P174" s="109"/>
      <c r="Q174" s="109"/>
      <c r="R174" s="109"/>
      <c r="S174" s="109"/>
      <c r="T174" s="109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</row>
    <row r="175" spans="1:43" ht="15.75" outlineLevel="1">
      <c r="A175" s="83"/>
      <c r="B175" s="106" t="s">
        <v>126</v>
      </c>
      <c r="C175" s="95">
        <v>-343</v>
      </c>
      <c r="D175" s="95">
        <v>-344</v>
      </c>
      <c r="E175" s="95">
        <v>-563</v>
      </c>
      <c r="F175" s="95">
        <v>-937</v>
      </c>
      <c r="G175" s="95">
        <v>-1121</v>
      </c>
      <c r="H175" s="95"/>
      <c r="I175" s="95"/>
      <c r="J175" s="95"/>
      <c r="K175" s="95"/>
      <c r="L175" s="95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</row>
    <row r="176" spans="1:43" ht="15.75" outlineLevel="1">
      <c r="A176" s="83"/>
      <c r="B176" s="106" t="s">
        <v>381</v>
      </c>
      <c r="C176" s="95">
        <v>-360</v>
      </c>
      <c r="D176" s="95">
        <v>-313</v>
      </c>
      <c r="E176" s="95">
        <v>-519</v>
      </c>
      <c r="F176" s="95">
        <v>-758</v>
      </c>
      <c r="G176" s="95">
        <v>-907</v>
      </c>
      <c r="H176" s="95"/>
      <c r="I176" s="95"/>
      <c r="J176" s="95"/>
      <c r="K176" s="95"/>
      <c r="L176" s="95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  <row r="177" spans="1:43" ht="15.75" outlineLevel="1">
      <c r="A177" s="83"/>
      <c r="B177" s="106" t="s">
        <v>514</v>
      </c>
      <c r="C177" s="95">
        <v>-434</v>
      </c>
      <c r="D177" s="95">
        <v>-1306</v>
      </c>
      <c r="E177" s="95">
        <v>-947</v>
      </c>
      <c r="F177" s="95">
        <v>-960</v>
      </c>
      <c r="G177" s="95">
        <v>-1024</v>
      </c>
      <c r="H177" s="95"/>
      <c r="I177" s="95"/>
      <c r="J177" s="95"/>
      <c r="K177" s="95"/>
      <c r="L177" s="95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</row>
    <row r="178" spans="1:43" ht="15.75" outlineLevel="1">
      <c r="A178" s="83"/>
      <c r="B178" s="106" t="s">
        <v>382</v>
      </c>
      <c r="C178" s="95">
        <v>-1083</v>
      </c>
      <c r="D178" s="95">
        <v>-1637</v>
      </c>
      <c r="E178" s="95">
        <v>-1268</v>
      </c>
      <c r="F178" s="95">
        <v>-1209</v>
      </c>
      <c r="G178" s="95">
        <v>-757</v>
      </c>
      <c r="H178" s="95"/>
      <c r="I178" s="95"/>
      <c r="J178" s="95"/>
      <c r="K178" s="95"/>
      <c r="L178" s="95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</row>
    <row r="179" spans="1:43" ht="15.75" outlineLevel="1">
      <c r="A179" s="83"/>
      <c r="B179" s="106" t="s">
        <v>383</v>
      </c>
      <c r="C179" s="95">
        <v>-6160</v>
      </c>
      <c r="D179" s="95">
        <v>-1936</v>
      </c>
      <c r="E179" s="95">
        <v>-679</v>
      </c>
      <c r="F179" s="95">
        <v>-258</v>
      </c>
      <c r="G179" s="95">
        <v>-659</v>
      </c>
      <c r="H179" s="95"/>
      <c r="I179" s="95"/>
      <c r="J179" s="95"/>
      <c r="K179" s="95"/>
      <c r="L179" s="95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</row>
    <row r="180" spans="1:43" ht="15.75" outlineLevel="1">
      <c r="A180" s="83"/>
      <c r="B180" s="106" t="s">
        <v>384</v>
      </c>
      <c r="C180" s="95"/>
      <c r="D180" s="95">
        <v>-258</v>
      </c>
      <c r="E180" s="95">
        <v>-907</v>
      </c>
      <c r="F180" s="95">
        <v>-397</v>
      </c>
      <c r="G180" s="95"/>
      <c r="H180" s="95"/>
      <c r="I180" s="95"/>
      <c r="J180" s="95"/>
      <c r="K180" s="95"/>
      <c r="L180" s="95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</row>
    <row r="181" spans="1:43" ht="15.75" outlineLevel="1">
      <c r="A181" s="83"/>
      <c r="B181" s="106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</row>
    <row r="182" spans="1:43" ht="15.75">
      <c r="A182" s="107"/>
      <c r="B182" s="97" t="s">
        <v>21</v>
      </c>
      <c r="C182" s="104">
        <f>C184+C198</f>
        <v>-170070</v>
      </c>
      <c r="D182" s="104">
        <f>D184+D198</f>
        <v>-184507</v>
      </c>
      <c r="E182" s="104">
        <f>E184+E198</f>
        <v>-252055</v>
      </c>
      <c r="F182" s="104">
        <f>F184+F198</f>
        <v>-308330</v>
      </c>
      <c r="G182" s="104">
        <f>G184+G198</f>
        <v>-232797</v>
      </c>
      <c r="H182" s="104"/>
      <c r="I182" s="104">
        <v>-235000</v>
      </c>
      <c r="J182" s="104">
        <v>-237000</v>
      </c>
      <c r="K182" s="104">
        <v>-240000</v>
      </c>
      <c r="L182" s="104">
        <v>-243000</v>
      </c>
      <c r="M182" s="108"/>
      <c r="N182" s="108"/>
      <c r="O182" s="109"/>
      <c r="P182" s="109"/>
      <c r="Q182" s="109"/>
      <c r="R182" s="109"/>
      <c r="S182" s="109"/>
      <c r="T182" s="109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</row>
    <row r="183" spans="1:43" s="96" customFormat="1" ht="12.75" outlineLevel="1">
      <c r="A183" s="93"/>
      <c r="B183" s="106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</row>
    <row r="184" spans="1:43" s="92" customFormat="1" ht="12.75" outlineLevel="1">
      <c r="A184" s="90"/>
      <c r="B184" s="105" t="s">
        <v>182</v>
      </c>
      <c r="C184" s="91">
        <f>SUM(C185:C197)</f>
        <v>-150293</v>
      </c>
      <c r="D184" s="91">
        <f>SUM(D185:D197)</f>
        <v>-167692</v>
      </c>
      <c r="E184" s="91">
        <f>SUM(E185:E197)</f>
        <v>-224486</v>
      </c>
      <c r="F184" s="91">
        <f>SUM(F185:F197)</f>
        <v>-260789</v>
      </c>
      <c r="G184" s="91">
        <f>SUM(G185:G197)</f>
        <v>-183863</v>
      </c>
      <c r="H184" s="91"/>
      <c r="I184" s="91"/>
      <c r="J184" s="91"/>
      <c r="K184" s="91"/>
      <c r="L184" s="91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</row>
    <row r="185" spans="1:43" ht="15.75" outlineLevel="2">
      <c r="A185" s="83"/>
      <c r="B185" s="106" t="s">
        <v>385</v>
      </c>
      <c r="C185" s="95">
        <v>-25218</v>
      </c>
      <c r="D185" s="95">
        <v>-24842</v>
      </c>
      <c r="E185" s="95">
        <v>-34321</v>
      </c>
      <c r="F185" s="95">
        <v>-58191</v>
      </c>
      <c r="G185" s="95">
        <v>-72557</v>
      </c>
      <c r="H185" s="95"/>
      <c r="I185" s="95"/>
      <c r="J185" s="95"/>
      <c r="K185" s="95"/>
      <c r="L185" s="95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</row>
    <row r="186" spans="1:43" ht="15.75" outlineLevel="2">
      <c r="A186" s="83"/>
      <c r="B186" s="106" t="s">
        <v>386</v>
      </c>
      <c r="C186" s="95">
        <v>-40551</v>
      </c>
      <c r="D186" s="95">
        <v>-32565</v>
      </c>
      <c r="E186" s="95">
        <v>-39504</v>
      </c>
      <c r="F186" s="95">
        <v>-30807</v>
      </c>
      <c r="G186" s="95">
        <v>-28794</v>
      </c>
      <c r="H186" s="95"/>
      <c r="I186" s="95"/>
      <c r="J186" s="95"/>
      <c r="K186" s="95"/>
      <c r="L186" s="95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</row>
    <row r="187" spans="1:43" ht="15.75" outlineLevel="2">
      <c r="A187" s="83"/>
      <c r="B187" s="106" t="s">
        <v>387</v>
      </c>
      <c r="C187" s="95"/>
      <c r="D187" s="95"/>
      <c r="E187" s="95"/>
      <c r="F187" s="95">
        <v>-46013</v>
      </c>
      <c r="G187" s="95">
        <v>-62869</v>
      </c>
      <c r="H187" s="95"/>
      <c r="I187" s="95"/>
      <c r="J187" s="95"/>
      <c r="K187" s="95"/>
      <c r="L187" s="95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</row>
    <row r="188" spans="1:43" ht="15.75" outlineLevel="2">
      <c r="A188" s="83"/>
      <c r="B188" s="106" t="s">
        <v>388</v>
      </c>
      <c r="C188" s="95">
        <v>-34000</v>
      </c>
      <c r="D188" s="95">
        <v>-57000</v>
      </c>
      <c r="E188" s="95">
        <v>-73958</v>
      </c>
      <c r="F188" s="95">
        <v>-41800</v>
      </c>
      <c r="G188" s="95"/>
      <c r="H188" s="95"/>
      <c r="I188" s="95"/>
      <c r="J188" s="95"/>
      <c r="K188" s="95"/>
      <c r="L188" s="95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</row>
    <row r="189" spans="1:43" ht="15.75" outlineLevel="2">
      <c r="A189" s="83"/>
      <c r="B189" s="106" t="s">
        <v>394</v>
      </c>
      <c r="C189" s="95">
        <v>-26227</v>
      </c>
      <c r="D189" s="95">
        <v>-30353</v>
      </c>
      <c r="E189" s="95">
        <v>-43628</v>
      </c>
      <c r="F189" s="95">
        <v>-49064</v>
      </c>
      <c r="G189" s="95"/>
      <c r="H189" s="95"/>
      <c r="I189" s="95"/>
      <c r="J189" s="95"/>
      <c r="K189" s="95"/>
      <c r="L189" s="95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</row>
    <row r="190" spans="1:43" ht="15.75" outlineLevel="2">
      <c r="A190" s="83"/>
      <c r="B190" s="106" t="s">
        <v>395</v>
      </c>
      <c r="C190" s="95">
        <v>-14505</v>
      </c>
      <c r="D190" s="95">
        <v>-12370</v>
      </c>
      <c r="E190" s="95">
        <v>-11497</v>
      </c>
      <c r="F190" s="95">
        <v>-12772</v>
      </c>
      <c r="G190" s="95"/>
      <c r="H190" s="95"/>
      <c r="I190" s="95"/>
      <c r="J190" s="95"/>
      <c r="K190" s="95"/>
      <c r="L190" s="95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</row>
    <row r="191" spans="1:43" ht="15.75" outlineLevel="2">
      <c r="A191" s="83"/>
      <c r="B191" s="106" t="s">
        <v>389</v>
      </c>
      <c r="C191" s="95"/>
      <c r="D191" s="95">
        <v>-1904</v>
      </c>
      <c r="E191" s="95">
        <v>-3239</v>
      </c>
      <c r="F191" s="95">
        <v>-3674</v>
      </c>
      <c r="G191" s="95"/>
      <c r="H191" s="95"/>
      <c r="I191" s="95"/>
      <c r="J191" s="95"/>
      <c r="K191" s="95"/>
      <c r="L191" s="95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</row>
    <row r="192" spans="1:43" ht="15.75" outlineLevel="2">
      <c r="A192" s="83"/>
      <c r="B192" s="106" t="s">
        <v>390</v>
      </c>
      <c r="C192" s="95">
        <v>-711</v>
      </c>
      <c r="D192" s="95">
        <v>-711</v>
      </c>
      <c r="E192" s="95">
        <v>-711</v>
      </c>
      <c r="F192" s="95">
        <v>-2778</v>
      </c>
      <c r="G192" s="95">
        <v>-711</v>
      </c>
      <c r="H192" s="95"/>
      <c r="I192" s="95"/>
      <c r="J192" s="95"/>
      <c r="K192" s="95"/>
      <c r="L192" s="95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</row>
    <row r="193" spans="1:43" ht="15.75" outlineLevel="2">
      <c r="A193" s="83"/>
      <c r="B193" s="106" t="s">
        <v>391</v>
      </c>
      <c r="C193" s="95">
        <v>-942</v>
      </c>
      <c r="D193" s="95">
        <v>521</v>
      </c>
      <c r="E193" s="95">
        <v>-683</v>
      </c>
      <c r="F193" s="95">
        <v>-764</v>
      </c>
      <c r="G193" s="95">
        <v>-1843</v>
      </c>
      <c r="H193" s="95"/>
      <c r="I193" s="95"/>
      <c r="J193" s="95"/>
      <c r="K193" s="95"/>
      <c r="L193" s="95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</row>
    <row r="194" spans="1:43" ht="15.75" outlineLevel="2">
      <c r="A194" s="83"/>
      <c r="B194" s="106" t="s">
        <v>392</v>
      </c>
      <c r="C194" s="95">
        <v>-4437</v>
      </c>
      <c r="D194" s="95">
        <v>-4798</v>
      </c>
      <c r="E194" s="95">
        <v>-16945</v>
      </c>
      <c r="F194" s="95">
        <v>-14567</v>
      </c>
      <c r="G194" s="95">
        <v>-17089</v>
      </c>
      <c r="H194" s="95"/>
      <c r="I194" s="95"/>
      <c r="J194" s="95"/>
      <c r="K194" s="95"/>
      <c r="L194" s="95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</row>
    <row r="195" spans="1:43" ht="15.75" outlineLevel="2">
      <c r="A195" s="83"/>
      <c r="B195" s="106" t="s">
        <v>440</v>
      </c>
      <c r="C195" s="95">
        <v>-3702</v>
      </c>
      <c r="D195" s="95"/>
      <c r="E195" s="95"/>
      <c r="F195" s="95"/>
      <c r="G195" s="95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ht="15.75" outlineLevel="2">
      <c r="A196" s="83"/>
      <c r="B196" s="106" t="s">
        <v>393</v>
      </c>
      <c r="C196" s="95"/>
      <c r="D196" s="95">
        <v>-3670</v>
      </c>
      <c r="E196" s="95"/>
      <c r="F196" s="95">
        <v>-359</v>
      </c>
      <c r="G196" s="95"/>
      <c r="H196" s="95"/>
      <c r="I196" s="95"/>
      <c r="J196" s="95"/>
      <c r="K196" s="95"/>
      <c r="L196" s="95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</row>
    <row r="197" spans="1:43" ht="15.75" outlineLevel="2">
      <c r="A197" s="83"/>
      <c r="B197" s="106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</row>
    <row r="198" spans="1:43" s="92" customFormat="1" ht="12.75" outlineLevel="1">
      <c r="A198" s="90"/>
      <c r="B198" s="105" t="s">
        <v>19</v>
      </c>
      <c r="C198" s="91">
        <f>SUM(C199:C216)</f>
        <v>-19777</v>
      </c>
      <c r="D198" s="91">
        <f>SUM(D199:D216)</f>
        <v>-16815</v>
      </c>
      <c r="E198" s="91">
        <f>SUM(E199:E216)</f>
        <v>-27569</v>
      </c>
      <c r="F198" s="91">
        <f>SUM(F199:F216)</f>
        <v>-47541</v>
      </c>
      <c r="G198" s="91">
        <f>SUM(G199:G216)</f>
        <v>-48934</v>
      </c>
      <c r="H198" s="91"/>
      <c r="I198" s="91"/>
      <c r="J198" s="91"/>
      <c r="K198" s="91"/>
      <c r="L198" s="91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</row>
    <row r="199" spans="1:43" ht="15.75" outlineLevel="2">
      <c r="A199" s="83"/>
      <c r="B199" s="106" t="s">
        <v>396</v>
      </c>
      <c r="C199" s="95">
        <v>-6600</v>
      </c>
      <c r="D199" s="95">
        <v>-7150</v>
      </c>
      <c r="E199" s="95">
        <v>-8819</v>
      </c>
      <c r="F199" s="95">
        <v>-11420</v>
      </c>
      <c r="G199" s="95">
        <v>-14328</v>
      </c>
      <c r="H199" s="95"/>
      <c r="I199" s="95"/>
      <c r="J199" s="95"/>
      <c r="K199" s="95"/>
      <c r="L199" s="95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</row>
    <row r="200" spans="1:43" ht="15.75" outlineLevel="2">
      <c r="A200" s="83"/>
      <c r="B200" s="106" t="s">
        <v>397</v>
      </c>
      <c r="C200" s="95">
        <v>-7419</v>
      </c>
      <c r="D200" s="95">
        <v>-5538</v>
      </c>
      <c r="E200" s="95">
        <v>-6403</v>
      </c>
      <c r="F200" s="95">
        <v>-5798</v>
      </c>
      <c r="G200" s="95">
        <v>-6168</v>
      </c>
      <c r="H200" s="95"/>
      <c r="I200" s="95"/>
      <c r="J200" s="95"/>
      <c r="K200" s="95"/>
      <c r="L200" s="95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ht="15.75" outlineLevel="2">
      <c r="A201" s="83"/>
      <c r="B201" s="106" t="s">
        <v>398</v>
      </c>
      <c r="C201" s="95"/>
      <c r="E201" s="95"/>
      <c r="F201" s="95">
        <v>-12043</v>
      </c>
      <c r="G201" s="95">
        <v>-15132</v>
      </c>
      <c r="H201" s="95"/>
      <c r="I201" s="95"/>
      <c r="J201" s="95"/>
      <c r="K201" s="95"/>
      <c r="L201" s="95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</row>
    <row r="202" spans="1:43" ht="15.75" outlineLevel="2">
      <c r="A202" s="83"/>
      <c r="B202" s="106" t="s">
        <v>399</v>
      </c>
      <c r="C202" s="95">
        <v>-362</v>
      </c>
      <c r="D202" s="95">
        <v>-265</v>
      </c>
      <c r="E202" s="95">
        <v>-372</v>
      </c>
      <c r="F202" s="95">
        <v>-484</v>
      </c>
      <c r="G202" s="95">
        <v>-620</v>
      </c>
      <c r="H202" s="95"/>
      <c r="I202" s="95"/>
      <c r="J202" s="95"/>
      <c r="K202" s="95"/>
      <c r="L202" s="95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</row>
    <row r="203" spans="1:43" ht="15.75" outlineLevel="2">
      <c r="A203" s="83"/>
      <c r="B203" s="106" t="s">
        <v>400</v>
      </c>
      <c r="C203" s="95">
        <v>-228</v>
      </c>
      <c r="D203" s="95">
        <v>-205</v>
      </c>
      <c r="E203" s="95">
        <v>-259</v>
      </c>
      <c r="F203" s="95">
        <v>-252</v>
      </c>
      <c r="G203" s="95">
        <v>-252</v>
      </c>
      <c r="H203" s="95"/>
      <c r="I203" s="95"/>
      <c r="J203" s="95"/>
      <c r="K203" s="95"/>
      <c r="L203" s="95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</row>
    <row r="204" spans="1:43" ht="15.75" outlineLevel="2">
      <c r="A204" s="83"/>
      <c r="B204" s="243" t="s">
        <v>401</v>
      </c>
      <c r="C204" s="95"/>
      <c r="D204" s="95"/>
      <c r="E204" s="95"/>
      <c r="F204" s="95">
        <v>-1024</v>
      </c>
      <c r="G204" s="95">
        <v>-1250</v>
      </c>
      <c r="H204" s="95"/>
      <c r="I204" s="95"/>
      <c r="J204" s="95"/>
      <c r="K204" s="95"/>
      <c r="L204" s="95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</row>
    <row r="205" spans="1:43" ht="15.75" outlineLevel="2">
      <c r="A205" s="83"/>
      <c r="B205" s="106" t="s">
        <v>666</v>
      </c>
      <c r="C205" s="95"/>
      <c r="D205" s="95"/>
      <c r="E205" s="95"/>
      <c r="F205" s="95">
        <v>-426</v>
      </c>
      <c r="G205" s="95">
        <v>-901</v>
      </c>
      <c r="H205" s="95"/>
      <c r="I205" s="95"/>
      <c r="J205" s="95"/>
      <c r="K205" s="95"/>
      <c r="L205" s="95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</row>
    <row r="206" spans="1:43" ht="15.75" outlineLevel="2">
      <c r="A206" s="83"/>
      <c r="B206" s="106" t="s">
        <v>402</v>
      </c>
      <c r="C206" s="95"/>
      <c r="D206" s="95"/>
      <c r="E206" s="95"/>
      <c r="F206" s="95">
        <v>-393</v>
      </c>
      <c r="G206" s="95">
        <v>-432</v>
      </c>
      <c r="H206" s="95"/>
      <c r="I206" s="95"/>
      <c r="J206" s="95"/>
      <c r="K206" s="95"/>
      <c r="L206" s="95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</row>
    <row r="207" spans="1:43" ht="15.75" outlineLevel="2">
      <c r="A207" s="83"/>
      <c r="B207" s="243" t="s">
        <v>403</v>
      </c>
      <c r="C207" s="95"/>
      <c r="D207" s="95"/>
      <c r="E207" s="95"/>
      <c r="F207" s="95">
        <v>-160</v>
      </c>
      <c r="G207" s="95">
        <v>-395</v>
      </c>
      <c r="H207" s="95"/>
      <c r="I207" s="95"/>
      <c r="J207" s="95"/>
      <c r="K207" s="95"/>
      <c r="L207" s="95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</row>
    <row r="208" spans="1:43" ht="15.75" outlineLevel="2">
      <c r="A208" s="83"/>
      <c r="B208" s="106" t="s">
        <v>404</v>
      </c>
      <c r="C208" s="95">
        <v>-1397</v>
      </c>
      <c r="D208" s="95">
        <v>-1398</v>
      </c>
      <c r="E208" s="95">
        <v>-1997</v>
      </c>
      <c r="F208" s="95">
        <v>-2533</v>
      </c>
      <c r="G208" s="95">
        <v>-2832</v>
      </c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ht="15.75" outlineLevel="2">
      <c r="A209" s="83"/>
      <c r="B209" s="106" t="s">
        <v>846</v>
      </c>
      <c r="C209" s="95">
        <v>-1686</v>
      </c>
      <c r="D209" s="95">
        <v>-1271</v>
      </c>
      <c r="E209" s="95">
        <v>-1450</v>
      </c>
      <c r="F209" s="95">
        <v>-1325</v>
      </c>
      <c r="G209" s="95">
        <v>-1400</v>
      </c>
      <c r="H209" s="95"/>
      <c r="I209" s="95"/>
      <c r="J209" s="95"/>
      <c r="K209" s="95"/>
      <c r="L209" s="95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</row>
    <row r="210" spans="1:43" ht="15.75" outlineLevel="2">
      <c r="A210" s="83"/>
      <c r="B210" s="106" t="s">
        <v>847</v>
      </c>
      <c r="C210" s="95">
        <v>-691</v>
      </c>
      <c r="D210" s="95">
        <v>-464</v>
      </c>
      <c r="E210" s="95">
        <v>-362</v>
      </c>
      <c r="F210" s="95">
        <v>-3707</v>
      </c>
      <c r="G210" s="95">
        <v>-3994</v>
      </c>
      <c r="H210" s="95"/>
      <c r="I210" s="95"/>
      <c r="J210" s="95"/>
      <c r="K210" s="95"/>
      <c r="L210" s="95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</row>
    <row r="211" spans="1:43" ht="15.75" outlineLevel="2">
      <c r="A211" s="83"/>
      <c r="B211" s="106" t="s">
        <v>402</v>
      </c>
      <c r="C211" s="95">
        <v>-259</v>
      </c>
      <c r="D211" s="95">
        <v>-291</v>
      </c>
      <c r="E211" s="95">
        <v>-362</v>
      </c>
      <c r="F211" s="95"/>
      <c r="G211" s="95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ht="15.75" outlineLevel="2">
      <c r="A212" s="83"/>
      <c r="B212" s="106" t="s">
        <v>405</v>
      </c>
      <c r="C212" s="95">
        <v>-162</v>
      </c>
      <c r="D212" s="95">
        <v>-71</v>
      </c>
      <c r="E212" s="95">
        <v>-207</v>
      </c>
      <c r="F212" s="95">
        <v>-128</v>
      </c>
      <c r="G212" s="95">
        <v>-635</v>
      </c>
      <c r="H212" s="95"/>
      <c r="I212" s="95"/>
      <c r="J212" s="95"/>
      <c r="K212" s="95"/>
      <c r="L212" s="95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</row>
    <row r="213" spans="1:43" ht="15.75" outlineLevel="2">
      <c r="A213" s="83"/>
      <c r="B213" s="106" t="s">
        <v>406</v>
      </c>
      <c r="C213" s="95">
        <v>-742</v>
      </c>
      <c r="D213" s="95"/>
      <c r="E213" s="95">
        <v>-400</v>
      </c>
      <c r="F213" s="95">
        <v>-200</v>
      </c>
      <c r="G213" s="95">
        <v>-200</v>
      </c>
      <c r="H213" s="95"/>
      <c r="I213" s="95"/>
      <c r="J213" s="95"/>
      <c r="K213" s="95"/>
      <c r="L213" s="95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</row>
    <row r="214" spans="1:43" ht="15.75" outlineLevel="2">
      <c r="A214" s="83"/>
      <c r="B214" s="106" t="s">
        <v>407</v>
      </c>
      <c r="C214" s="95"/>
      <c r="D214" s="95"/>
      <c r="E214" s="95">
        <v>-6700</v>
      </c>
      <c r="F214" s="95">
        <v>-7239</v>
      </c>
      <c r="G214" s="95"/>
      <c r="H214" s="95"/>
      <c r="I214" s="95"/>
      <c r="J214" s="95"/>
      <c r="K214" s="95"/>
      <c r="L214" s="95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</row>
    <row r="215" spans="1:43" ht="15.75" outlineLevel="2">
      <c r="A215" s="83"/>
      <c r="B215" s="106" t="s">
        <v>408</v>
      </c>
      <c r="C215" s="95">
        <v>-231</v>
      </c>
      <c r="D215" s="95">
        <v>-162</v>
      </c>
      <c r="E215" s="95">
        <v>-238</v>
      </c>
      <c r="F215" s="95">
        <v>-409</v>
      </c>
      <c r="G215" s="95">
        <v>-395</v>
      </c>
      <c r="H215" s="95"/>
      <c r="I215" s="95"/>
      <c r="J215" s="95"/>
      <c r="K215" s="95"/>
      <c r="L215" s="95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</row>
    <row r="216" spans="1:43" ht="15.75" outlineLevel="1">
      <c r="A216" s="83"/>
      <c r="B216" s="106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</row>
    <row r="217" spans="1:43" ht="15.75">
      <c r="A217" s="83"/>
      <c r="B217" s="97" t="s">
        <v>20</v>
      </c>
      <c r="C217" s="89">
        <v>0</v>
      </c>
      <c r="D217" s="89">
        <v>0</v>
      </c>
      <c r="E217" s="89">
        <v>0</v>
      </c>
      <c r="F217" s="89">
        <v>0</v>
      </c>
      <c r="G217" s="89">
        <v>0</v>
      </c>
      <c r="H217" s="89"/>
      <c r="I217" s="89">
        <v>0</v>
      </c>
      <c r="J217" s="89">
        <v>0</v>
      </c>
      <c r="K217" s="89">
        <v>0</v>
      </c>
      <c r="L217" s="89">
        <v>0</v>
      </c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</row>
    <row r="218" spans="1:43" ht="15.75">
      <c r="A218" s="83"/>
      <c r="B218" s="100" t="s">
        <v>24</v>
      </c>
      <c r="C218" s="110">
        <f>C169+C171+C174+C182+C217</f>
        <v>42599</v>
      </c>
      <c r="D218" s="110">
        <f>D169+D171+D174+D182+D217</f>
        <v>43182</v>
      </c>
      <c r="E218" s="110">
        <f>E169+E171+E174+E182+E217</f>
        <v>152496</v>
      </c>
      <c r="F218" s="110">
        <f>F169+F171+F174+F182+F217</f>
        <v>131098</v>
      </c>
      <c r="G218" s="110">
        <f>G169+G171+G174+G182+G217</f>
        <v>153798</v>
      </c>
      <c r="H218" s="277"/>
      <c r="I218" s="110">
        <f>I169+I171+I174+I182+I217</f>
        <v>86216</v>
      </c>
      <c r="J218" s="110">
        <f>J169+J171+J174+J182+J217</f>
        <v>104401.76000000001</v>
      </c>
      <c r="K218" s="110">
        <f>K169+K171+K174+K182+K217</f>
        <v>122071.83999999997</v>
      </c>
      <c r="L218" s="110">
        <f>L169+L171+L174+L182+L217</f>
        <v>143300.47999999998</v>
      </c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</row>
    <row r="219" spans="1:43" ht="16.5" thickBot="1">
      <c r="A219" s="83"/>
      <c r="B219" s="101" t="s">
        <v>106</v>
      </c>
      <c r="C219" s="102">
        <f>C218/C36</f>
        <v>1.6089878813173614E-2</v>
      </c>
      <c r="D219" s="102">
        <f>D218/D36</f>
        <v>1.6357933495465601E-2</v>
      </c>
      <c r="E219" s="102">
        <f>E218/E36</f>
        <v>4.5122459649846444E-2</v>
      </c>
      <c r="F219" s="102">
        <f>F218/F36</f>
        <v>2.6849527504596335E-2</v>
      </c>
      <c r="G219" s="102">
        <f>G218/G36</f>
        <v>4.2701739188378759E-2</v>
      </c>
      <c r="H219" s="276"/>
      <c r="I219" s="102">
        <f>I218/I36</f>
        <v>2.3234273625773939E-2</v>
      </c>
      <c r="J219" s="102">
        <f>J218/J36</f>
        <v>2.6795371254646445E-2</v>
      </c>
      <c r="K219" s="102">
        <f>K218/K36</f>
        <v>2.9838580284785844E-2</v>
      </c>
      <c r="L219" s="102">
        <f>L218/L36</f>
        <v>3.3359611214006421E-2</v>
      </c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</row>
    <row r="220" spans="1:43" ht="15.75">
      <c r="A220" s="83"/>
      <c r="B220" s="97" t="s">
        <v>183</v>
      </c>
      <c r="C220" s="89">
        <f>SUM(C221:C225)</f>
        <v>36672</v>
      </c>
      <c r="D220" s="89">
        <f t="shared" ref="D220:G220" si="21">SUM(D221:D225)</f>
        <v>3478</v>
      </c>
      <c r="E220" s="89">
        <f t="shared" si="21"/>
        <v>5160</v>
      </c>
      <c r="F220" s="89">
        <f t="shared" si="21"/>
        <v>8159</v>
      </c>
      <c r="G220" s="89">
        <f t="shared" si="21"/>
        <v>5095</v>
      </c>
      <c r="H220" s="89"/>
      <c r="I220" s="89">
        <v>5000</v>
      </c>
      <c r="J220" s="89">
        <v>5000</v>
      </c>
      <c r="K220" s="89">
        <v>5000</v>
      </c>
      <c r="L220" s="89">
        <v>5000</v>
      </c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</row>
    <row r="221" spans="1:43" ht="15.75" outlineLevel="1">
      <c r="A221" s="83"/>
      <c r="B221" s="106" t="s">
        <v>439</v>
      </c>
      <c r="C221" s="95">
        <v>28842</v>
      </c>
      <c r="D221" s="95"/>
      <c r="E221" s="95"/>
      <c r="F221" s="95"/>
      <c r="G221" s="95"/>
      <c r="H221" s="95"/>
      <c r="I221" s="95"/>
      <c r="J221" s="95"/>
      <c r="K221" s="95"/>
      <c r="L221" s="95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</row>
    <row r="222" spans="1:43" ht="15.75" outlineLevel="1">
      <c r="A222" s="83"/>
      <c r="B222" s="106" t="s">
        <v>298</v>
      </c>
      <c r="C222" s="95">
        <v>3418</v>
      </c>
      <c r="D222" s="95">
        <v>863</v>
      </c>
      <c r="E222" s="95">
        <v>1210</v>
      </c>
      <c r="F222" s="95">
        <v>1477</v>
      </c>
      <c r="G222" s="95">
        <v>4384</v>
      </c>
      <c r="H222" s="95"/>
      <c r="I222" s="95"/>
      <c r="J222" s="95"/>
      <c r="K222" s="95"/>
      <c r="L222" s="95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</row>
    <row r="223" spans="1:43" ht="15.75" outlineLevel="1">
      <c r="A223" s="83"/>
      <c r="B223" s="106" t="s">
        <v>299</v>
      </c>
      <c r="C223" s="95">
        <v>711</v>
      </c>
      <c r="D223" s="95">
        <v>2615</v>
      </c>
      <c r="E223" s="95">
        <v>3950</v>
      </c>
      <c r="F223" s="95">
        <v>6682</v>
      </c>
      <c r="G223" s="95">
        <v>711</v>
      </c>
      <c r="H223" s="95"/>
      <c r="I223" s="95"/>
      <c r="J223" s="95"/>
      <c r="K223" s="95"/>
      <c r="L223" s="95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</row>
    <row r="224" spans="1:43" ht="15.75" outlineLevel="1">
      <c r="A224" s="83"/>
      <c r="B224" s="106" t="s">
        <v>440</v>
      </c>
      <c r="C224" s="95">
        <v>3701</v>
      </c>
      <c r="D224" s="95"/>
      <c r="E224" s="95"/>
      <c r="F224" s="95"/>
      <c r="G224" s="95"/>
      <c r="H224" s="95"/>
      <c r="I224" s="95"/>
      <c r="J224" s="95"/>
      <c r="K224" s="95"/>
      <c r="L224" s="95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</row>
    <row r="225" spans="1:43" ht="15.75" outlineLevel="1">
      <c r="A225" s="83"/>
      <c r="B225" s="106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</row>
    <row r="226" spans="1:43" ht="15.75">
      <c r="A226" s="83"/>
      <c r="B226" s="97" t="s">
        <v>12</v>
      </c>
      <c r="C226" s="89">
        <f t="shared" ref="C226:L226" si="22">C227</f>
        <v>14</v>
      </c>
      <c r="D226" s="89">
        <f t="shared" si="22"/>
        <v>10</v>
      </c>
      <c r="E226" s="89">
        <f t="shared" si="22"/>
        <v>35</v>
      </c>
      <c r="F226" s="89">
        <f t="shared" si="22"/>
        <v>2453</v>
      </c>
      <c r="G226" s="89">
        <f t="shared" si="22"/>
        <v>785</v>
      </c>
      <c r="H226" s="89"/>
      <c r="I226" s="89">
        <f t="shared" si="22"/>
        <v>0</v>
      </c>
      <c r="J226" s="89">
        <f t="shared" si="22"/>
        <v>0</v>
      </c>
      <c r="K226" s="89">
        <f t="shared" si="22"/>
        <v>0</v>
      </c>
      <c r="L226" s="89">
        <f t="shared" si="22"/>
        <v>0</v>
      </c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</row>
    <row r="227" spans="1:43" ht="15.75" outlineLevel="1">
      <c r="A227" s="83"/>
      <c r="B227" s="106" t="s">
        <v>300</v>
      </c>
      <c r="C227" s="95">
        <v>14</v>
      </c>
      <c r="D227" s="95">
        <v>10</v>
      </c>
      <c r="E227" s="95">
        <v>35</v>
      </c>
      <c r="F227" s="95">
        <v>2453</v>
      </c>
      <c r="G227" s="95">
        <v>785</v>
      </c>
      <c r="H227" s="95"/>
      <c r="I227" s="95"/>
      <c r="J227" s="95"/>
      <c r="K227" s="95"/>
      <c r="L227" s="95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</row>
    <row r="228" spans="1:43" ht="15.75" outlineLevel="1">
      <c r="A228" s="83"/>
      <c r="B228" s="106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</row>
    <row r="229" spans="1:43" ht="15.75">
      <c r="A229" s="83"/>
      <c r="B229" s="97" t="s">
        <v>184</v>
      </c>
      <c r="C229" s="89">
        <f>SUM(C230:C232)</f>
        <v>-13573</v>
      </c>
      <c r="D229" s="89">
        <f>SUM(D230:D232)</f>
        <v>-12884</v>
      </c>
      <c r="E229" s="89">
        <f>SUM(E230:E232)</f>
        <v>-10781</v>
      </c>
      <c r="F229" s="89">
        <f>SUM(F230:F232)</f>
        <v>-16255</v>
      </c>
      <c r="G229" s="89">
        <f>SUM(G230:G232)</f>
        <v>-18487</v>
      </c>
      <c r="H229" s="89"/>
      <c r="I229" s="89">
        <f>SUM(I230:I232)</f>
        <v>-15000</v>
      </c>
      <c r="J229" s="89">
        <f t="shared" ref="J229:L229" si="23">SUM(J230:J232)</f>
        <v>-13000</v>
      </c>
      <c r="K229" s="89">
        <f t="shared" si="23"/>
        <v>-11000</v>
      </c>
      <c r="L229" s="89">
        <f t="shared" si="23"/>
        <v>-11000</v>
      </c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</row>
    <row r="230" spans="1:43" ht="15.75" outlineLevel="1">
      <c r="A230" s="83"/>
      <c r="B230" s="106" t="s">
        <v>409</v>
      </c>
      <c r="C230" s="95">
        <v>-297</v>
      </c>
      <c r="D230" s="95">
        <v>-297</v>
      </c>
      <c r="E230" s="95">
        <v>-180</v>
      </c>
      <c r="F230" s="95">
        <v>-1209</v>
      </c>
      <c r="G230" s="95">
        <v>-2134</v>
      </c>
      <c r="H230" s="95"/>
      <c r="I230" s="95">
        <v>-1000</v>
      </c>
      <c r="J230" s="95">
        <v>-1000</v>
      </c>
      <c r="K230" s="95">
        <v>-1000</v>
      </c>
      <c r="L230" s="95">
        <v>-1000</v>
      </c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</row>
    <row r="231" spans="1:43" ht="15.75" outlineLevel="1">
      <c r="A231" s="83"/>
      <c r="B231" s="106" t="s">
        <v>410</v>
      </c>
      <c r="C231" s="95">
        <v>-13276</v>
      </c>
      <c r="D231" s="95">
        <v>-12587</v>
      </c>
      <c r="E231" s="95">
        <v>-10601</v>
      </c>
      <c r="F231" s="95">
        <v>-15046</v>
      </c>
      <c r="G231" s="95">
        <v>-16353</v>
      </c>
      <c r="H231" s="95"/>
      <c r="I231" s="95">
        <v>-14000</v>
      </c>
      <c r="J231" s="95">
        <v>-12000</v>
      </c>
      <c r="K231" s="95">
        <v>-10000</v>
      </c>
      <c r="L231" s="95">
        <v>-10000</v>
      </c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</row>
    <row r="232" spans="1:43" ht="15.75" outlineLevel="1">
      <c r="A232" s="83"/>
      <c r="B232" s="106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</row>
    <row r="233" spans="1:43" ht="15.75">
      <c r="A233" s="83"/>
      <c r="B233" s="97" t="s">
        <v>23</v>
      </c>
      <c r="C233" s="89">
        <f>SUM(C234:C236)</f>
        <v>-28850</v>
      </c>
      <c r="D233" s="89">
        <f>SUM(D234:D236)</f>
        <v>-7</v>
      </c>
      <c r="E233" s="89">
        <f>SUM(E234:E236)</f>
        <v>-22</v>
      </c>
      <c r="F233" s="89">
        <f>SUM(F234:F236)</f>
        <v>-9</v>
      </c>
      <c r="G233" s="89">
        <f>SUM(G234:G236)</f>
        <v>-641</v>
      </c>
      <c r="H233" s="89"/>
      <c r="I233" s="89">
        <f>SUM(I236:I236)</f>
        <v>0</v>
      </c>
      <c r="J233" s="89">
        <f>SUM(J236:J236)</f>
        <v>0</v>
      </c>
      <c r="K233" s="89">
        <f>SUM(K236:K236)</f>
        <v>0</v>
      </c>
      <c r="L233" s="89">
        <f>SUM(L236:L236)</f>
        <v>0</v>
      </c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</row>
    <row r="234" spans="1:43" ht="15.75" outlineLevel="1">
      <c r="A234" s="83"/>
      <c r="B234" s="106" t="s">
        <v>443</v>
      </c>
      <c r="C234" s="95">
        <v>-28842</v>
      </c>
      <c r="D234" s="95"/>
      <c r="E234" s="95"/>
      <c r="F234" s="95"/>
      <c r="G234" s="95"/>
      <c r="H234" s="95"/>
      <c r="I234" s="95"/>
      <c r="J234" s="95"/>
      <c r="K234" s="95"/>
      <c r="L234" s="95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</row>
    <row r="235" spans="1:43" ht="15.75" outlineLevel="1">
      <c r="A235" s="83"/>
      <c r="B235" s="106" t="s">
        <v>411</v>
      </c>
      <c r="C235" s="95">
        <v>-8</v>
      </c>
      <c r="D235" s="95">
        <v>-7</v>
      </c>
      <c r="E235" s="95">
        <v>-22</v>
      </c>
      <c r="F235" s="95">
        <v>-9</v>
      </c>
      <c r="G235" s="95">
        <v>-641</v>
      </c>
      <c r="H235" s="95"/>
      <c r="I235" s="95"/>
      <c r="J235" s="95"/>
      <c r="K235" s="95"/>
      <c r="L235" s="95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</row>
    <row r="236" spans="1:43" ht="15.75" outlineLevel="1">
      <c r="A236" s="83"/>
      <c r="B236" s="106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</row>
    <row r="237" spans="1:43" ht="15.75">
      <c r="A237" s="83"/>
      <c r="B237" s="100" t="s">
        <v>26</v>
      </c>
      <c r="C237" s="110">
        <f t="shared" ref="C237:L237" si="24">C218+C220+C226+C233+C229</f>
        <v>36862</v>
      </c>
      <c r="D237" s="110">
        <f t="shared" si="24"/>
        <v>33779</v>
      </c>
      <c r="E237" s="110">
        <f t="shared" si="24"/>
        <v>146888</v>
      </c>
      <c r="F237" s="110">
        <f t="shared" si="24"/>
        <v>125446</v>
      </c>
      <c r="G237" s="110">
        <f t="shared" si="24"/>
        <v>140550</v>
      </c>
      <c r="H237" s="277"/>
      <c r="I237" s="110">
        <f t="shared" si="24"/>
        <v>76216</v>
      </c>
      <c r="J237" s="110">
        <f t="shared" si="24"/>
        <v>96401.760000000009</v>
      </c>
      <c r="K237" s="110">
        <f t="shared" si="24"/>
        <v>116071.83999999997</v>
      </c>
      <c r="L237" s="110">
        <f t="shared" si="24"/>
        <v>137300.47999999998</v>
      </c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</row>
    <row r="238" spans="1:43" ht="16.5" thickBot="1">
      <c r="A238" s="83"/>
      <c r="B238" s="101" t="s">
        <v>106</v>
      </c>
      <c r="C238" s="102">
        <f>C237/C36</f>
        <v>1.3922982060874804E-2</v>
      </c>
      <c r="D238" s="102">
        <f>D237/D36</f>
        <v>1.279594820858998E-2</v>
      </c>
      <c r="E238" s="102">
        <f>E237/E36</f>
        <v>4.3463093150290136E-2</v>
      </c>
      <c r="F238" s="102">
        <f>F237/F36</f>
        <v>2.5691969574986592E-2</v>
      </c>
      <c r="G238" s="102">
        <f>G237/G36</f>
        <v>3.9023455720663687E-2</v>
      </c>
      <c r="H238" s="276"/>
      <c r="I238" s="102">
        <f>I237/I36</f>
        <v>2.0539382465690668E-2</v>
      </c>
      <c r="J238" s="102">
        <f>J237/J36</f>
        <v>2.4742120715219029E-2</v>
      </c>
      <c r="K238" s="102">
        <f>K237/K36</f>
        <v>2.8371972738698924E-2</v>
      </c>
      <c r="L238" s="102">
        <f>L237/L36</f>
        <v>3.196284222004326E-2</v>
      </c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</row>
    <row r="239" spans="1:43" s="111" customFormat="1" ht="15.75">
      <c r="A239" s="83"/>
      <c r="B239" s="97" t="s">
        <v>29</v>
      </c>
      <c r="C239" s="89">
        <f>C240+C245</f>
        <v>-469</v>
      </c>
      <c r="D239" s="89">
        <f t="shared" ref="D239:G239" si="25">D240+D245</f>
        <v>1480</v>
      </c>
      <c r="E239" s="89">
        <f t="shared" si="25"/>
        <v>2533</v>
      </c>
      <c r="F239" s="89">
        <f t="shared" si="25"/>
        <v>18655</v>
      </c>
      <c r="G239" s="89">
        <f t="shared" si="25"/>
        <v>25878</v>
      </c>
      <c r="H239" s="89"/>
      <c r="I239" s="89">
        <f>I240+I245</f>
        <v>12653</v>
      </c>
      <c r="J239" s="89">
        <f>J240+J245</f>
        <v>13899</v>
      </c>
      <c r="K239" s="89">
        <f>K240+K245</f>
        <v>14845</v>
      </c>
      <c r="L239" s="89">
        <f>L240+L245</f>
        <v>15685</v>
      </c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</row>
    <row r="240" spans="1:43" ht="15.75" outlineLevel="1">
      <c r="A240" s="83"/>
      <c r="B240" s="105" t="s">
        <v>27</v>
      </c>
      <c r="C240" s="91">
        <f>SUM(C241:C244)</f>
        <v>28</v>
      </c>
      <c r="D240" s="91">
        <f>SUM(D241:D244)</f>
        <v>2246</v>
      </c>
      <c r="E240" s="91">
        <f>SUM(E241:E244)</f>
        <v>8640</v>
      </c>
      <c r="F240" s="91">
        <f>SUM(F241:F244)</f>
        <v>25108</v>
      </c>
      <c r="G240" s="91">
        <f>SUM(G241:G244)</f>
        <v>30425</v>
      </c>
      <c r="H240" s="91"/>
      <c r="I240" s="91">
        <v>16000</v>
      </c>
      <c r="J240" s="91">
        <v>16000</v>
      </c>
      <c r="K240" s="91">
        <v>16000</v>
      </c>
      <c r="L240" s="91">
        <v>16000</v>
      </c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</row>
    <row r="241" spans="1:43" ht="15.75" outlineLevel="2">
      <c r="A241" s="83"/>
      <c r="B241" s="106" t="s">
        <v>412</v>
      </c>
      <c r="C241" s="95"/>
      <c r="D241" s="95">
        <v>2231</v>
      </c>
      <c r="E241" s="95">
        <v>8522</v>
      </c>
      <c r="F241" s="95">
        <v>24977</v>
      </c>
      <c r="G241" s="95">
        <v>30325</v>
      </c>
      <c r="H241" s="95"/>
      <c r="I241" s="95"/>
      <c r="J241" s="95"/>
      <c r="K241" s="95"/>
      <c r="L241" s="95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</row>
    <row r="242" spans="1:43" ht="15.75" outlineLevel="2">
      <c r="A242" s="83"/>
      <c r="B242" s="106" t="s">
        <v>413</v>
      </c>
      <c r="C242" s="95">
        <v>18</v>
      </c>
      <c r="D242" s="95">
        <v>14</v>
      </c>
      <c r="E242" s="95">
        <v>117</v>
      </c>
      <c r="F242" s="95">
        <v>106</v>
      </c>
      <c r="G242" s="95">
        <v>52</v>
      </c>
      <c r="H242" s="95"/>
      <c r="I242" s="95"/>
      <c r="J242" s="95"/>
      <c r="K242" s="95"/>
      <c r="L242" s="95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</row>
    <row r="243" spans="1:43" ht="15.75" outlineLevel="2">
      <c r="A243" s="83"/>
      <c r="B243" s="106" t="s">
        <v>414</v>
      </c>
      <c r="C243" s="95">
        <v>10</v>
      </c>
      <c r="D243" s="95">
        <v>1</v>
      </c>
      <c r="E243" s="95">
        <v>1</v>
      </c>
      <c r="F243" s="95">
        <v>25</v>
      </c>
      <c r="G243" s="95">
        <v>48</v>
      </c>
      <c r="H243" s="95"/>
      <c r="I243" s="95"/>
      <c r="J243" s="95"/>
      <c r="K243" s="95"/>
      <c r="L243" s="95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</row>
    <row r="244" spans="1:43" ht="15.75" outlineLevel="2">
      <c r="A244" s="83"/>
      <c r="B244" s="106"/>
      <c r="C244" s="95"/>
      <c r="D244" s="95"/>
      <c r="E244" s="95"/>
      <c r="F244" s="95"/>
      <c r="G244" s="95"/>
      <c r="H244" s="95"/>
      <c r="I244" s="95"/>
      <c r="J244" s="95"/>
      <c r="K244" s="95"/>
      <c r="L244" s="95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</row>
    <row r="245" spans="1:43" ht="15.75" outlineLevel="1">
      <c r="A245" s="83"/>
      <c r="B245" s="105" t="s">
        <v>185</v>
      </c>
      <c r="C245" s="91">
        <f>SUM(C246:C252)</f>
        <v>-497</v>
      </c>
      <c r="D245" s="91">
        <f t="shared" ref="D245:G245" si="26">SUM(D246:D252)</f>
        <v>-766</v>
      </c>
      <c r="E245" s="91">
        <f t="shared" si="26"/>
        <v>-6107</v>
      </c>
      <c r="F245" s="91">
        <f t="shared" si="26"/>
        <v>-6453</v>
      </c>
      <c r="G245" s="91">
        <f t="shared" si="26"/>
        <v>-4547</v>
      </c>
      <c r="H245" s="91"/>
      <c r="I245" s="91">
        <v>-3347</v>
      </c>
      <c r="J245" s="91">
        <v>-2101</v>
      </c>
      <c r="K245" s="91">
        <v>-1155</v>
      </c>
      <c r="L245" s="91">
        <v>-315</v>
      </c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</row>
    <row r="246" spans="1:43" ht="15.75" outlineLevel="2">
      <c r="A246" s="83"/>
      <c r="B246" s="106" t="s">
        <v>436</v>
      </c>
      <c r="C246" s="95">
        <v>-3</v>
      </c>
      <c r="D246" s="95">
        <v>-50</v>
      </c>
      <c r="E246" s="95"/>
      <c r="F246" s="95"/>
      <c r="G246" s="95"/>
      <c r="H246" s="95"/>
      <c r="I246" s="95"/>
      <c r="J246" s="95"/>
      <c r="K246" s="95"/>
      <c r="L246" s="95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</row>
    <row r="247" spans="1:43" ht="15.75" outlineLevel="2">
      <c r="A247" s="83"/>
      <c r="B247" s="106" t="s">
        <v>415</v>
      </c>
      <c r="C247" s="95"/>
      <c r="D247" s="95">
        <v>-565</v>
      </c>
      <c r="E247" s="95">
        <v>-1774</v>
      </c>
      <c r="F247" s="95">
        <v>-1320</v>
      </c>
      <c r="G247" s="95">
        <v>-902</v>
      </c>
      <c r="H247" s="95"/>
      <c r="I247" s="95"/>
      <c r="J247" s="95"/>
      <c r="K247" s="95"/>
      <c r="L247" s="95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</row>
    <row r="248" spans="1:43" ht="15.75" outlineLevel="2">
      <c r="A248" s="83"/>
      <c r="B248" s="106" t="s">
        <v>416</v>
      </c>
      <c r="C248" s="95"/>
      <c r="D248" s="95"/>
      <c r="E248" s="95">
        <v>-4333</v>
      </c>
      <c r="F248" s="95">
        <v>-4364</v>
      </c>
      <c r="G248" s="95">
        <v>-3602</v>
      </c>
      <c r="H248" s="95"/>
      <c r="I248" s="95"/>
      <c r="J248" s="95"/>
      <c r="K248" s="95"/>
      <c r="L248" s="95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</row>
    <row r="249" spans="1:43" ht="15.75" outlineLevel="2">
      <c r="A249" s="83"/>
      <c r="B249" s="106" t="s">
        <v>437</v>
      </c>
      <c r="C249" s="95">
        <v>-430</v>
      </c>
      <c r="D249" s="95">
        <v>-139</v>
      </c>
      <c r="E249" s="95"/>
      <c r="F249" s="95"/>
      <c r="G249" s="95"/>
      <c r="H249" s="95"/>
      <c r="I249" s="95"/>
      <c r="J249" s="95"/>
      <c r="K249" s="95"/>
      <c r="L249" s="95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</row>
    <row r="250" spans="1:43" ht="15.75" outlineLevel="2">
      <c r="A250" s="83"/>
      <c r="B250" s="106" t="s">
        <v>417</v>
      </c>
      <c r="C250" s="95"/>
      <c r="D250" s="95"/>
      <c r="E250" s="95"/>
      <c r="F250" s="95">
        <v>-753</v>
      </c>
      <c r="G250" s="95"/>
      <c r="H250" s="95"/>
      <c r="I250" s="95"/>
      <c r="J250" s="95"/>
      <c r="K250" s="95"/>
      <c r="L250" s="95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</row>
    <row r="251" spans="1:43" ht="15.75" outlineLevel="2">
      <c r="A251" s="83"/>
      <c r="B251" s="106" t="s">
        <v>418</v>
      </c>
      <c r="C251" s="95">
        <v>-64</v>
      </c>
      <c r="D251" s="95">
        <v>-12</v>
      </c>
      <c r="E251" s="95"/>
      <c r="F251" s="95">
        <v>-16</v>
      </c>
      <c r="G251" s="95">
        <v>-43</v>
      </c>
      <c r="H251" s="95"/>
      <c r="I251" s="95"/>
      <c r="J251" s="95"/>
      <c r="K251" s="95"/>
      <c r="L251" s="95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</row>
    <row r="252" spans="1:43" ht="15.75" outlineLevel="1">
      <c r="A252" s="83"/>
      <c r="B252" s="106"/>
      <c r="C252" s="95"/>
      <c r="D252" s="95"/>
      <c r="E252" s="95"/>
      <c r="F252" s="95"/>
      <c r="G252" s="95"/>
      <c r="H252" s="95"/>
      <c r="I252" s="95"/>
      <c r="J252" s="95"/>
      <c r="K252" s="95"/>
      <c r="L252" s="95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</row>
    <row r="253" spans="1:43" s="96" customFormat="1" ht="15.75">
      <c r="A253" s="93"/>
      <c r="B253" s="100" t="s">
        <v>264</v>
      </c>
      <c r="C253" s="110">
        <f t="shared" ref="C253:L253" si="27">+C237+C239</f>
        <v>36393</v>
      </c>
      <c r="D253" s="110">
        <f t="shared" si="27"/>
        <v>35259</v>
      </c>
      <c r="E253" s="110">
        <f t="shared" si="27"/>
        <v>149421</v>
      </c>
      <c r="F253" s="110">
        <f t="shared" si="27"/>
        <v>144101</v>
      </c>
      <c r="G253" s="110">
        <f t="shared" si="27"/>
        <v>166428</v>
      </c>
      <c r="H253" s="277"/>
      <c r="I253" s="110">
        <f t="shared" si="27"/>
        <v>88869</v>
      </c>
      <c r="J253" s="110">
        <f t="shared" si="27"/>
        <v>110300.76000000001</v>
      </c>
      <c r="K253" s="110">
        <f t="shared" si="27"/>
        <v>130916.83999999997</v>
      </c>
      <c r="L253" s="110">
        <f t="shared" si="27"/>
        <v>152985.47999999998</v>
      </c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</row>
    <row r="254" spans="1:43" s="96" customFormat="1" ht="16.5" thickBot="1">
      <c r="A254" s="93"/>
      <c r="B254" s="101" t="s">
        <v>106</v>
      </c>
      <c r="C254" s="102">
        <f>+C253/C36</f>
        <v>1.3745838156947987E-2</v>
      </c>
      <c r="D254" s="102">
        <f>+D253/D36</f>
        <v>1.3356592494942837E-2</v>
      </c>
      <c r="E254" s="102">
        <f>+E253/E36</f>
        <v>4.4212589466869331E-2</v>
      </c>
      <c r="F254" s="102">
        <f>+F253/F36</f>
        <v>2.9512607079740627E-2</v>
      </c>
      <c r="G254" s="102">
        <f>+G253/G36</f>
        <v>4.6208436063170523E-2</v>
      </c>
      <c r="H254" s="276"/>
      <c r="I254" s="102">
        <f>+I253/I36</f>
        <v>2.3949228250544029E-2</v>
      </c>
      <c r="J254" s="102">
        <f>+J253/J36</f>
        <v>2.8309386871156736E-2</v>
      </c>
      <c r="K254" s="102">
        <f>+K253/K36</f>
        <v>3.200060424230898E-2</v>
      </c>
      <c r="L254" s="102">
        <f>+L253/L36</f>
        <v>3.5614229165095296E-2</v>
      </c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</row>
    <row r="255" spans="1:43" ht="15.75">
      <c r="A255" s="83"/>
      <c r="B255" s="97" t="s">
        <v>30</v>
      </c>
      <c r="C255" s="89">
        <f t="shared" ref="C255:L255" si="28">C256+C260</f>
        <v>0</v>
      </c>
      <c r="D255" s="89">
        <f t="shared" si="28"/>
        <v>0</v>
      </c>
      <c r="E255" s="89">
        <f t="shared" si="28"/>
        <v>-1229</v>
      </c>
      <c r="F255" s="89">
        <f t="shared" si="28"/>
        <v>25469</v>
      </c>
      <c r="G255" s="89">
        <f t="shared" si="28"/>
        <v>10750</v>
      </c>
      <c r="H255" s="89"/>
      <c r="I255" s="89">
        <f t="shared" si="28"/>
        <v>0</v>
      </c>
      <c r="J255" s="89">
        <f t="shared" si="28"/>
        <v>0</v>
      </c>
      <c r="K255" s="89">
        <f t="shared" si="28"/>
        <v>0</v>
      </c>
      <c r="L255" s="89">
        <f t="shared" si="28"/>
        <v>0</v>
      </c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</row>
    <row r="256" spans="1:43" ht="15.75" outlineLevel="1">
      <c r="A256" s="83"/>
      <c r="B256" s="105" t="s">
        <v>186</v>
      </c>
      <c r="C256" s="91">
        <f>SUM(C257:C259)</f>
        <v>0</v>
      </c>
      <c r="D256" s="91">
        <f t="shared" ref="D256:L256" si="29">SUM(D257:D259)</f>
        <v>0</v>
      </c>
      <c r="E256" s="91">
        <f t="shared" si="29"/>
        <v>1316</v>
      </c>
      <c r="F256" s="91">
        <f t="shared" si="29"/>
        <v>25834</v>
      </c>
      <c r="G256" s="91">
        <f t="shared" si="29"/>
        <v>10750</v>
      </c>
      <c r="H256" s="91"/>
      <c r="I256" s="91">
        <f t="shared" si="29"/>
        <v>0</v>
      </c>
      <c r="J256" s="91">
        <f t="shared" si="29"/>
        <v>0</v>
      </c>
      <c r="K256" s="91">
        <f t="shared" si="29"/>
        <v>0</v>
      </c>
      <c r="L256" s="91">
        <f t="shared" si="29"/>
        <v>0</v>
      </c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</row>
    <row r="257" spans="1:43" ht="15.75" outlineLevel="2">
      <c r="A257" s="83"/>
      <c r="B257" s="106" t="s">
        <v>419</v>
      </c>
      <c r="C257" s="95"/>
      <c r="D257" s="95"/>
      <c r="E257" s="95">
        <v>1316</v>
      </c>
      <c r="F257" s="95"/>
      <c r="G257" s="95"/>
      <c r="H257" s="95"/>
      <c r="I257" s="95"/>
      <c r="J257" s="95"/>
      <c r="K257" s="95"/>
      <c r="L257" s="95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</row>
    <row r="258" spans="1:43" ht="15.75" outlineLevel="2">
      <c r="A258" s="83"/>
      <c r="B258" s="106" t="s">
        <v>420</v>
      </c>
      <c r="C258" s="95"/>
      <c r="D258" s="95"/>
      <c r="E258" s="95"/>
      <c r="F258" s="95">
        <v>25834</v>
      </c>
      <c r="G258" s="95">
        <v>10750</v>
      </c>
      <c r="H258" s="95"/>
      <c r="I258" s="95"/>
      <c r="J258" s="95"/>
      <c r="K258" s="95"/>
      <c r="L258" s="95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</row>
    <row r="259" spans="1:43" ht="15.75" outlineLevel="2">
      <c r="A259" s="83"/>
      <c r="B259" s="106"/>
      <c r="C259" s="95"/>
      <c r="D259" s="95"/>
      <c r="E259" s="95"/>
      <c r="F259" s="95"/>
      <c r="G259" s="95"/>
      <c r="H259" s="95"/>
      <c r="I259" s="95"/>
      <c r="J259" s="95"/>
      <c r="K259" s="95"/>
      <c r="L259" s="95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</row>
    <row r="260" spans="1:43" s="92" customFormat="1" ht="12.75" outlineLevel="1">
      <c r="A260" s="90"/>
      <c r="B260" s="105" t="s">
        <v>187</v>
      </c>
      <c r="C260" s="91">
        <f>SUM(C261:C264)</f>
        <v>0</v>
      </c>
      <c r="D260" s="91">
        <f>SUM(D261:D264)</f>
        <v>0</v>
      </c>
      <c r="E260" s="91">
        <f>SUM(E261:E264)</f>
        <v>-2545</v>
      </c>
      <c r="F260" s="91">
        <f>SUM(F261:F264)</f>
        <v>-365</v>
      </c>
      <c r="G260" s="91">
        <f>SUM(G261:G264)</f>
        <v>0</v>
      </c>
      <c r="H260" s="91"/>
      <c r="I260" s="91">
        <f>SUM(I261:I261)</f>
        <v>0</v>
      </c>
      <c r="J260" s="91">
        <f>SUM(J261:J261)</f>
        <v>0</v>
      </c>
      <c r="K260" s="91">
        <f>SUM(K261:K261)</f>
        <v>0</v>
      </c>
      <c r="L260" s="91">
        <f>SUM(L261:L261)</f>
        <v>0</v>
      </c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</row>
    <row r="261" spans="1:43" ht="15.75" outlineLevel="2">
      <c r="A261" s="83"/>
      <c r="B261" s="106" t="s">
        <v>424</v>
      </c>
      <c r="C261" s="95"/>
      <c r="D261" s="95"/>
      <c r="E261" s="95">
        <v>-45</v>
      </c>
      <c r="F261" s="95">
        <v>-59</v>
      </c>
      <c r="G261" s="95"/>
      <c r="H261" s="95"/>
      <c r="I261" s="95"/>
      <c r="J261" s="95"/>
      <c r="K261" s="95"/>
      <c r="L261" s="95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</row>
    <row r="262" spans="1:43" ht="15.75" outlineLevel="2">
      <c r="A262" s="83"/>
      <c r="B262" s="106" t="s">
        <v>421</v>
      </c>
      <c r="C262" s="95"/>
      <c r="D262" s="95"/>
      <c r="E262" s="95">
        <v>-2500</v>
      </c>
      <c r="F262" s="95"/>
      <c r="G262" s="95"/>
      <c r="H262" s="95"/>
      <c r="I262" s="95"/>
      <c r="J262" s="95"/>
      <c r="K262" s="95"/>
      <c r="L262" s="95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</row>
    <row r="263" spans="1:43" ht="15.75" outlineLevel="2">
      <c r="A263" s="83"/>
      <c r="B263" s="106" t="s">
        <v>422</v>
      </c>
      <c r="C263" s="95"/>
      <c r="D263" s="95"/>
      <c r="E263" s="95"/>
      <c r="F263" s="95">
        <v>-306</v>
      </c>
      <c r="G263" s="95"/>
      <c r="H263" s="95"/>
      <c r="I263" s="95"/>
      <c r="J263" s="95"/>
      <c r="K263" s="95"/>
      <c r="L263" s="95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</row>
    <row r="264" spans="1:43" ht="15.75" outlineLevel="1">
      <c r="A264" s="83"/>
      <c r="B264" s="106"/>
      <c r="C264" s="95"/>
      <c r="D264" s="95"/>
      <c r="E264" s="95"/>
      <c r="F264" s="95"/>
      <c r="G264" s="95"/>
      <c r="H264" s="95"/>
      <c r="I264" s="95"/>
      <c r="J264" s="95"/>
      <c r="K264" s="95"/>
      <c r="L264" s="95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</row>
    <row r="265" spans="1:43" ht="15.75">
      <c r="A265" s="83"/>
      <c r="B265" s="83" t="s">
        <v>259</v>
      </c>
      <c r="C265" s="89">
        <f>SUM(C266:C268)</f>
        <v>-11599</v>
      </c>
      <c r="D265" s="89">
        <f t="shared" ref="D265:G265" si="30">SUM(D266:D268)</f>
        <v>-9151</v>
      </c>
      <c r="E265" s="89">
        <f t="shared" si="30"/>
        <v>-38086</v>
      </c>
      <c r="F265" s="89">
        <f t="shared" si="30"/>
        <v>-40979</v>
      </c>
      <c r="G265" s="89">
        <f t="shared" si="30"/>
        <v>-40815</v>
      </c>
      <c r="H265" s="89"/>
      <c r="I265" s="89">
        <f t="shared" ref="I265:L265" si="31">+I266</f>
        <v>-17967.25</v>
      </c>
      <c r="J265" s="89">
        <f t="shared" si="31"/>
        <v>-23325.190000000002</v>
      </c>
      <c r="K265" s="89">
        <f t="shared" si="31"/>
        <v>-28479.209999999992</v>
      </c>
      <c r="L265" s="89">
        <f t="shared" si="31"/>
        <v>-33996.369999999995</v>
      </c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</row>
    <row r="266" spans="1:43" ht="15.75" outlineLevel="1">
      <c r="A266" s="83"/>
      <c r="B266" s="183" t="s">
        <v>258</v>
      </c>
      <c r="C266" s="95">
        <v>-11599</v>
      </c>
      <c r="D266" s="95">
        <v>-9151</v>
      </c>
      <c r="E266" s="95">
        <v>-38086</v>
      </c>
      <c r="F266" s="95">
        <v>-41879</v>
      </c>
      <c r="G266" s="95">
        <v>-40815</v>
      </c>
      <c r="H266" s="95"/>
      <c r="I266" s="95">
        <f>-0.15*42500-0.25*(I253-42500)</f>
        <v>-17967.25</v>
      </c>
      <c r="J266" s="95">
        <f t="shared" ref="J266:L266" si="32">-0.15*42500-0.25*(J253-42500)</f>
        <v>-23325.190000000002</v>
      </c>
      <c r="K266" s="95">
        <f t="shared" si="32"/>
        <v>-28479.209999999992</v>
      </c>
      <c r="L266" s="95">
        <f t="shared" si="32"/>
        <v>-33996.369999999995</v>
      </c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</row>
    <row r="267" spans="1:43" ht="15.75" outlineLevel="1">
      <c r="A267" s="83"/>
      <c r="B267" s="183" t="s">
        <v>423</v>
      </c>
      <c r="C267" s="95"/>
      <c r="D267" s="95"/>
      <c r="E267" s="95"/>
      <c r="F267" s="95">
        <v>900</v>
      </c>
      <c r="G267" s="95"/>
      <c r="H267" s="95"/>
      <c r="I267" s="95"/>
      <c r="J267" s="95"/>
      <c r="K267" s="95"/>
      <c r="L267" s="95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</row>
    <row r="268" spans="1:43" ht="15.75" outlineLevel="1">
      <c r="A268" s="83"/>
      <c r="B268" s="83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</row>
    <row r="269" spans="1:43" ht="15.75" outlineLevel="1">
      <c r="A269" s="83"/>
      <c r="B269" s="212" t="s">
        <v>265</v>
      </c>
      <c r="C269" s="89">
        <v>1</v>
      </c>
      <c r="D269" s="89">
        <v>3</v>
      </c>
      <c r="E269" s="89">
        <v>6</v>
      </c>
      <c r="F269" s="89">
        <v>2</v>
      </c>
      <c r="G269" s="89">
        <v>7</v>
      </c>
      <c r="H269" s="89"/>
      <c r="I269" s="89"/>
      <c r="J269" s="89"/>
      <c r="K269" s="89"/>
      <c r="L269" s="89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</row>
    <row r="270" spans="1:43" ht="15.75" outlineLevel="1">
      <c r="A270" s="83"/>
      <c r="B270" s="83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</row>
    <row r="271" spans="1:43" ht="15.75">
      <c r="A271" s="83"/>
      <c r="B271" s="100" t="s">
        <v>32</v>
      </c>
      <c r="C271" s="182">
        <f t="shared" ref="C271:L271" si="33">C237+C239+C255+C265+C269</f>
        <v>24795</v>
      </c>
      <c r="D271" s="182">
        <f t="shared" si="33"/>
        <v>26111</v>
      </c>
      <c r="E271" s="182">
        <f t="shared" si="33"/>
        <v>110112</v>
      </c>
      <c r="F271" s="182">
        <f t="shared" si="33"/>
        <v>128593</v>
      </c>
      <c r="G271" s="182">
        <f t="shared" si="33"/>
        <v>136370</v>
      </c>
      <c r="H271" s="277"/>
      <c r="I271" s="182">
        <f t="shared" si="33"/>
        <v>70901.75</v>
      </c>
      <c r="J271" s="182">
        <f t="shared" si="33"/>
        <v>86975.57</v>
      </c>
      <c r="K271" s="182">
        <f t="shared" si="33"/>
        <v>102437.62999999998</v>
      </c>
      <c r="L271" s="182">
        <f t="shared" si="33"/>
        <v>118989.10999999999</v>
      </c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</row>
    <row r="272" spans="1:43" ht="16.5" thickBot="1">
      <c r="A272" s="83"/>
      <c r="B272" s="101" t="s">
        <v>106</v>
      </c>
      <c r="C272" s="102">
        <f>C271/C36</f>
        <v>9.3652091638921041E-3</v>
      </c>
      <c r="D272" s="102">
        <f>D271/D36</f>
        <v>9.8912047033509858E-3</v>
      </c>
      <c r="E272" s="102">
        <f>E271/E36</f>
        <v>3.2581341654626297E-2</v>
      </c>
      <c r="F272" s="102">
        <f>F271/F36</f>
        <v>2.6336490948744882E-2</v>
      </c>
      <c r="G272" s="102">
        <f>G271/G36</f>
        <v>3.7862886208658179E-2</v>
      </c>
      <c r="H272" s="276"/>
      <c r="I272" s="102">
        <f>I271/I36</f>
        <v>1.9107249930943412E-2</v>
      </c>
      <c r="J272" s="102">
        <f>J271/J36</f>
        <v>2.2322829502438364E-2</v>
      </c>
      <c r="K272" s="102">
        <f>K271/K36</f>
        <v>2.5039300193543303E-2</v>
      </c>
      <c r="L272" s="102">
        <f>L271/L36</f>
        <v>2.7700049911212048E-2</v>
      </c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</row>
    <row r="273" spans="1:43" ht="15.75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</row>
    <row r="274" spans="1:43" ht="15.75">
      <c r="A274" s="83"/>
      <c r="B274" s="112" t="s">
        <v>189</v>
      </c>
      <c r="C274" s="113"/>
      <c r="D274" s="113"/>
      <c r="E274" s="113"/>
      <c r="F274" s="113"/>
      <c r="G274" s="113"/>
      <c r="H274" s="278"/>
      <c r="I274" s="113"/>
      <c r="J274" s="113"/>
      <c r="K274" s="113"/>
      <c r="L274" s="11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</row>
    <row r="275" spans="1:43" ht="15.75">
      <c r="A275" s="83"/>
      <c r="B275" s="114" t="s">
        <v>34</v>
      </c>
      <c r="C275" s="115" t="str">
        <f>IFERROR(C33/#REF!-1,"na ")</f>
        <v xml:space="preserve">na </v>
      </c>
      <c r="D275" s="115">
        <f>IFERROR(D33/C33-1,"na ")</f>
        <v>-2.9253295008809799E-3</v>
      </c>
      <c r="E275" s="115">
        <f>IFERROR(E33/D33-1,"na ")</f>
        <v>0.28023994060201085</v>
      </c>
      <c r="F275" s="115">
        <f>IFERROR(F33/E33-1,"na ")</f>
        <v>0.44475342222148573</v>
      </c>
      <c r="G275" s="115">
        <f>IFERROR(G33/F33-1,"na ")</f>
        <v>-0.26235788324189135</v>
      </c>
      <c r="H275" s="279"/>
      <c r="I275" s="115">
        <f>IFERROR(I33/G33-1,"na ")</f>
        <v>3.0276148908287226E-2</v>
      </c>
      <c r="J275" s="115">
        <f>IFERROR(J33/I33-1,"na ")</f>
        <v>4.9999932627720955E-2</v>
      </c>
      <c r="K275" s="115">
        <f>IFERROR(K33/J33-1,"na ")</f>
        <v>4.9999987167184123E-2</v>
      </c>
      <c r="L275" s="115">
        <f>IFERROR(L33/K33-1,"na ")</f>
        <v>5.000007333037737E-2</v>
      </c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</row>
    <row r="276" spans="1:43" ht="15.75">
      <c r="A276" s="83"/>
      <c r="B276" s="114" t="s">
        <v>16</v>
      </c>
      <c r="C276" s="115">
        <f>C67/C33</f>
        <v>0.13225057741736274</v>
      </c>
      <c r="D276" s="115">
        <f>D67/D33</f>
        <v>0.13413149381397216</v>
      </c>
      <c r="E276" s="115">
        <f>E67/E33</f>
        <v>0.17082509395334303</v>
      </c>
      <c r="F276" s="115">
        <f>F67/F33</f>
        <v>0.12639152205555418</v>
      </c>
      <c r="G276" s="115">
        <f>G67/G33</f>
        <v>0.179492070367162</v>
      </c>
      <c r="H276" s="279"/>
      <c r="I276" s="115">
        <f>I67/I33</f>
        <v>0.16</v>
      </c>
      <c r="J276" s="115">
        <f>J67/J33</f>
        <v>0.16</v>
      </c>
      <c r="K276" s="115">
        <f>K67/K33</f>
        <v>0.16</v>
      </c>
      <c r="L276" s="115">
        <f>L67/L33</f>
        <v>0.16</v>
      </c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</row>
    <row r="277" spans="1:43" ht="15.75">
      <c r="A277" s="83"/>
      <c r="B277" s="114" t="s">
        <v>24</v>
      </c>
      <c r="C277" s="115">
        <f>C218/C33</f>
        <v>1.6089878813173614E-2</v>
      </c>
      <c r="D277" s="115">
        <f>D218/D33</f>
        <v>1.6357933495465601E-2</v>
      </c>
      <c r="E277" s="115">
        <f>E218/E33</f>
        <v>4.5122459649846444E-2</v>
      </c>
      <c r="F277" s="115">
        <f>F218/F33</f>
        <v>2.6849527504596335E-2</v>
      </c>
      <c r="G277" s="115">
        <f>G218/G33</f>
        <v>4.2701739188378759E-2</v>
      </c>
      <c r="H277" s="279"/>
      <c r="I277" s="115">
        <f>I218/I33</f>
        <v>2.3234273625773939E-2</v>
      </c>
      <c r="J277" s="115">
        <f>J218/J33</f>
        <v>2.6795371254646445E-2</v>
      </c>
      <c r="K277" s="115">
        <f>K218/K33</f>
        <v>2.9838580284785844E-2</v>
      </c>
      <c r="L277" s="115">
        <f>L218/L33</f>
        <v>3.3359611214006421E-2</v>
      </c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</row>
    <row r="278" spans="1:43" ht="15.75">
      <c r="A278" s="83"/>
      <c r="B278" s="114" t="s">
        <v>26</v>
      </c>
      <c r="C278" s="115">
        <f>C237/C33</f>
        <v>1.3922982060874804E-2</v>
      </c>
      <c r="D278" s="115">
        <f>D237/D33</f>
        <v>1.279594820858998E-2</v>
      </c>
      <c r="E278" s="115">
        <f>E237/E33</f>
        <v>4.3463093150290136E-2</v>
      </c>
      <c r="F278" s="115">
        <f>F237/F33</f>
        <v>2.5691969574986592E-2</v>
      </c>
      <c r="G278" s="115">
        <f>G237/G33</f>
        <v>3.9023455720663687E-2</v>
      </c>
      <c r="H278" s="279"/>
      <c r="I278" s="115">
        <f>I237/I33</f>
        <v>2.0539382465690668E-2</v>
      </c>
      <c r="J278" s="115">
        <f>J237/J33</f>
        <v>2.4742120715219029E-2</v>
      </c>
      <c r="K278" s="115">
        <f>K237/K33</f>
        <v>2.8371972738698924E-2</v>
      </c>
      <c r="L278" s="115">
        <f>L237/L33</f>
        <v>3.196284222004326E-2</v>
      </c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</row>
    <row r="279" spans="1:43" ht="15.75">
      <c r="A279" s="83"/>
      <c r="B279" s="116" t="s">
        <v>35</v>
      </c>
      <c r="C279" s="117">
        <f>C271/C33</f>
        <v>9.3652091638921041E-3</v>
      </c>
      <c r="D279" s="117">
        <f>D271/D33</f>
        <v>9.8912047033509858E-3</v>
      </c>
      <c r="E279" s="117">
        <f>E271/E33</f>
        <v>3.2581341654626297E-2</v>
      </c>
      <c r="F279" s="117">
        <f>F271/F33</f>
        <v>2.6336490948744882E-2</v>
      </c>
      <c r="G279" s="117">
        <f>G271/G33</f>
        <v>3.7862886208658179E-2</v>
      </c>
      <c r="H279" s="279"/>
      <c r="I279" s="117">
        <f>I271/I33</f>
        <v>1.9107249930943412E-2</v>
      </c>
      <c r="J279" s="117">
        <f>J271/J33</f>
        <v>2.2322829502438364E-2</v>
      </c>
      <c r="K279" s="117">
        <f>K271/K33</f>
        <v>2.5039300193543303E-2</v>
      </c>
      <c r="L279" s="117">
        <f>L271/L33</f>
        <v>2.7700049911212048E-2</v>
      </c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</row>
    <row r="280" spans="1:43" ht="15.7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  <c r="AQ280" s="83"/>
    </row>
    <row r="281" spans="1:43" ht="15.75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</row>
    <row r="282" spans="1:43" ht="15.75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</row>
    <row r="283" spans="1:43" ht="15.75">
      <c r="A283" s="107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9"/>
      <c r="P283" s="109"/>
      <c r="Q283" s="109"/>
      <c r="R283" s="109"/>
      <c r="S283" s="109"/>
      <c r="T283" s="109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</row>
    <row r="284" spans="1:43" ht="15.75">
      <c r="A284" s="107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9"/>
      <c r="P284" s="109"/>
      <c r="Q284" s="109"/>
      <c r="R284" s="109"/>
      <c r="S284" s="109"/>
      <c r="T284" s="109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</row>
    <row r="285" spans="1:43" ht="15.75">
      <c r="A285" s="107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9"/>
      <c r="P285" s="109"/>
      <c r="Q285" s="109"/>
      <c r="R285" s="109"/>
      <c r="S285" s="109"/>
      <c r="T285" s="109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</row>
    <row r="286" spans="1:43" ht="15.75">
      <c r="A286" s="107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9"/>
      <c r="P286" s="109"/>
      <c r="Q286" s="109"/>
      <c r="R286" s="109"/>
      <c r="S286" s="109"/>
      <c r="T286" s="109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</row>
    <row r="287" spans="1:43" ht="15.75">
      <c r="A287" s="107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9"/>
      <c r="P287" s="109"/>
      <c r="Q287" s="109"/>
      <c r="R287" s="109"/>
      <c r="S287" s="109"/>
      <c r="T287" s="109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</row>
    <row r="288" spans="1:43" ht="15.75">
      <c r="A288" s="107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9"/>
      <c r="P288" s="109"/>
      <c r="Q288" s="109"/>
      <c r="R288" s="109"/>
      <c r="S288" s="109"/>
      <c r="T288" s="109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</row>
    <row r="289" spans="1:43" ht="15.75">
      <c r="A289" s="107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9"/>
      <c r="P289" s="109"/>
      <c r="Q289" s="109"/>
      <c r="R289" s="109"/>
      <c r="S289" s="109"/>
      <c r="T289" s="109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</row>
    <row r="290" spans="1:43" ht="15.75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</row>
    <row r="291" spans="1:43" ht="15.75">
      <c r="A291" s="107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9"/>
      <c r="P291" s="109"/>
      <c r="Q291" s="109"/>
      <c r="R291" s="109"/>
      <c r="S291" s="109"/>
      <c r="T291" s="109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</row>
    <row r="292" spans="1:43" ht="15.75">
      <c r="A292" s="107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9"/>
      <c r="P292" s="109"/>
      <c r="Q292" s="109"/>
      <c r="R292" s="109"/>
      <c r="S292" s="109"/>
      <c r="T292" s="109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</row>
    <row r="293" spans="1:43" ht="15.75">
      <c r="A293" s="107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9"/>
      <c r="P293" s="109"/>
      <c r="Q293" s="109"/>
      <c r="R293" s="109"/>
      <c r="S293" s="109"/>
      <c r="T293" s="109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</row>
    <row r="294" spans="1:43" ht="15.75">
      <c r="A294" s="107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9"/>
      <c r="P294" s="109"/>
      <c r="Q294" s="109"/>
      <c r="R294" s="109"/>
      <c r="S294" s="109"/>
      <c r="T294" s="109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</row>
    <row r="295" spans="1:43" ht="15.75">
      <c r="A295" s="107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9"/>
      <c r="P295" s="109"/>
      <c r="Q295" s="109"/>
      <c r="R295" s="109"/>
      <c r="S295" s="109"/>
      <c r="T295" s="109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</row>
    <row r="296" spans="1:43" ht="15.75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</row>
    <row r="297" spans="1:43" ht="15.75">
      <c r="A297" s="107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9"/>
      <c r="P297" s="109"/>
      <c r="Q297" s="109"/>
      <c r="R297" s="109"/>
      <c r="S297" s="109"/>
      <c r="T297" s="109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</row>
    <row r="298" spans="1:43" ht="15.75">
      <c r="A298" s="107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9"/>
      <c r="P298" s="109"/>
      <c r="Q298" s="109"/>
      <c r="R298" s="109"/>
      <c r="S298" s="109"/>
      <c r="T298" s="109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</row>
    <row r="299" spans="1:43" ht="15.75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</row>
    <row r="300" spans="1:43" ht="15.75">
      <c r="A300" s="107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9"/>
      <c r="P300" s="109"/>
      <c r="Q300" s="109"/>
      <c r="R300" s="109"/>
      <c r="S300" s="109"/>
      <c r="T300" s="109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</row>
    <row r="301" spans="1:43" ht="15.75">
      <c r="A301" s="107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9"/>
      <c r="P301" s="109"/>
      <c r="Q301" s="109"/>
      <c r="R301" s="109"/>
      <c r="S301" s="109"/>
      <c r="T301" s="109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</row>
    <row r="302" spans="1:43" ht="15.75">
      <c r="A302" s="107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9"/>
      <c r="P302" s="109"/>
      <c r="Q302" s="109"/>
      <c r="R302" s="109"/>
      <c r="S302" s="109"/>
      <c r="T302" s="109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</row>
    <row r="303" spans="1:43" ht="15.75">
      <c r="A303" s="107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9"/>
      <c r="P303" s="109"/>
      <c r="Q303" s="109"/>
      <c r="R303" s="109"/>
      <c r="S303" s="109"/>
      <c r="T303" s="109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</row>
    <row r="304" spans="1:43" ht="15.75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</row>
    <row r="305" spans="1:43" ht="15.75">
      <c r="A305" s="107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9"/>
      <c r="P305" s="109"/>
      <c r="Q305" s="109"/>
      <c r="R305" s="109"/>
      <c r="S305" s="109"/>
      <c r="T305" s="109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</row>
    <row r="306" spans="1:43" ht="15.75">
      <c r="A306" s="107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9"/>
      <c r="P306" s="109"/>
      <c r="Q306" s="109"/>
      <c r="R306" s="109"/>
      <c r="S306" s="109"/>
      <c r="T306" s="109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</row>
    <row r="307" spans="1:43" ht="15.75">
      <c r="A307" s="107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9"/>
      <c r="P307" s="109"/>
      <c r="Q307" s="109"/>
      <c r="R307" s="109"/>
      <c r="S307" s="109"/>
      <c r="T307" s="109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</row>
    <row r="308" spans="1:43" ht="15.75">
      <c r="A308" s="107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9"/>
      <c r="P308" s="109"/>
      <c r="Q308" s="109"/>
      <c r="R308" s="109"/>
      <c r="S308" s="109"/>
      <c r="T308" s="109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</row>
    <row r="309" spans="1:43" ht="15.75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</row>
    <row r="310" spans="1:43" ht="15.75">
      <c r="A310" s="107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9"/>
      <c r="P310" s="109"/>
      <c r="Q310" s="109"/>
      <c r="R310" s="109"/>
      <c r="S310" s="109"/>
      <c r="T310" s="109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</row>
    <row r="311" spans="1:43" ht="15.75">
      <c r="A311" s="107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9"/>
      <c r="P311" s="109"/>
      <c r="Q311" s="109"/>
      <c r="R311" s="109"/>
      <c r="S311" s="109"/>
      <c r="T311" s="109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</row>
    <row r="312" spans="1:43" ht="15.75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</row>
    <row r="313" spans="1:43" ht="15.75">
      <c r="A313" s="107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9"/>
      <c r="P313" s="109"/>
      <c r="Q313" s="109"/>
      <c r="R313" s="109"/>
      <c r="S313" s="109"/>
      <c r="T313" s="109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</row>
    <row r="314" spans="1:43" ht="15.75">
      <c r="A314" s="107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9"/>
      <c r="P314" s="109"/>
      <c r="Q314" s="109"/>
      <c r="R314" s="109"/>
      <c r="S314" s="109"/>
      <c r="T314" s="109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</row>
    <row r="315" spans="1:43" ht="15.75">
      <c r="A315" s="107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9"/>
      <c r="P315" s="109"/>
      <c r="Q315" s="109"/>
      <c r="R315" s="109"/>
      <c r="S315" s="109"/>
      <c r="T315" s="109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</row>
    <row r="316" spans="1:43" ht="15.75">
      <c r="A316" s="107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9"/>
      <c r="P316" s="109"/>
      <c r="Q316" s="109"/>
      <c r="R316" s="109"/>
      <c r="S316" s="109"/>
      <c r="T316" s="109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</row>
    <row r="317" spans="1:43" ht="15.75">
      <c r="A317" s="107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9"/>
      <c r="P317" s="109"/>
      <c r="Q317" s="109"/>
      <c r="R317" s="109"/>
      <c r="S317" s="109"/>
      <c r="T317" s="109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</row>
    <row r="318" spans="1:43" ht="15.75">
      <c r="A318" s="107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9"/>
      <c r="P318" s="109"/>
      <c r="Q318" s="109"/>
      <c r="R318" s="109"/>
      <c r="S318" s="109"/>
      <c r="T318" s="109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</row>
    <row r="319" spans="1:43" ht="15.75">
      <c r="A319" s="107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9"/>
      <c r="P319" s="109"/>
      <c r="Q319" s="109"/>
      <c r="R319" s="109"/>
      <c r="S319" s="109"/>
      <c r="T319" s="109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</row>
    <row r="320" spans="1:43" ht="15.75">
      <c r="A320" s="107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9"/>
      <c r="P320" s="109"/>
      <c r="Q320" s="109"/>
      <c r="R320" s="109"/>
      <c r="S320" s="109"/>
      <c r="T320" s="109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</row>
    <row r="321" spans="1:43" ht="15.75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</row>
    <row r="322" spans="1:43" ht="15.75">
      <c r="A322" s="107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9"/>
      <c r="P322" s="109"/>
      <c r="Q322" s="109"/>
      <c r="R322" s="109"/>
      <c r="S322" s="109"/>
      <c r="T322" s="109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</row>
    <row r="323" spans="1:43" ht="15.75">
      <c r="A323" s="107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9"/>
      <c r="P323" s="109"/>
      <c r="Q323" s="109"/>
      <c r="R323" s="109"/>
      <c r="S323" s="109"/>
      <c r="T323" s="109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</row>
    <row r="324" spans="1:43" ht="15.75">
      <c r="A324" s="107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9"/>
      <c r="P324" s="109"/>
      <c r="Q324" s="109"/>
      <c r="R324" s="109"/>
      <c r="S324" s="109"/>
      <c r="T324" s="109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</row>
    <row r="325" spans="1:43" ht="15.75">
      <c r="A325" s="107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9"/>
      <c r="P325" s="109"/>
      <c r="Q325" s="109"/>
      <c r="R325" s="109"/>
      <c r="S325" s="109"/>
      <c r="T325" s="109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</row>
    <row r="326" spans="1:43" ht="15.75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</row>
    <row r="327" spans="1:43" ht="15.75">
      <c r="A327" s="107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9"/>
      <c r="P327" s="109"/>
      <c r="Q327" s="109"/>
      <c r="R327" s="109"/>
      <c r="S327" s="109"/>
      <c r="T327" s="109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</row>
    <row r="328" spans="1:43" ht="15.75">
      <c r="A328" s="107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9"/>
      <c r="P328" s="109"/>
      <c r="Q328" s="109"/>
      <c r="R328" s="109"/>
      <c r="S328" s="109"/>
      <c r="T328" s="109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</row>
    <row r="329" spans="1:43" ht="15.75">
      <c r="A329" s="107"/>
      <c r="B329" s="118"/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</row>
    <row r="330" spans="1:43" ht="15.75">
      <c r="A330" s="107"/>
      <c r="B330" s="118"/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</row>
    <row r="331" spans="1:43" ht="15.75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F671-85E2-7340-9BE4-F450338C7FBD}">
  <sheetPr codeName="Feuil2">
    <tabColor rgb="FF006C4C"/>
  </sheetPr>
  <dimension ref="B2:H110"/>
  <sheetViews>
    <sheetView zoomScaleNormal="100" workbookViewId="0">
      <selection activeCell="G21" sqref="G21"/>
    </sheetView>
  </sheetViews>
  <sheetFormatPr baseColWidth="10" defaultColWidth="9.140625" defaultRowHeight="15" outlineLevelRow="2"/>
  <cols>
    <col min="1" max="1" width="9.140625" style="32"/>
    <col min="2" max="2" width="20" style="32" customWidth="1"/>
    <col min="3" max="6" width="9.42578125" style="32" bestFit="1" customWidth="1"/>
    <col min="7" max="7" width="9.140625" style="32"/>
    <col min="8" max="8" width="49.42578125" style="32" customWidth="1"/>
    <col min="9" max="16384" width="9.140625" style="32"/>
  </cols>
  <sheetData>
    <row r="2" spans="2:8" ht="15.75" thickBot="1">
      <c r="B2" s="1" t="s">
        <v>0</v>
      </c>
      <c r="C2" s="2"/>
      <c r="D2" s="2"/>
      <c r="E2" s="2"/>
      <c r="F2" s="2" t="s">
        <v>272</v>
      </c>
      <c r="G2" s="51"/>
      <c r="H2" s="4" t="s">
        <v>1</v>
      </c>
    </row>
    <row r="3" spans="2:8">
      <c r="B3" s="55"/>
      <c r="C3" s="54"/>
      <c r="D3" s="54">
        <v>44286</v>
      </c>
      <c r="E3" s="54">
        <v>44804</v>
      </c>
      <c r="F3" s="54">
        <v>45169</v>
      </c>
      <c r="G3" s="51"/>
      <c r="H3" s="6" t="s">
        <v>273</v>
      </c>
    </row>
    <row r="4" spans="2:8">
      <c r="B4" s="53" t="s">
        <v>2</v>
      </c>
      <c r="C4" s="58"/>
      <c r="D4" s="58" t="s">
        <v>257</v>
      </c>
      <c r="E4" s="58" t="s">
        <v>3</v>
      </c>
      <c r="F4" s="58" t="s">
        <v>3</v>
      </c>
      <c r="G4" s="51"/>
      <c r="H4" s="9"/>
    </row>
    <row r="5" spans="2:8">
      <c r="B5" s="51" t="s">
        <v>4</v>
      </c>
      <c r="C5" s="222"/>
      <c r="D5" s="222"/>
      <c r="E5" s="222"/>
      <c r="F5" s="222"/>
      <c r="G5" s="51"/>
      <c r="H5" s="9"/>
    </row>
    <row r="6" spans="2:8">
      <c r="B6" s="51" t="s">
        <v>5</v>
      </c>
      <c r="C6" s="222"/>
      <c r="D6" s="222">
        <v>996.89700000000005</v>
      </c>
      <c r="E6" s="222">
        <v>1711.729</v>
      </c>
      <c r="F6" s="222">
        <v>1322.204</v>
      </c>
      <c r="G6" s="51"/>
      <c r="H6" s="9"/>
    </row>
    <row r="7" spans="2:8">
      <c r="B7" s="51" t="s">
        <v>6</v>
      </c>
      <c r="C7" s="222"/>
      <c r="D7" s="222"/>
      <c r="E7" s="222"/>
      <c r="F7" s="222"/>
      <c r="G7" s="51"/>
      <c r="H7" s="9"/>
    </row>
    <row r="8" spans="2:8">
      <c r="B8" s="59" t="s">
        <v>7</v>
      </c>
      <c r="C8" s="223"/>
      <c r="D8" s="223">
        <f t="shared" ref="D8:F8" si="0">SUM(D5:D7)</f>
        <v>996.89700000000005</v>
      </c>
      <c r="E8" s="223">
        <f t="shared" si="0"/>
        <v>1711.729</v>
      </c>
      <c r="F8" s="223">
        <f t="shared" si="0"/>
        <v>1322.204</v>
      </c>
      <c r="G8" s="51"/>
      <c r="H8" s="9"/>
    </row>
    <row r="9" spans="2:8">
      <c r="B9" s="51" t="s">
        <v>8</v>
      </c>
      <c r="C9" s="222"/>
      <c r="D9" s="222">
        <v>-12.651999999999999</v>
      </c>
      <c r="E9" s="222">
        <v>14.531000000000001</v>
      </c>
      <c r="F9" s="222">
        <v>-25.513000000000002</v>
      </c>
      <c r="G9" s="51"/>
      <c r="H9" s="9"/>
    </row>
    <row r="10" spans="2:8">
      <c r="B10" s="51" t="s">
        <v>9</v>
      </c>
      <c r="C10" s="222"/>
      <c r="D10" s="222"/>
      <c r="E10" s="222"/>
      <c r="F10" s="222"/>
      <c r="G10" s="51"/>
      <c r="H10" s="9"/>
    </row>
    <row r="11" spans="2:8">
      <c r="B11" s="51" t="s">
        <v>10</v>
      </c>
      <c r="C11" s="222"/>
      <c r="D11" s="222">
        <v>1.25</v>
      </c>
      <c r="E11" s="222">
        <v>0</v>
      </c>
      <c r="F11" s="222"/>
      <c r="G11" s="51"/>
      <c r="H11" s="9"/>
    </row>
    <row r="12" spans="2:8">
      <c r="B12" s="51" t="s">
        <v>13</v>
      </c>
      <c r="C12" s="222"/>
      <c r="D12" s="222">
        <f>SUM(D9:D11)</f>
        <v>-11.401999999999999</v>
      </c>
      <c r="E12" s="222">
        <f>SUM(E9:E11)</f>
        <v>14.531000000000001</v>
      </c>
      <c r="F12" s="222">
        <f>SUM(F9:F11)</f>
        <v>-25.513000000000002</v>
      </c>
      <c r="G12" s="51"/>
      <c r="H12" s="9"/>
    </row>
    <row r="13" spans="2:8">
      <c r="B13" s="59" t="s">
        <v>14</v>
      </c>
      <c r="C13" s="223"/>
      <c r="D13" s="223">
        <f>D8+D12</f>
        <v>985.495</v>
      </c>
      <c r="E13" s="223">
        <f>E8+E12</f>
        <v>1726.26</v>
      </c>
      <c r="F13" s="223">
        <f>F8+F12</f>
        <v>1296.691</v>
      </c>
      <c r="G13" s="51"/>
      <c r="H13" s="9"/>
    </row>
    <row r="14" spans="2:8">
      <c r="B14" s="51" t="s">
        <v>15</v>
      </c>
      <c r="C14" s="222"/>
      <c r="D14" s="222">
        <f>(-233605-10988)/1000</f>
        <v>-244.59299999999999</v>
      </c>
      <c r="E14" s="222">
        <f>(-504947-156613)/1000</f>
        <v>-661.56</v>
      </c>
      <c r="F14" s="222">
        <f>(-436215-18235)/1000</f>
        <v>-454.45</v>
      </c>
      <c r="G14" s="51"/>
      <c r="H14" s="9"/>
    </row>
    <row r="15" spans="2:8">
      <c r="B15" s="55" t="s">
        <v>16</v>
      </c>
      <c r="C15" s="224"/>
      <c r="D15" s="224">
        <f t="shared" ref="D15" si="1">SUM(D13:D14)</f>
        <v>740.90200000000004</v>
      </c>
      <c r="E15" s="224">
        <f t="shared" ref="E15" si="2">SUM(E13:E14)</f>
        <v>1064.7</v>
      </c>
      <c r="F15" s="224">
        <f>SUM(F13:F14)</f>
        <v>842.24099999999999</v>
      </c>
      <c r="G15" s="51"/>
      <c r="H15" s="9"/>
    </row>
    <row r="16" spans="2:8">
      <c r="B16" s="51" t="s">
        <v>17</v>
      </c>
      <c r="C16" s="222"/>
      <c r="D16" s="222">
        <f>(-22103-241194)/1000</f>
        <v>-263.29700000000003</v>
      </c>
      <c r="E16" s="222">
        <f>(-38877-320107)/1000</f>
        <v>-358.98399999999998</v>
      </c>
      <c r="F16" s="222">
        <f>(-35157-221325)/1000</f>
        <v>-256.48200000000003</v>
      </c>
      <c r="G16" s="51"/>
      <c r="H16" s="9"/>
    </row>
    <row r="17" spans="2:8">
      <c r="B17" s="51" t="s">
        <v>22</v>
      </c>
      <c r="C17" s="222"/>
      <c r="D17" s="222">
        <v>-10.004</v>
      </c>
      <c r="E17" s="222">
        <v>-15.082000000000001</v>
      </c>
      <c r="F17" s="222">
        <v>-10.507999999999999</v>
      </c>
      <c r="G17" s="52"/>
      <c r="H17" s="9"/>
    </row>
    <row r="18" spans="2:8" hidden="1" outlineLevel="1">
      <c r="B18" s="57" t="s">
        <v>18</v>
      </c>
      <c r="C18" s="225"/>
      <c r="D18" s="225">
        <v>-395.459</v>
      </c>
      <c r="E18" s="225">
        <v>-440.358</v>
      </c>
      <c r="F18" s="225">
        <v>-317.24200000000002</v>
      </c>
      <c r="G18" s="51"/>
      <c r="H18" s="9"/>
    </row>
    <row r="19" spans="2:8" hidden="1" outlineLevel="1">
      <c r="B19" s="57" t="s">
        <v>19</v>
      </c>
      <c r="C19" s="225"/>
      <c r="D19" s="225">
        <v>-70.423000000000002</v>
      </c>
      <c r="E19" s="225">
        <v>-104.349</v>
      </c>
      <c r="F19" s="225">
        <v>-85.332999999999998</v>
      </c>
      <c r="G19" s="51"/>
      <c r="H19" s="9"/>
    </row>
    <row r="20" spans="2:8" hidden="1" outlineLevel="1">
      <c r="B20" s="57" t="s">
        <v>20</v>
      </c>
      <c r="C20" s="225"/>
      <c r="D20" s="225"/>
      <c r="E20" s="225"/>
      <c r="F20" s="225"/>
      <c r="G20" s="51"/>
      <c r="H20" s="9"/>
    </row>
    <row r="21" spans="2:8" collapsed="1">
      <c r="B21" s="51" t="s">
        <v>21</v>
      </c>
      <c r="C21" s="222"/>
      <c r="D21" s="222">
        <f t="shared" ref="D21" si="3">SUM(D18:D20)</f>
        <v>-465.88200000000001</v>
      </c>
      <c r="E21" s="222">
        <f t="shared" ref="E21" si="4">SUM(E18:E20)</f>
        <v>-544.70699999999999</v>
      </c>
      <c r="F21" s="222">
        <f>SUM(F18:F20)</f>
        <v>-402.57500000000005</v>
      </c>
      <c r="G21" s="51"/>
      <c r="H21" s="9"/>
    </row>
    <row r="22" spans="2:8" ht="15.75" thickBot="1">
      <c r="B22" s="56" t="s">
        <v>24</v>
      </c>
      <c r="C22" s="226"/>
      <c r="D22" s="226">
        <f>SUM(D15:D17,D21)</f>
        <v>1.7189999999999941</v>
      </c>
      <c r="E22" s="226">
        <f>SUM(E15:E17,E21)</f>
        <v>145.92700000000013</v>
      </c>
      <c r="F22" s="226">
        <f>SUM(F15:F17,F21)</f>
        <v>172.67599999999993</v>
      </c>
      <c r="G22" s="81"/>
      <c r="H22" s="9"/>
    </row>
    <row r="23" spans="2:8">
      <c r="B23" s="51" t="s">
        <v>11</v>
      </c>
      <c r="C23" s="222"/>
      <c r="D23" s="222">
        <v>0</v>
      </c>
      <c r="E23" s="222">
        <v>0.20499999999999999</v>
      </c>
      <c r="F23" s="222">
        <v>0.47799999999999998</v>
      </c>
      <c r="G23" s="51"/>
      <c r="H23" s="9"/>
    </row>
    <row r="24" spans="2:8">
      <c r="B24" s="51" t="s">
        <v>12</v>
      </c>
      <c r="C24" s="222"/>
      <c r="D24" s="222">
        <v>0.90400000000000003</v>
      </c>
      <c r="E24" s="222">
        <v>0.40100000000000002</v>
      </c>
      <c r="F24" s="222">
        <v>0.437</v>
      </c>
      <c r="G24" s="51"/>
      <c r="H24" s="9"/>
    </row>
    <row r="25" spans="2:8">
      <c r="B25" s="51" t="s">
        <v>23</v>
      </c>
      <c r="C25" s="222"/>
      <c r="D25" s="222">
        <v>-0.223</v>
      </c>
      <c r="E25" s="222">
        <v>-1.879</v>
      </c>
      <c r="F25" s="222">
        <v>-2.68</v>
      </c>
      <c r="G25" s="51"/>
      <c r="H25" s="9"/>
    </row>
    <row r="26" spans="2:8">
      <c r="B26" s="51" t="s">
        <v>25</v>
      </c>
      <c r="C26" s="222"/>
      <c r="D26" s="222">
        <f>(17098-20371)/1000</f>
        <v>-3.2730000000000001</v>
      </c>
      <c r="E26" s="222">
        <f>(11711-26013)/1000</f>
        <v>-14.302</v>
      </c>
      <c r="F26" s="222">
        <f>(16380-16028)/1000</f>
        <v>0.35199999999999998</v>
      </c>
      <c r="G26" s="51"/>
      <c r="H26" s="9"/>
    </row>
    <row r="27" spans="2:8" ht="15.75" thickBot="1">
      <c r="B27" s="56" t="s">
        <v>26</v>
      </c>
      <c r="C27" s="226"/>
      <c r="D27" s="226">
        <f>SUM(D22:D26)</f>
        <v>-0.87300000000000599</v>
      </c>
      <c r="E27" s="226">
        <f t="shared" ref="E27:F27" si="5">SUM(E22:E26)</f>
        <v>130.35200000000017</v>
      </c>
      <c r="F27" s="226">
        <f t="shared" si="5"/>
        <v>171.26299999999995</v>
      </c>
      <c r="G27" s="51"/>
      <c r="H27" s="9"/>
    </row>
    <row r="28" spans="2:8" hidden="1" outlineLevel="1">
      <c r="B28" s="57" t="s">
        <v>27</v>
      </c>
      <c r="C28" s="225"/>
      <c r="D28" s="225">
        <v>0.13300000000000001</v>
      </c>
      <c r="E28" s="225">
        <v>1.147</v>
      </c>
      <c r="F28" s="225">
        <v>3.75</v>
      </c>
      <c r="G28" s="51"/>
      <c r="H28" s="9"/>
    </row>
    <row r="29" spans="2:8" hidden="1" outlineLevel="1">
      <c r="B29" s="57" t="s">
        <v>28</v>
      </c>
      <c r="C29" s="225"/>
      <c r="D29" s="225">
        <v>-1.147</v>
      </c>
      <c r="E29" s="225">
        <v>-0.4</v>
      </c>
      <c r="F29" s="225">
        <v>-5.8000000000000003E-2</v>
      </c>
      <c r="G29" s="51"/>
      <c r="H29" s="9"/>
    </row>
    <row r="30" spans="2:8" collapsed="1">
      <c r="B30" s="51" t="s">
        <v>29</v>
      </c>
      <c r="C30" s="222"/>
      <c r="D30" s="222">
        <f>SUM(D28:D29)</f>
        <v>-1.014</v>
      </c>
      <c r="E30" s="222">
        <f>SUM(E28:E29)</f>
        <v>0.747</v>
      </c>
      <c r="F30" s="222">
        <f>SUM(F28:F29)</f>
        <v>3.6920000000000002</v>
      </c>
      <c r="G30" s="51"/>
      <c r="H30" s="9"/>
    </row>
    <row r="31" spans="2:8">
      <c r="B31" s="51" t="s">
        <v>30</v>
      </c>
      <c r="C31" s="222"/>
      <c r="D31" s="222">
        <f>0</f>
        <v>0</v>
      </c>
      <c r="E31" s="222">
        <f>2.548</f>
        <v>2.548</v>
      </c>
      <c r="F31" s="222">
        <f>(0-877)/1000</f>
        <v>-0.877</v>
      </c>
      <c r="G31" s="51"/>
      <c r="H31" s="9"/>
    </row>
    <row r="32" spans="2:8">
      <c r="B32" s="51" t="s">
        <v>31</v>
      </c>
      <c r="C32" s="222"/>
      <c r="D32" s="222">
        <v>0</v>
      </c>
      <c r="E32" s="222">
        <v>-28.373999999999999</v>
      </c>
      <c r="F32" s="222">
        <v>-43.012999999999998</v>
      </c>
      <c r="G32" s="51"/>
      <c r="H32" s="9"/>
    </row>
    <row r="33" spans="2:8" ht="15.75" thickBot="1">
      <c r="B33" s="56" t="s">
        <v>32</v>
      </c>
      <c r="C33" s="226"/>
      <c r="D33" s="226">
        <f>SUM(D27,D30:D32)</f>
        <v>-1.887000000000006</v>
      </c>
      <c r="E33" s="226">
        <f>SUM(E27,E30:E32)</f>
        <v>105.2730000000002</v>
      </c>
      <c r="F33" s="226">
        <f>SUM(F27,F30:F32)</f>
        <v>131.06499999999994</v>
      </c>
      <c r="G33" s="51"/>
      <c r="H33" s="9"/>
    </row>
    <row r="34" spans="2:8">
      <c r="B34" s="13" t="s">
        <v>33</v>
      </c>
      <c r="C34" s="14"/>
      <c r="D34" s="14"/>
      <c r="E34" s="14"/>
      <c r="F34" s="14"/>
      <c r="G34" s="51"/>
      <c r="H34" s="9"/>
    </row>
    <row r="35" spans="2:8">
      <c r="B35" s="15" t="s">
        <v>34</v>
      </c>
      <c r="C35" s="16"/>
      <c r="D35" s="16" t="str">
        <f>IFERROR(D8/#REF!-1,"na ")</f>
        <v xml:space="preserve">na </v>
      </c>
      <c r="E35" s="16" t="str">
        <f>IFERROR(E8/#REF!-1,"na ")</f>
        <v xml:space="preserve">na </v>
      </c>
      <c r="F35" s="16" t="str">
        <f>IFERROR(F8/#REF!-1,"na ")</f>
        <v xml:space="preserve">na </v>
      </c>
      <c r="G35" s="51"/>
      <c r="H35" s="9"/>
    </row>
    <row r="36" spans="2:8">
      <c r="B36" s="15" t="s">
        <v>16</v>
      </c>
      <c r="C36" s="16"/>
      <c r="D36" s="16">
        <f>D15/D8</f>
        <v>0.74320817496692237</v>
      </c>
      <c r="E36" s="16">
        <f>E15/E8</f>
        <v>0.62200266514150315</v>
      </c>
      <c r="F36" s="16">
        <f>F15/F8</f>
        <v>0.63699777038944072</v>
      </c>
      <c r="G36" s="51"/>
      <c r="H36" s="9"/>
    </row>
    <row r="37" spans="2:8">
      <c r="B37" s="15" t="s">
        <v>24</v>
      </c>
      <c r="C37" s="16"/>
      <c r="D37" s="16">
        <f>D22/D8</f>
        <v>1.7243506600982789E-3</v>
      </c>
      <c r="E37" s="16">
        <f>E22/E8</f>
        <v>8.5251228436277082E-2</v>
      </c>
      <c r="F37" s="16">
        <f>F22/F8</f>
        <v>0.13059709394314337</v>
      </c>
      <c r="G37" s="51"/>
      <c r="H37" s="9"/>
    </row>
    <row r="38" spans="2:8">
      <c r="B38" s="15" t="s">
        <v>26</v>
      </c>
      <c r="C38" s="16"/>
      <c r="D38" s="16">
        <f>D27/D8</f>
        <v>-8.7571735093997264E-4</v>
      </c>
      <c r="E38" s="16">
        <f>E27/E8</f>
        <v>7.6152241388677863E-2</v>
      </c>
      <c r="F38" s="16">
        <f>F27/F8</f>
        <v>0.12952842375306681</v>
      </c>
      <c r="G38" s="51"/>
      <c r="H38" s="9"/>
    </row>
    <row r="39" spans="2:8">
      <c r="B39" s="17" t="s">
        <v>35</v>
      </c>
      <c r="C39" s="18"/>
      <c r="D39" s="18">
        <f>D33/D8</f>
        <v>-1.892873586739659E-3</v>
      </c>
      <c r="E39" s="18">
        <f>E33/E8</f>
        <v>6.1500973577009087E-2</v>
      </c>
      <c r="F39" s="18">
        <f>F33/F8</f>
        <v>9.9126156024335083E-2</v>
      </c>
      <c r="G39" s="51"/>
      <c r="H39" s="9"/>
    </row>
    <row r="40" spans="2:8">
      <c r="B40" s="51"/>
      <c r="C40" s="52"/>
      <c r="D40" s="52"/>
      <c r="E40" s="52"/>
      <c r="F40" s="52"/>
      <c r="G40" s="51"/>
      <c r="H40" s="60"/>
    </row>
    <row r="42" spans="2:8">
      <c r="B42" s="1" t="s">
        <v>36</v>
      </c>
      <c r="C42" s="2"/>
      <c r="D42" s="2"/>
      <c r="E42" s="2"/>
      <c r="F42" s="2" t="str">
        <f>F2</f>
        <v>SAS EMBALLAGES</v>
      </c>
    </row>
    <row r="43" spans="2:8">
      <c r="B43" s="53" t="s">
        <v>2</v>
      </c>
      <c r="C43" s="64"/>
      <c r="D43" s="64">
        <f>D3</f>
        <v>44286</v>
      </c>
      <c r="E43" s="64">
        <f>E3</f>
        <v>44804</v>
      </c>
      <c r="F43" s="64">
        <f>F3</f>
        <v>45169</v>
      </c>
    </row>
    <row r="44" spans="2:8" hidden="1" outlineLevel="1">
      <c r="B44" s="55" t="s">
        <v>37</v>
      </c>
      <c r="C44" s="223"/>
      <c r="D44" s="223"/>
      <c r="E44" s="223"/>
      <c r="F44" s="223"/>
    </row>
    <row r="45" spans="2:8" hidden="1" outlineLevel="1">
      <c r="B45" s="51" t="s">
        <v>38</v>
      </c>
      <c r="C45" s="222"/>
      <c r="D45" s="222">
        <f>(45735+5313)/1000</f>
        <v>51.048000000000002</v>
      </c>
      <c r="E45" s="222">
        <f>(45735+2395)/1000</f>
        <v>48.13</v>
      </c>
      <c r="F45" s="222">
        <f>(45735+483)/1000</f>
        <v>46.218000000000004</v>
      </c>
    </row>
    <row r="46" spans="2:8" hidden="1" outlineLevel="1">
      <c r="B46" s="51" t="s">
        <v>39</v>
      </c>
      <c r="C46" s="222"/>
      <c r="D46" s="222">
        <f>(27912+31130)/1000</f>
        <v>59.042000000000002</v>
      </c>
      <c r="E46" s="222">
        <f>(15786+28829)/1000</f>
        <v>44.615000000000002</v>
      </c>
      <c r="F46" s="222">
        <f>(13156+43363)/1000</f>
        <v>56.518999999999998</v>
      </c>
    </row>
    <row r="47" spans="2:8" hidden="1" outlineLevel="1">
      <c r="B47" s="51" t="s">
        <v>40</v>
      </c>
      <c r="C47" s="222"/>
      <c r="D47" s="222">
        <f>(10708+3037)/1000</f>
        <v>13.744999999999999</v>
      </c>
      <c r="E47" s="222">
        <f>(10708+3037)/1000</f>
        <v>13.744999999999999</v>
      </c>
      <c r="F47" s="222">
        <f>(10964+2160)/1000</f>
        <v>13.124000000000001</v>
      </c>
    </row>
    <row r="48" spans="2:8" hidden="1" outlineLevel="1">
      <c r="B48" s="55" t="s">
        <v>41</v>
      </c>
      <c r="C48" s="223"/>
      <c r="D48" s="223">
        <f>SUM(D44:D47)</f>
        <v>123.83500000000001</v>
      </c>
      <c r="E48" s="223">
        <f>SUM(E44:E47)</f>
        <v>106.49000000000001</v>
      </c>
      <c r="F48" s="223">
        <f>SUM(F44:F47)</f>
        <v>115.86099999999999</v>
      </c>
    </row>
    <row r="49" spans="2:7" hidden="1" outlineLevel="1">
      <c r="B49" s="51" t="s">
        <v>42</v>
      </c>
      <c r="C49" s="222"/>
      <c r="D49" s="222">
        <f>(75473+17742)/1000</f>
        <v>93.215000000000003</v>
      </c>
      <c r="E49" s="222">
        <f>(109926+32273)/1000</f>
        <v>142.19900000000001</v>
      </c>
      <c r="F49" s="222">
        <f>(28884+6760)/1000</f>
        <v>35.643999999999998</v>
      </c>
    </row>
    <row r="50" spans="2:7" hidden="1" outlineLevel="1">
      <c r="B50" s="51" t="s">
        <v>43</v>
      </c>
      <c r="C50" s="222"/>
      <c r="D50" s="222">
        <f>(305224+488+2774+11952)/1000</f>
        <v>320.43799999999999</v>
      </c>
      <c r="E50" s="222">
        <f>(330107+342+150+2662+925)/1000</f>
        <v>334.18599999999998</v>
      </c>
      <c r="F50" s="222">
        <f>(332611+1603+2389)/1000</f>
        <v>336.60300000000001</v>
      </c>
    </row>
    <row r="51" spans="2:7" hidden="1" outlineLevel="1">
      <c r="B51" s="51" t="s">
        <v>44</v>
      </c>
      <c r="C51" s="222"/>
      <c r="D51" s="222">
        <f>(-72695-1596)/1000</f>
        <v>-74.290999999999997</v>
      </c>
      <c r="E51" s="222">
        <f>(-113805-11052)/1000</f>
        <v>-124.857</v>
      </c>
      <c r="F51" s="222">
        <f>(-101588-9179)/1000</f>
        <v>-110.767</v>
      </c>
    </row>
    <row r="52" spans="2:7" hidden="1" outlineLevel="1">
      <c r="B52" s="55" t="s">
        <v>45</v>
      </c>
      <c r="C52" s="223"/>
      <c r="D52" s="223">
        <f t="shared" ref="D52:F52" si="6">SUM(D49:D51)</f>
        <v>339.36200000000002</v>
      </c>
      <c r="E52" s="223">
        <f t="shared" si="6"/>
        <v>351.52800000000002</v>
      </c>
      <c r="F52" s="223">
        <f t="shared" si="6"/>
        <v>261.48</v>
      </c>
    </row>
    <row r="53" spans="2:7" hidden="1" outlineLevel="1">
      <c r="B53" s="51" t="s">
        <v>46</v>
      </c>
      <c r="C53" s="222"/>
      <c r="D53" s="222">
        <f>(1792+9375-6650)/1000</f>
        <v>4.5170000000000003</v>
      </c>
      <c r="E53" s="222">
        <f>(120039+1792+11417)/1000</f>
        <v>133.24799999999999</v>
      </c>
      <c r="F53" s="222">
        <f>(51166+10395)/1000</f>
        <v>61.561</v>
      </c>
    </row>
    <row r="54" spans="2:7" hidden="1" outlineLevel="1">
      <c r="B54" s="51" t="s">
        <v>47</v>
      </c>
      <c r="C54" s="222"/>
      <c r="D54" s="222">
        <f>-114.219</f>
        <v>-114.21899999999999</v>
      </c>
      <c r="E54" s="222">
        <v>-108.468</v>
      </c>
      <c r="F54" s="222">
        <v>-130.38800000000001</v>
      </c>
    </row>
    <row r="55" spans="2:7" hidden="1" outlineLevel="1">
      <c r="B55" s="51" t="s">
        <v>48</v>
      </c>
      <c r="C55" s="222"/>
      <c r="D55" s="222">
        <v>-5.7770000000000001</v>
      </c>
      <c r="E55" s="222">
        <v>-0.85199999999999998</v>
      </c>
      <c r="F55" s="222">
        <v>0</v>
      </c>
    </row>
    <row r="56" spans="2:7" hidden="1" outlineLevel="1">
      <c r="B56" s="55" t="s">
        <v>49</v>
      </c>
      <c r="C56" s="227"/>
      <c r="D56" s="227">
        <f t="shared" ref="D56" si="7">SUM(D53:D55)</f>
        <v>-115.479</v>
      </c>
      <c r="E56" s="227">
        <f>SUM(E53:E55)</f>
        <v>23.927999999999987</v>
      </c>
      <c r="F56" s="227">
        <f>SUM(F53:F55)</f>
        <v>-68.826999999999998</v>
      </c>
    </row>
    <row r="57" spans="2:7" ht="15.75" hidden="1" outlineLevel="1" thickBot="1">
      <c r="B57" s="56" t="s">
        <v>50</v>
      </c>
      <c r="C57" s="226"/>
      <c r="D57" s="226">
        <f t="shared" ref="D57" si="8">SUM(D52,D56)</f>
        <v>223.88300000000004</v>
      </c>
      <c r="E57" s="226">
        <f>SUM(E52,E56)</f>
        <v>375.45600000000002</v>
      </c>
      <c r="F57" s="226">
        <f>SUM(F52,F56)</f>
        <v>192.65300000000002</v>
      </c>
    </row>
    <row r="58" spans="2:7" hidden="1" outlineLevel="1">
      <c r="B58" s="55" t="s">
        <v>51</v>
      </c>
      <c r="C58" s="227"/>
      <c r="D58" s="227"/>
      <c r="E58" s="227"/>
      <c r="F58" s="227"/>
    </row>
    <row r="59" spans="2:7" hidden="1" outlineLevel="2">
      <c r="B59" s="57" t="s">
        <v>52</v>
      </c>
      <c r="C59" s="225"/>
      <c r="D59" s="225">
        <v>125.29600000000001</v>
      </c>
      <c r="E59" s="225">
        <v>54.561</v>
      </c>
      <c r="F59" s="225">
        <v>193.82</v>
      </c>
      <c r="G59" s="65"/>
    </row>
    <row r="60" spans="2:7" hidden="1" outlineLevel="2">
      <c r="B60" s="57" t="s">
        <v>53</v>
      </c>
      <c r="C60" s="225"/>
      <c r="D60" s="225"/>
      <c r="E60" s="225"/>
      <c r="F60" s="225"/>
    </row>
    <row r="61" spans="2:7" hidden="1" outlineLevel="1">
      <c r="B61" s="51" t="s">
        <v>54</v>
      </c>
      <c r="C61" s="222"/>
      <c r="D61" s="222">
        <f t="shared" ref="D61:F61" si="9">SUM(D59:D60)</f>
        <v>125.29600000000001</v>
      </c>
      <c r="E61" s="222">
        <f t="shared" si="9"/>
        <v>54.561</v>
      </c>
      <c r="F61" s="222">
        <f t="shared" si="9"/>
        <v>193.82</v>
      </c>
    </row>
    <row r="62" spans="2:7" hidden="1" outlineLevel="2">
      <c r="B62" s="57" t="s">
        <v>55</v>
      </c>
      <c r="C62" s="225"/>
      <c r="D62" s="225">
        <v>-16.427</v>
      </c>
      <c r="E62" s="225">
        <v>-4.8499999999999996</v>
      </c>
      <c r="F62" s="225">
        <v>0</v>
      </c>
      <c r="G62" s="65"/>
    </row>
    <row r="63" spans="2:7" hidden="1" outlineLevel="2">
      <c r="B63" s="57" t="s">
        <v>56</v>
      </c>
      <c r="C63" s="225"/>
      <c r="D63" s="225">
        <v>-70.593999999999994</v>
      </c>
      <c r="E63" s="225">
        <v>-40.389000000000003</v>
      </c>
      <c r="F63" s="225">
        <v>0</v>
      </c>
    </row>
    <row r="64" spans="2:7" hidden="1" outlineLevel="2">
      <c r="B64" s="57" t="s">
        <v>57</v>
      </c>
      <c r="C64" s="225"/>
      <c r="D64" s="225"/>
      <c r="E64" s="225"/>
      <c r="F64" s="225"/>
    </row>
    <row r="65" spans="2:6" hidden="1" outlineLevel="2">
      <c r="B65" s="57" t="s">
        <v>58</v>
      </c>
      <c r="C65" s="225"/>
      <c r="D65" s="225"/>
      <c r="E65" s="225"/>
      <c r="F65" s="225"/>
    </row>
    <row r="66" spans="2:6" hidden="1" outlineLevel="2">
      <c r="B66" s="57" t="s">
        <v>59</v>
      </c>
      <c r="C66" s="225"/>
      <c r="D66" s="225"/>
      <c r="E66" s="225"/>
      <c r="F66" s="225"/>
    </row>
    <row r="67" spans="2:6" hidden="1" outlineLevel="1">
      <c r="B67" s="51" t="s">
        <v>60</v>
      </c>
      <c r="C67" s="222"/>
      <c r="D67" s="222">
        <f t="shared" ref="D67" si="10">SUM(D62:D66)</f>
        <v>-87.020999999999987</v>
      </c>
      <c r="E67" s="222">
        <f>SUM(E62:E66)</f>
        <v>-45.239000000000004</v>
      </c>
      <c r="F67" s="222">
        <f>SUM(F62:F66)</f>
        <v>0</v>
      </c>
    </row>
    <row r="68" spans="2:6" hidden="1" outlineLevel="1">
      <c r="B68" s="55" t="s">
        <v>61</v>
      </c>
      <c r="C68" s="223"/>
      <c r="D68" s="223">
        <f t="shared" ref="D68" si="11">SUM(D61,D67)</f>
        <v>38.27500000000002</v>
      </c>
      <c r="E68" s="223">
        <f>SUM(E61,E67)</f>
        <v>9.3219999999999956</v>
      </c>
      <c r="F68" s="223">
        <f>SUM(F61,F67)</f>
        <v>193.82</v>
      </c>
    </row>
    <row r="69" spans="2:6" ht="15.75" hidden="1" outlineLevel="1" thickBot="1">
      <c r="B69" s="56" t="s">
        <v>62</v>
      </c>
      <c r="C69" s="226"/>
      <c r="D69" s="226">
        <f t="shared" ref="D69" si="12">SUM(D48,D57,D58,D68)</f>
        <v>385.99300000000011</v>
      </c>
      <c r="E69" s="226">
        <f>SUM(E48,E57,E58,E68)</f>
        <v>491.26800000000003</v>
      </c>
      <c r="F69" s="226">
        <f>SUM(F48,F57,F58,F68)</f>
        <v>502.334</v>
      </c>
    </row>
    <row r="70" spans="2:6" collapsed="1">
      <c r="B70" s="51" t="s">
        <v>63</v>
      </c>
      <c r="C70" s="222"/>
      <c r="D70" s="222">
        <v>110</v>
      </c>
      <c r="E70" s="222">
        <v>110</v>
      </c>
      <c r="F70" s="222">
        <v>110</v>
      </c>
    </row>
    <row r="71" spans="2:6">
      <c r="B71" s="51" t="s">
        <v>64</v>
      </c>
      <c r="C71" s="222"/>
      <c r="D71" s="222">
        <v>0</v>
      </c>
      <c r="E71" s="222">
        <v>0</v>
      </c>
      <c r="F71" s="222"/>
    </row>
    <row r="72" spans="2:6">
      <c r="B72" s="51" t="s">
        <v>65</v>
      </c>
      <c r="C72" s="222"/>
      <c r="D72" s="222">
        <f>(11000+266882)/1000</f>
        <v>277.88200000000001</v>
      </c>
      <c r="E72" s="222">
        <f>(11000+264994)/1000</f>
        <v>275.99400000000003</v>
      </c>
      <c r="F72" s="222">
        <f>(11000+250267)/1000</f>
        <v>261.267</v>
      </c>
    </row>
    <row r="73" spans="2:6">
      <c r="B73" s="51" t="s">
        <v>66</v>
      </c>
      <c r="C73" s="222"/>
      <c r="D73" s="222">
        <v>-1.8879999999999999</v>
      </c>
      <c r="E73" s="222">
        <v>105.273</v>
      </c>
      <c r="F73" s="222">
        <v>131.065</v>
      </c>
    </row>
    <row r="74" spans="2:6">
      <c r="B74" s="51" t="s">
        <v>160</v>
      </c>
      <c r="C74" s="222"/>
      <c r="D74" s="222"/>
      <c r="E74" s="222"/>
      <c r="F74" s="222"/>
    </row>
    <row r="75" spans="2:6" ht="15.75" thickBot="1">
      <c r="B75" s="56" t="s">
        <v>67</v>
      </c>
      <c r="C75" s="226"/>
      <c r="D75" s="226">
        <f t="shared" ref="D75:F75" si="13">SUM(D70:D74)</f>
        <v>385.99400000000003</v>
      </c>
      <c r="E75" s="226">
        <f t="shared" si="13"/>
        <v>491.26700000000005</v>
      </c>
      <c r="F75" s="226">
        <f t="shared" si="13"/>
        <v>502.33199999999999</v>
      </c>
    </row>
    <row r="76" spans="2:6">
      <c r="B76" s="13" t="s">
        <v>68</v>
      </c>
      <c r="C76" s="234"/>
      <c r="D76" s="234"/>
      <c r="E76" s="234"/>
      <c r="F76" s="234"/>
    </row>
    <row r="77" spans="2:6" hidden="1" outlineLevel="1">
      <c r="B77" s="15" t="s">
        <v>42</v>
      </c>
      <c r="C77" s="228"/>
      <c r="D77" s="228">
        <f>(D$49/(D$8/365))</f>
        <v>34.129378461365619</v>
      </c>
      <c r="E77" s="228">
        <f>(E$49/(E$8/365))</f>
        <v>30.321759460755764</v>
      </c>
      <c r="F77" s="228">
        <f>(F$49/(F$8/365))</f>
        <v>9.8396767821001898</v>
      </c>
    </row>
    <row r="78" spans="2:6" hidden="1" outlineLevel="1">
      <c r="B78" s="15" t="s">
        <v>69</v>
      </c>
      <c r="C78" s="228"/>
      <c r="D78" s="228">
        <f>(D$50/(D$8/365))</f>
        <v>117.32392614282116</v>
      </c>
      <c r="E78" s="228">
        <f>(E$50/(E$8/365))</f>
        <v>71.260047589308812</v>
      </c>
      <c r="F78" s="228">
        <f>(F$50/(F$8/365))</f>
        <v>92.920680167356934</v>
      </c>
    </row>
    <row r="79" spans="2:6" hidden="1" outlineLevel="1">
      <c r="B79" s="15" t="s">
        <v>70</v>
      </c>
      <c r="C79" s="228"/>
      <c r="D79" s="228">
        <f>(D$51/(D$8/365))</f>
        <v>-27.200618519265277</v>
      </c>
      <c r="E79" s="228">
        <f>(E$51/(E$8/365))</f>
        <v>-26.623843493917555</v>
      </c>
      <c r="F79" s="228">
        <f>(F$51/(F$8/365))</f>
        <v>-30.577698297690826</v>
      </c>
    </row>
    <row r="80" spans="2:6" hidden="1" outlineLevel="1">
      <c r="B80" s="24" t="s">
        <v>71</v>
      </c>
      <c r="C80" s="228"/>
      <c r="D80" s="228">
        <f>(D$52/(D$8/365))</f>
        <v>124.25268608492152</v>
      </c>
      <c r="E80" s="228">
        <f>(E$52/(E$8/365))</f>
        <v>74.957963556147035</v>
      </c>
      <c r="F80" s="228">
        <f>(F$52/(F$8/365))</f>
        <v>72.182658651766303</v>
      </c>
    </row>
    <row r="81" spans="2:7" hidden="1" outlineLevel="1">
      <c r="B81" s="25" t="s">
        <v>50</v>
      </c>
      <c r="C81" s="229"/>
      <c r="D81" s="229">
        <f>(D$57/(D$8/365))</f>
        <v>81.971653039381209</v>
      </c>
      <c r="E81" s="229">
        <f>(E$57/(E$8/365))</f>
        <v>80.060243181017555</v>
      </c>
      <c r="F81" s="229">
        <f>(F$57/(F$8/365))</f>
        <v>53.182674534338126</v>
      </c>
    </row>
    <row r="82" spans="2:7" collapsed="1">
      <c r="B82" s="25" t="s">
        <v>72</v>
      </c>
      <c r="C82" s="229"/>
      <c r="D82" s="229">
        <f t="shared" ref="D82:F82" si="14">SUM(D48,D49,D50,D53,D61)</f>
        <v>667.30100000000016</v>
      </c>
      <c r="E82" s="229">
        <f t="shared" si="14"/>
        <v>770.68400000000008</v>
      </c>
      <c r="F82" s="229">
        <f t="shared" si="14"/>
        <v>743.48900000000003</v>
      </c>
    </row>
    <row r="83" spans="2:7">
      <c r="B83" s="28" t="s">
        <v>73</v>
      </c>
      <c r="C83" s="29"/>
      <c r="D83" s="29">
        <f>IFERROR(D68/D75,"na ")</f>
        <v>9.9159572428587014E-2</v>
      </c>
      <c r="E83" s="29">
        <f>IFERROR(E68/E75,"na ")</f>
        <v>1.8975424769015616E-2</v>
      </c>
      <c r="F83" s="29">
        <f>IFERROR(F68/F75,"na ")</f>
        <v>0.38584044018696795</v>
      </c>
    </row>
    <row r="84" spans="2:7">
      <c r="B84" s="17" t="s">
        <v>74</v>
      </c>
      <c r="C84" s="30"/>
      <c r="D84" s="30">
        <f>D67/D22</f>
        <v>-50.623036649214825</v>
      </c>
      <c r="E84" s="30">
        <f>E67/E22</f>
        <v>-0.31001116996854566</v>
      </c>
      <c r="F84" s="30">
        <f>F67/F22</f>
        <v>0</v>
      </c>
    </row>
    <row r="85" spans="2:7">
      <c r="B85" s="51"/>
      <c r="C85" s="52"/>
      <c r="D85" s="52"/>
      <c r="E85" s="52"/>
      <c r="F85" s="52"/>
    </row>
    <row r="86" spans="2:7">
      <c r="B86" s="19" t="s">
        <v>75</v>
      </c>
      <c r="C86" s="20">
        <f>C69-C75</f>
        <v>0</v>
      </c>
      <c r="D86" s="20">
        <f>D69-D75</f>
        <v>-9.9999999991950972E-4</v>
      </c>
      <c r="E86" s="20">
        <f>E69-E75</f>
        <v>9.9999999997635314E-4</v>
      </c>
      <c r="F86" s="20">
        <f>F69-F75</f>
        <v>2.0000000000095497E-3</v>
      </c>
    </row>
    <row r="87" spans="2:7">
      <c r="B87" s="235"/>
    </row>
    <row r="88" spans="2:7">
      <c r="B88" s="235"/>
    </row>
    <row r="89" spans="2:7">
      <c r="B89" s="1" t="s">
        <v>76</v>
      </c>
      <c r="C89" s="2"/>
      <c r="D89" s="2"/>
      <c r="E89" s="2"/>
      <c r="F89" s="2" t="str">
        <f>F42</f>
        <v>SAS EMBALLAGES</v>
      </c>
    </row>
    <row r="90" spans="2:7">
      <c r="B90" s="53" t="s">
        <v>2</v>
      </c>
      <c r="C90" s="64"/>
      <c r="D90" s="64">
        <f t="shared" ref="D90:F90" si="15">D43</f>
        <v>44286</v>
      </c>
      <c r="E90" s="64">
        <f t="shared" si="15"/>
        <v>44804</v>
      </c>
      <c r="F90" s="64">
        <f t="shared" si="15"/>
        <v>45169</v>
      </c>
    </row>
    <row r="91" spans="2:7">
      <c r="B91" s="61" t="s">
        <v>77</v>
      </c>
      <c r="C91" s="227"/>
      <c r="D91" s="227"/>
      <c r="E91" s="227">
        <f>E33</f>
        <v>105.2730000000002</v>
      </c>
      <c r="F91" s="227">
        <f>F33</f>
        <v>131.06499999999994</v>
      </c>
      <c r="G91" s="230"/>
    </row>
    <row r="92" spans="2:7">
      <c r="B92" s="62" t="s">
        <v>78</v>
      </c>
      <c r="C92" s="231"/>
      <c r="D92" s="231"/>
      <c r="E92" s="231">
        <f>-E26</f>
        <v>14.302</v>
      </c>
      <c r="F92" s="231">
        <f>-F26</f>
        <v>-0.35199999999999998</v>
      </c>
      <c r="G92" s="230"/>
    </row>
    <row r="93" spans="2:7">
      <c r="B93" s="62" t="s">
        <v>79</v>
      </c>
      <c r="C93" s="231"/>
      <c r="D93" s="231"/>
      <c r="E93" s="231"/>
      <c r="F93" s="231"/>
      <c r="G93" s="230"/>
    </row>
    <row r="94" spans="2:7">
      <c r="B94" s="62" t="s">
        <v>80</v>
      </c>
      <c r="C94" s="231"/>
      <c r="D94" s="231"/>
      <c r="E94" s="231">
        <f>E57-D57</f>
        <v>151.57299999999998</v>
      </c>
      <c r="F94" s="231">
        <f>F57-E57</f>
        <v>-182.803</v>
      </c>
      <c r="G94" s="230"/>
    </row>
    <row r="95" spans="2:7">
      <c r="B95" s="63" t="s">
        <v>81</v>
      </c>
      <c r="C95" s="232"/>
      <c r="D95" s="232"/>
      <c r="E95" s="232">
        <f>SUM(E91:E93)-E94</f>
        <v>-31.997999999999791</v>
      </c>
      <c r="F95" s="232">
        <f>SUM(F91:F93)-F94</f>
        <v>313.51599999999996</v>
      </c>
      <c r="G95" s="230"/>
    </row>
    <row r="96" spans="2:7">
      <c r="B96" s="62" t="s">
        <v>82</v>
      </c>
      <c r="C96" s="222"/>
      <c r="D96" s="222"/>
      <c r="E96" s="222">
        <f>D48-E48+E26</f>
        <v>3.0429999999999993</v>
      </c>
      <c r="F96" s="222">
        <f>E48-F48+F26</f>
        <v>-9.0189999999999806</v>
      </c>
      <c r="G96" s="230"/>
    </row>
    <row r="97" spans="2:7">
      <c r="B97" s="63" t="s">
        <v>83</v>
      </c>
      <c r="C97" s="223"/>
      <c r="D97" s="223"/>
      <c r="E97" s="223">
        <f>E96</f>
        <v>3.0429999999999993</v>
      </c>
      <c r="F97" s="223">
        <f>F96</f>
        <v>-9.0189999999999806</v>
      </c>
      <c r="G97" s="230"/>
    </row>
    <row r="98" spans="2:7">
      <c r="B98" s="62" t="s">
        <v>84</v>
      </c>
      <c r="C98" s="222"/>
      <c r="D98" s="222"/>
      <c r="E98" s="222">
        <f>E70-D70</f>
        <v>0</v>
      </c>
      <c r="F98" s="222">
        <f t="shared" ref="F98" si="16">F70-D70</f>
        <v>0</v>
      </c>
      <c r="G98" s="230"/>
    </row>
    <row r="99" spans="2:7">
      <c r="B99" s="62" t="s">
        <v>85</v>
      </c>
      <c r="C99" s="222"/>
      <c r="D99" s="222"/>
      <c r="E99" s="222">
        <f>-D72-D73+E72</f>
        <v>0</v>
      </c>
      <c r="F99" s="222">
        <f>-E72-E73+F72</f>
        <v>-120.00000000000006</v>
      </c>
      <c r="G99" s="230"/>
    </row>
    <row r="100" spans="2:7">
      <c r="B100" s="62" t="s">
        <v>86</v>
      </c>
      <c r="C100" s="222"/>
      <c r="D100" s="222"/>
      <c r="E100" s="222">
        <f>D65-E65</f>
        <v>0</v>
      </c>
      <c r="F100" s="222">
        <f>E65-F65</f>
        <v>0</v>
      </c>
      <c r="G100" s="230"/>
    </row>
    <row r="101" spans="2:7">
      <c r="B101" s="62" t="s">
        <v>87</v>
      </c>
      <c r="C101" s="222"/>
      <c r="D101" s="222"/>
      <c r="E101" s="222">
        <f>D62-E62+D63-E63</f>
        <v>-41.781999999999989</v>
      </c>
      <c r="F101" s="222">
        <f>E62-F62+E63-F63</f>
        <v>-45.239000000000004</v>
      </c>
      <c r="G101" s="230"/>
    </row>
    <row r="102" spans="2:7">
      <c r="B102" s="62" t="s">
        <v>88</v>
      </c>
      <c r="C102" s="222"/>
      <c r="D102" s="222"/>
      <c r="E102" s="222"/>
      <c r="F102" s="222"/>
      <c r="G102" s="230"/>
    </row>
    <row r="103" spans="2:7">
      <c r="B103" s="62" t="s">
        <v>89</v>
      </c>
      <c r="C103" s="222"/>
      <c r="D103" s="222"/>
      <c r="E103" s="222"/>
      <c r="F103" s="222"/>
      <c r="G103" s="230"/>
    </row>
    <row r="104" spans="2:7">
      <c r="B104" s="63" t="s">
        <v>90</v>
      </c>
      <c r="C104" s="232"/>
      <c r="D104" s="232"/>
      <c r="E104" s="232">
        <f>SUM(E98:E103)</f>
        <v>-41.781999999999989</v>
      </c>
      <c r="F104" s="232">
        <f>SUM(F98:F103)</f>
        <v>-165.23900000000006</v>
      </c>
      <c r="G104" s="230"/>
    </row>
    <row r="105" spans="2:7">
      <c r="B105" s="62" t="s">
        <v>91</v>
      </c>
      <c r="C105" s="222"/>
      <c r="D105" s="222"/>
      <c r="E105" s="222">
        <f>E74-D74</f>
        <v>0</v>
      </c>
      <c r="F105" s="222">
        <f>F74-E74</f>
        <v>0</v>
      </c>
      <c r="G105" s="230"/>
    </row>
    <row r="106" spans="2:7" ht="15.75" thickBot="1">
      <c r="B106" s="56" t="s">
        <v>92</v>
      </c>
      <c r="C106" s="226"/>
      <c r="D106" s="226"/>
      <c r="E106" s="226">
        <f>E97+E104+E105+E95</f>
        <v>-70.736999999999782</v>
      </c>
      <c r="F106" s="226">
        <f>F97+F104+F105+F95</f>
        <v>139.25799999999992</v>
      </c>
      <c r="G106" s="230"/>
    </row>
    <row r="107" spans="2:7">
      <c r="B107" s="31" t="s">
        <v>93</v>
      </c>
      <c r="C107" s="233"/>
      <c r="D107" s="233"/>
      <c r="E107" s="233">
        <f>D108</f>
        <v>125.29600000000001</v>
      </c>
      <c r="F107" s="233">
        <f>E108</f>
        <v>54.559000000000225</v>
      </c>
      <c r="G107" s="230"/>
    </row>
    <row r="108" spans="2:7">
      <c r="B108" s="31" t="s">
        <v>94</v>
      </c>
      <c r="C108" s="233"/>
      <c r="D108" s="233">
        <f>D59</f>
        <v>125.29600000000001</v>
      </c>
      <c r="E108" s="233">
        <f>SUM(E106:E107)</f>
        <v>54.559000000000225</v>
      </c>
      <c r="F108" s="233">
        <f>SUM(F106:F107)</f>
        <v>193.81700000000015</v>
      </c>
      <c r="G108" s="230"/>
    </row>
    <row r="109" spans="2:7">
      <c r="D109" s="230"/>
      <c r="E109" s="230"/>
      <c r="F109" s="230"/>
    </row>
    <row r="110" spans="2:7">
      <c r="C110" s="65"/>
      <c r="D110" s="65"/>
      <c r="E110" s="65"/>
      <c r="F110" s="65"/>
    </row>
  </sheetData>
  <conditionalFormatting sqref="C86:F86">
    <cfRule type="cellIs" dxfId="165" priority="1" operator="equal">
      <formula>0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FA1A6-A288-E14B-8209-F3B76A3E4E73}">
  <sheetPr codeName="Feuil16">
    <tabColor rgb="FF006C4C"/>
  </sheetPr>
  <dimension ref="B2:Q80"/>
  <sheetViews>
    <sheetView showGridLines="0" zoomScale="85" zoomScaleNormal="85" workbookViewId="0">
      <pane xSplit="2" ySplit="5" topLeftCell="C36" activePane="bottomRight" state="frozen"/>
      <selection pane="topRight" activeCell="C1" sqref="C1"/>
      <selection pane="bottomLeft" activeCell="A4" sqref="A4"/>
      <selection pane="bottomRight" activeCell="F13" sqref="F13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/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4">
        <v>45900</v>
      </c>
      <c r="J3" s="244">
        <v>46265</v>
      </c>
      <c r="K3" s="244">
        <v>46630</v>
      </c>
      <c r="L3" s="244">
        <v>46996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124"/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150"/>
      <c r="H7" s="219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>
        <f>'Probois 43 - P&amp;L'!D237</f>
        <v>33779</v>
      </c>
      <c r="E8" s="191">
        <f>'Probois 43 - P&amp;L'!E237</f>
        <v>146888</v>
      </c>
      <c r="F8" s="191">
        <f>'Probois 43 - P&amp;L'!F237</f>
        <v>125446</v>
      </c>
      <c r="G8" s="191">
        <f>'Probois 43 - P&amp;L'!G237</f>
        <v>140550</v>
      </c>
      <c r="H8" s="152"/>
      <c r="I8" s="191">
        <f>'Probois 43 - P&amp;L (2)'!I237</f>
        <v>76216</v>
      </c>
      <c r="J8" s="191">
        <f>'Probois 43 - P&amp;L (2)'!J237</f>
        <v>96401.760000000009</v>
      </c>
      <c r="K8" s="191">
        <f>'Probois 43 - P&amp;L (2)'!K237</f>
        <v>116071.83999999997</v>
      </c>
      <c r="L8" s="191">
        <f>'Probois 43 - P&amp;L (2)'!L237</f>
        <v>137300.47999999998</v>
      </c>
      <c r="M8" s="191"/>
    </row>
    <row r="9" spans="2:13">
      <c r="B9" s="148" t="s">
        <v>225</v>
      </c>
      <c r="C9" s="191"/>
      <c r="D9" s="191">
        <f>'Probois 43 - P&amp;L'!D260</f>
        <v>0</v>
      </c>
      <c r="E9" s="191">
        <f>'Probois 43 - P&amp;L'!E260</f>
        <v>-2545</v>
      </c>
      <c r="F9" s="191">
        <f>'Probois 43 - P&amp;L'!F260</f>
        <v>-365</v>
      </c>
      <c r="G9" s="191">
        <f>'Probois 43 - P&amp;L'!G260</f>
        <v>0</v>
      </c>
      <c r="H9" s="152"/>
      <c r="I9" s="191">
        <f>'Probois 43 - P&amp;L (2)'!I260</f>
        <v>0</v>
      </c>
      <c r="J9" s="191">
        <f>'Probois 43 - P&amp;L (2)'!J260</f>
        <v>0</v>
      </c>
      <c r="K9" s="191">
        <f>'Probois 43 - P&amp;L (2)'!K260</f>
        <v>0</v>
      </c>
      <c r="L9" s="191">
        <f>'Probois 43 - P&amp;L (2)'!L260</f>
        <v>0</v>
      </c>
      <c r="M9" s="191"/>
    </row>
    <row r="10" spans="2:13">
      <c r="B10" s="148" t="s">
        <v>226</v>
      </c>
      <c r="C10" s="191"/>
      <c r="D10" s="191">
        <f>'Probois 43 - P&amp;L'!D256</f>
        <v>0</v>
      </c>
      <c r="E10" s="191">
        <f>'Probois 43 - P&amp;L'!E256</f>
        <v>1316</v>
      </c>
      <c r="F10" s="191">
        <f>'Probois 43 - P&amp;L'!F256</f>
        <v>25834</v>
      </c>
      <c r="G10" s="191">
        <f>'Probois 43 - P&amp;L'!G256</f>
        <v>10750</v>
      </c>
      <c r="H10" s="152"/>
      <c r="I10" s="191">
        <f>'Probois 43 - P&amp;L (2)'!I256</f>
        <v>0</v>
      </c>
      <c r="J10" s="191">
        <f>'Probois 43 - P&amp;L (2)'!J256</f>
        <v>0</v>
      </c>
      <c r="K10" s="191">
        <f>'Probois 43 - P&amp;L (2)'!K256</f>
        <v>0</v>
      </c>
      <c r="L10" s="191">
        <f>'Probois 43 - P&amp;L (2)'!L256</f>
        <v>0</v>
      </c>
      <c r="M10" s="191"/>
    </row>
    <row r="11" spans="2:13">
      <c r="B11" s="148" t="s">
        <v>227</v>
      </c>
      <c r="C11" s="152"/>
      <c r="D11" s="152">
        <f>'Probois 43 - P&amp;L'!D265</f>
        <v>-9151</v>
      </c>
      <c r="E11" s="152">
        <f>'Probois 43 - P&amp;L'!E265</f>
        <v>-38086</v>
      </c>
      <c r="F11" s="152">
        <f>'Probois 43 - P&amp;L'!F265</f>
        <v>-40979</v>
      </c>
      <c r="G11" s="152">
        <f>'Probois 43 - P&amp;L'!G265</f>
        <v>-40815</v>
      </c>
      <c r="H11" s="152"/>
      <c r="I11" s="152">
        <f>'Probois 43 - P&amp;L (2)'!I266</f>
        <v>-17967.25</v>
      </c>
      <c r="J11" s="152">
        <f>'Probois 43 - P&amp;L (2)'!J266</f>
        <v>-23325.190000000002</v>
      </c>
      <c r="K11" s="152">
        <f>'Probois 43 - P&amp;L (2)'!K266</f>
        <v>-28479.209999999992</v>
      </c>
      <c r="L11" s="152">
        <f>'Probois 43 - P&amp;L (2)'!L266</f>
        <v>-33996.369999999995</v>
      </c>
      <c r="M11" s="191"/>
    </row>
    <row r="12" spans="2:13">
      <c r="B12" s="153" t="s">
        <v>228</v>
      </c>
      <c r="C12" s="154"/>
      <c r="D12" s="154">
        <f>SUM(D8:D11)</f>
        <v>24628</v>
      </c>
      <c r="E12" s="154">
        <f>SUM(E8:E11)</f>
        <v>107573</v>
      </c>
      <c r="F12" s="154">
        <f>SUM(F8:F11)</f>
        <v>109936</v>
      </c>
      <c r="G12" s="154">
        <f>SUM(G8:G11)</f>
        <v>110485</v>
      </c>
      <c r="H12" s="154"/>
      <c r="I12" s="154">
        <f>SUM(I8:I11)</f>
        <v>58248.75</v>
      </c>
      <c r="J12" s="154">
        <f>SUM(J8:J11)</f>
        <v>73076.570000000007</v>
      </c>
      <c r="K12" s="154">
        <f>SUM(K8:K11)</f>
        <v>87592.629999999976</v>
      </c>
      <c r="L12" s="154">
        <f>SUM(L8:L11)</f>
        <v>103304.10999999999</v>
      </c>
      <c r="M12" s="199"/>
    </row>
    <row r="13" spans="2:13">
      <c r="B13" s="148" t="s">
        <v>229</v>
      </c>
      <c r="C13" s="191"/>
      <c r="D13" s="191">
        <f>-'Probois 43 - P&amp;L'!D229</f>
        <v>12884</v>
      </c>
      <c r="E13" s="191">
        <f>-'Probois 43 - P&amp;L'!E229</f>
        <v>10781</v>
      </c>
      <c r="F13" s="191">
        <f>-'Probois 43 - P&amp;L'!F229</f>
        <v>16255</v>
      </c>
      <c r="G13" s="191">
        <f>-'Probois 43 - P&amp;L'!G229</f>
        <v>18487</v>
      </c>
      <c r="H13" s="152"/>
      <c r="I13" s="191">
        <f>-'Probois 43 - P&amp;L (2)'!I229</f>
        <v>15000</v>
      </c>
      <c r="J13" s="191">
        <f>-'Probois 43 - P&amp;L (2)'!J229</f>
        <v>13000</v>
      </c>
      <c r="K13" s="191">
        <f>-'Probois 43 - P&amp;L (2)'!K229</f>
        <v>11000</v>
      </c>
      <c r="L13" s="191">
        <f>-'Probois 43 - P&amp;L (2)'!L229</f>
        <v>11000</v>
      </c>
      <c r="M13" s="191"/>
    </row>
    <row r="14" spans="2:13">
      <c r="B14" s="148" t="s">
        <v>230</v>
      </c>
      <c r="C14" s="191"/>
      <c r="D14" s="191"/>
      <c r="E14" s="191"/>
      <c r="F14" s="191"/>
      <c r="G14" s="191"/>
      <c r="H14" s="152"/>
      <c r="I14" s="191"/>
      <c r="J14" s="191"/>
      <c r="K14" s="191"/>
      <c r="L14" s="191"/>
      <c r="M14" s="191"/>
    </row>
    <row r="15" spans="2:13">
      <c r="B15" s="153" t="s">
        <v>231</v>
      </c>
      <c r="C15" s="154"/>
      <c r="D15" s="154">
        <f>SUM(D16:D27)</f>
        <v>-244215</v>
      </c>
      <c r="E15" s="154">
        <f>SUM(E16:E27)</f>
        <v>-218792</v>
      </c>
      <c r="F15" s="154">
        <f>SUM(F16:F27)</f>
        <v>307717</v>
      </c>
      <c r="G15" s="154">
        <f>SUM(G16:G27)</f>
        <v>-158240</v>
      </c>
      <c r="H15" s="154"/>
      <c r="I15" s="154">
        <f>SUM(I16:I27)</f>
        <v>62694</v>
      </c>
      <c r="J15" s="154">
        <f>SUM(J16:J27)</f>
        <v>10000</v>
      </c>
      <c r="K15" s="154">
        <f>SUM(K16:K27)</f>
        <v>-10000</v>
      </c>
      <c r="L15" s="154">
        <f>SUM(L16:L27)</f>
        <v>0</v>
      </c>
      <c r="M15" s="199"/>
    </row>
    <row r="16" spans="2:13" s="145" customFormat="1" ht="15" outlineLevel="1">
      <c r="B16" s="155" t="s">
        <v>232</v>
      </c>
      <c r="C16" s="156"/>
      <c r="D16" s="156">
        <f>-('Probois 43 - Bilan'!D14-'Probois 43 - Bilan'!C14)</f>
        <v>-54057</v>
      </c>
      <c r="E16" s="156">
        <f>-('Probois 43 - Bilan'!E14-'Probois 43 - Bilan'!D14)</f>
        <v>-53913</v>
      </c>
      <c r="F16" s="156">
        <f>-('Probois 43 - Bilan'!F14-'Probois 43 - Bilan'!E14)</f>
        <v>141272</v>
      </c>
      <c r="G16" s="156">
        <f>-('Probois 43 - Bilan'!G14-'Probois 43 - Bilan'!F14)</f>
        <v>-92791</v>
      </c>
      <c r="H16" s="156"/>
      <c r="I16" s="156">
        <f>-('Probois 43 - Bilan (2)'!I14-'Probois 43 - Bilan (2)'!G14)</f>
        <v>8270</v>
      </c>
      <c r="J16" s="156">
        <f>-('Probois 43 - Bilan (2)'!J14-'Probois 43 - Bilan (2)'!I14)</f>
        <v>-20000</v>
      </c>
      <c r="K16" s="156">
        <f>-('Probois 43 - Bilan (2)'!K14-'Probois 43 - Bilan (2)'!J14)</f>
        <v>-20000</v>
      </c>
      <c r="L16" s="156">
        <f>-('Probois 43 - Bilan (2)'!L14-'Probois 43 - Bilan (2)'!K14)</f>
        <v>-10000</v>
      </c>
      <c r="M16" s="200"/>
    </row>
    <row r="17" spans="2:13" s="145" customFormat="1" ht="15" outlineLevel="1">
      <c r="B17" s="155" t="s">
        <v>233</v>
      </c>
      <c r="C17" s="156"/>
      <c r="D17" s="156">
        <f>-('Probois 43 - Bilan'!D15-'Probois 43 - Bilan'!C15)</f>
        <v>0</v>
      </c>
      <c r="E17" s="156">
        <f>-('Probois 43 - Bilan'!E15-'Probois 43 - Bilan'!D15)</f>
        <v>0</v>
      </c>
      <c r="F17" s="156">
        <f>-('Probois 43 - Bilan'!F15-'Probois 43 - Bilan'!E15)</f>
        <v>0</v>
      </c>
      <c r="G17" s="156">
        <f>-('Probois 43 - Bilan'!G15-'Probois 43 - Bilan'!F15)</f>
        <v>0</v>
      </c>
      <c r="H17" s="156"/>
      <c r="I17" s="156">
        <f>-('Probois 43 - Bilan (2)'!I15-'Probois 43 - Bilan (2)'!G15)</f>
        <v>0</v>
      </c>
      <c r="J17" s="156">
        <f>-('Probois 43 - Bilan (2)'!J15-'Probois 43 - Bilan (2)'!I15)</f>
        <v>0</v>
      </c>
      <c r="K17" s="156">
        <f>-('Probois 43 - Bilan (2)'!K15-'Probois 43 - Bilan (2)'!J15)</f>
        <v>0</v>
      </c>
      <c r="L17" s="156">
        <f>-('Probois 43 - Bilan (2)'!L15-'Probois 43 - Bilan (2)'!K15)</f>
        <v>0</v>
      </c>
      <c r="M17" s="200"/>
    </row>
    <row r="18" spans="2:13" s="145" customFormat="1" ht="15" outlineLevel="1">
      <c r="B18" s="155" t="s">
        <v>234</v>
      </c>
      <c r="C18" s="156"/>
      <c r="D18" s="156">
        <f>-('Probois 43 - Bilan'!D16-'Probois 43 - Bilan'!C16)</f>
        <v>230861</v>
      </c>
      <c r="E18" s="156">
        <f>-('Probois 43 - Bilan'!E16-'Probois 43 - Bilan'!D16)</f>
        <v>-106005</v>
      </c>
      <c r="F18" s="156">
        <f>-('Probois 43 - Bilan'!F16-'Probois 43 - Bilan'!E16)</f>
        <v>-236421</v>
      </c>
      <c r="G18" s="156">
        <f>-('Probois 43 - Bilan'!G16-'Probois 43 - Bilan'!F16)</f>
        <v>22580</v>
      </c>
      <c r="H18" s="156"/>
      <c r="I18" s="156">
        <f>-('Probois 43 - Bilan (2)'!I16-'Probois 43 - Bilan (2)'!G16)</f>
        <v>44438</v>
      </c>
      <c r="J18" s="156">
        <f>-('Probois 43 - Bilan (2)'!J16-'Probois 43 - Bilan (2)'!I16)</f>
        <v>-20000</v>
      </c>
      <c r="K18" s="156">
        <f>-('Probois 43 - Bilan (2)'!K16-'Probois 43 - Bilan (2)'!J16)</f>
        <v>-30000</v>
      </c>
      <c r="L18" s="156">
        <f>-('Probois 43 - Bilan (2)'!L16-'Probois 43 - Bilan (2)'!K16)</f>
        <v>-20000</v>
      </c>
      <c r="M18" s="200"/>
    </row>
    <row r="19" spans="2:13" s="145" customFormat="1" ht="15" outlineLevel="1">
      <c r="B19" s="155" t="s">
        <v>235</v>
      </c>
      <c r="C19" s="156"/>
      <c r="D19" s="156">
        <f>-('Probois 43 - Bilan'!D17-'Probois 43 - Bilan'!C17)</f>
        <v>-511419</v>
      </c>
      <c r="E19" s="156">
        <f>-('Probois 43 - Bilan'!E17-'Probois 43 - Bilan'!D17)</f>
        <v>-338234</v>
      </c>
      <c r="F19" s="156">
        <f>-('Probois 43 - Bilan'!F17-'Probois 43 - Bilan'!E17)</f>
        <v>390554</v>
      </c>
      <c r="G19" s="156">
        <f>-('Probois 43 - Bilan'!G17-'Probois 43 - Bilan'!F17)</f>
        <v>102511</v>
      </c>
      <c r="H19" s="156"/>
      <c r="I19" s="156">
        <f>-('Probois 43 - Bilan (2)'!I17-'Probois 43 - Bilan (2)'!G17)</f>
        <v>0</v>
      </c>
      <c r="J19" s="156">
        <f>-('Probois 43 - Bilan (2)'!J17-'Probois 43 - Bilan (2)'!I17)</f>
        <v>0</v>
      </c>
      <c r="K19" s="156">
        <f>-('Probois 43 - Bilan (2)'!K17-'Probois 43 - Bilan (2)'!J17)</f>
        <v>0</v>
      </c>
      <c r="L19" s="156">
        <f>-('Probois 43 - Bilan (2)'!L17-'Probois 43 - Bilan (2)'!K17)</f>
        <v>0</v>
      </c>
      <c r="M19" s="200"/>
    </row>
    <row r="20" spans="2:13" s="145" customFormat="1" ht="15" outlineLevel="1">
      <c r="B20" s="155" t="s">
        <v>236</v>
      </c>
      <c r="C20" s="156"/>
      <c r="D20" s="156">
        <f>-('Probois 43 - Bilan'!D19-'Probois 43 - Bilan'!C19)</f>
        <v>3953</v>
      </c>
      <c r="E20" s="156">
        <f>-('Probois 43 - Bilan'!E19-'Probois 43 - Bilan'!D19)</f>
        <v>-520</v>
      </c>
      <c r="F20" s="156">
        <f>-('Probois 43 - Bilan'!F19-'Probois 43 - Bilan'!E19)</f>
        <v>-4638</v>
      </c>
      <c r="G20" s="156">
        <f>-('Probois 43 - Bilan'!G19-'Probois 43 - Bilan'!F19)</f>
        <v>3255</v>
      </c>
      <c r="H20" s="156"/>
      <c r="I20" s="156">
        <f>-('Probois 43 - Bilan (2)'!I19-'Probois 43 - Bilan (2)'!G19)</f>
        <v>0</v>
      </c>
      <c r="J20" s="156">
        <f>-('Probois 43 - Bilan (2)'!J19-'Probois 43 - Bilan (2)'!I19)</f>
        <v>0</v>
      </c>
      <c r="K20" s="156">
        <f>-('Probois 43 - Bilan (2)'!K19-'Probois 43 - Bilan (2)'!J19)</f>
        <v>0</v>
      </c>
      <c r="L20" s="156">
        <f>-('Probois 43 - Bilan (2)'!L19-'Probois 43 - Bilan (2)'!K19)</f>
        <v>0</v>
      </c>
      <c r="M20" s="200"/>
    </row>
    <row r="21" spans="2:13" s="145" customFormat="1" ht="15" outlineLevel="1">
      <c r="B21" s="155" t="s">
        <v>237</v>
      </c>
      <c r="C21" s="156"/>
      <c r="D21" s="156">
        <f>'Probois 43 - Bilan'!D48-'Probois 43 - Bilan'!C48</f>
        <v>0</v>
      </c>
      <c r="E21" s="156">
        <f>'Probois 43 - Bilan'!E48-'Probois 43 - Bilan'!D48</f>
        <v>0</v>
      </c>
      <c r="F21" s="156">
        <f>'Probois 43 - Bilan'!F48-'Probois 43 - Bilan'!E48</f>
        <v>0</v>
      </c>
      <c r="G21" s="156">
        <f>'Probois 43 - Bilan'!G48-'Probois 43 - Bilan'!F48</f>
        <v>0</v>
      </c>
      <c r="H21" s="156"/>
      <c r="I21" s="156">
        <f>'Probois 43 - Bilan (2)'!I48-'Probois 43 - Bilan (2)'!G48</f>
        <v>0</v>
      </c>
      <c r="J21" s="156">
        <f>'Probois 43 - Bilan (2)'!J48-'Probois 43 - Bilan (2)'!I48</f>
        <v>0</v>
      </c>
      <c r="K21" s="156">
        <f>'Probois 43 - Bilan (2)'!K48-'Probois 43 - Bilan (2)'!J48</f>
        <v>0</v>
      </c>
      <c r="L21" s="156">
        <f>'Probois 43 - Bilan (2)'!L48-'Probois 43 - Bilan (2)'!K48</f>
        <v>0</v>
      </c>
      <c r="M21" s="200"/>
    </row>
    <row r="22" spans="2:13" s="145" customFormat="1" ht="15" outlineLevel="1">
      <c r="B22" s="155" t="s">
        <v>238</v>
      </c>
      <c r="C22" s="156"/>
      <c r="D22" s="156">
        <f>'Probois 43 - Bilan'!D49-'Probois 43 - Bilan'!C49</f>
        <v>47128</v>
      </c>
      <c r="E22" s="156">
        <f>'Probois 43 - Bilan'!E49-'Probois 43 - Bilan'!D49</f>
        <v>257942</v>
      </c>
      <c r="F22" s="156">
        <f>'Probois 43 - Bilan'!F49-'Probois 43 - Bilan'!E49</f>
        <v>53327</v>
      </c>
      <c r="G22" s="156">
        <f>'Probois 43 - Bilan'!G49-'Probois 43 - Bilan'!F49</f>
        <v>-214127</v>
      </c>
      <c r="H22" s="156"/>
      <c r="I22" s="156">
        <f>'Probois 43 - Bilan (2)'!I49-'Probois 43 - Bilan (2)'!G49</f>
        <v>9986</v>
      </c>
      <c r="J22" s="156">
        <f>'Probois 43 - Bilan (2)'!J49-'Probois 43 - Bilan (2)'!I49</f>
        <v>50000</v>
      </c>
      <c r="K22" s="156">
        <f>'Probois 43 - Bilan (2)'!K49-'Probois 43 - Bilan (2)'!J49</f>
        <v>40000</v>
      </c>
      <c r="L22" s="156">
        <f>'Probois 43 - Bilan (2)'!L49-'Probois 43 - Bilan (2)'!K49</f>
        <v>30000</v>
      </c>
      <c r="M22" s="200"/>
    </row>
    <row r="23" spans="2:13" s="145" customFormat="1" ht="15" outlineLevel="1">
      <c r="B23" s="155" t="s">
        <v>239</v>
      </c>
      <c r="C23" s="156"/>
      <c r="D23" s="156">
        <f>'Probois 43 - Bilan'!D50-'Probois 43 - Bilan'!C50</f>
        <v>26281</v>
      </c>
      <c r="E23" s="156">
        <f>'Probois 43 - Bilan'!E50-'Probois 43 - Bilan'!D50</f>
        <v>28422</v>
      </c>
      <c r="F23" s="156">
        <f>'Probois 43 - Bilan'!F50-'Probois 43 - Bilan'!E50</f>
        <v>-33905</v>
      </c>
      <c r="G23" s="156">
        <f>'Probois 43 - Bilan'!G50-'Probois 43 - Bilan'!F50</f>
        <v>20339</v>
      </c>
      <c r="H23" s="156"/>
      <c r="I23" s="156">
        <f>'Probois 43 - Bilan (2)'!I50-'Probois 43 - Bilan (2)'!G50</f>
        <v>0</v>
      </c>
      <c r="J23" s="156">
        <f>'Probois 43 - Bilan (2)'!J50-'Probois 43 - Bilan (2)'!I50</f>
        <v>0</v>
      </c>
      <c r="K23" s="156">
        <f>'Probois 43 - Bilan (2)'!K50-'Probois 43 - Bilan (2)'!J50</f>
        <v>0</v>
      </c>
      <c r="L23" s="156">
        <f>'Probois 43 - Bilan (2)'!L50-'Probois 43 - Bilan (2)'!K50</f>
        <v>0</v>
      </c>
      <c r="M23" s="200"/>
    </row>
    <row r="24" spans="2:13" s="145" customFormat="1" ht="15" outlineLevel="1">
      <c r="B24" s="155" t="s">
        <v>251</v>
      </c>
      <c r="C24" s="156"/>
      <c r="D24" s="156">
        <f>'Probois 43 - Bilan'!D51-'Probois 43 - Bilan'!C51</f>
        <v>0</v>
      </c>
      <c r="E24" s="156">
        <f>'Probois 43 - Bilan'!E51-'Probois 43 - Bilan'!D51</f>
        <v>0</v>
      </c>
      <c r="F24" s="156">
        <f>'Probois 43 - Bilan'!F51-'Probois 43 - Bilan'!E51</f>
        <v>0</v>
      </c>
      <c r="G24" s="156">
        <f>'Probois 43 - Bilan'!G51-'Probois 43 - Bilan'!F51</f>
        <v>0</v>
      </c>
      <c r="H24" s="156"/>
      <c r="I24" s="156">
        <f>'Probois 43 - Bilan (2)'!I51-'Probois 43 - Bilan (2)'!G51</f>
        <v>0</v>
      </c>
      <c r="J24" s="156">
        <f>'Probois 43 - Bilan (2)'!J51-'Probois 43 - Bilan (2)'!I51</f>
        <v>0</v>
      </c>
      <c r="K24" s="156">
        <f>'Probois 43 - Bilan (2)'!K51-'Probois 43 - Bilan (2)'!J51</f>
        <v>0</v>
      </c>
      <c r="L24" s="156">
        <f>'Probois 43 - Bilan (2)'!L51-'Probois 43 - Bilan (2)'!K51</f>
        <v>0</v>
      </c>
      <c r="M24" s="200"/>
    </row>
    <row r="25" spans="2:13" s="145" customFormat="1" ht="15" outlineLevel="1">
      <c r="B25" s="155" t="s">
        <v>240</v>
      </c>
      <c r="C25" s="200"/>
      <c r="D25" s="156">
        <f>'Probois 43 - Bilan'!D52-'Probois 43 - Bilan'!C52</f>
        <v>13038</v>
      </c>
      <c r="E25" s="156">
        <f>'Probois 43 - Bilan'!E52-'Probois 43 - Bilan'!D52</f>
        <v>-6484</v>
      </c>
      <c r="F25" s="156">
        <f>'Probois 43 - Bilan'!F52-'Probois 43 - Bilan'!E52</f>
        <v>-2472</v>
      </c>
      <c r="G25" s="156">
        <f>'Probois 43 - Bilan'!G52-'Probois 43 - Bilan'!F52</f>
        <v>-7</v>
      </c>
      <c r="H25" s="156"/>
      <c r="I25" s="156">
        <f>'Probois 43 - Bilan (2)'!I52-'Probois 43 - Bilan (2)'!G52</f>
        <v>0</v>
      </c>
      <c r="J25" s="156">
        <f>'Probois 43 - Bilan (2)'!J52-'Probois 43 - Bilan (2)'!I52</f>
        <v>0</v>
      </c>
      <c r="K25" s="156">
        <f>'Probois 43 - Bilan (2)'!K52-'Probois 43 - Bilan (2)'!J52</f>
        <v>0</v>
      </c>
      <c r="L25" s="156">
        <f>'Probois 43 - Bilan (2)'!L52-'Probois 43 - Bilan (2)'!K52</f>
        <v>0</v>
      </c>
      <c r="M25" s="200"/>
    </row>
    <row r="26" spans="2:13" s="145" customFormat="1" ht="15" outlineLevel="1">
      <c r="B26" s="157" t="s">
        <v>241</v>
      </c>
      <c r="C26" s="156"/>
      <c r="D26" s="156">
        <f>'Probois 43 - Bilan'!D53-'Probois 43 - Bilan'!C53</f>
        <v>0</v>
      </c>
      <c r="E26" s="156">
        <f>'Probois 43 - Bilan'!E53-'Probois 43 - Bilan'!D53</f>
        <v>0</v>
      </c>
      <c r="F26" s="156">
        <f>'Probois 43 - Bilan'!F53-'Probois 43 - Bilan'!E53</f>
        <v>0</v>
      </c>
      <c r="G26" s="156">
        <f>'Probois 43 - Bilan'!G53-'Probois 43 - Bilan'!F53</f>
        <v>0</v>
      </c>
      <c r="H26" s="156"/>
      <c r="I26" s="156">
        <f>'Probois 43 - Bilan (2)'!I53-'Probois 43 - Bilan (2)'!G53</f>
        <v>0</v>
      </c>
      <c r="J26" s="156">
        <f>'Probois 43 - Bilan (2)'!J53-'Probois 43 - Bilan (2)'!I53</f>
        <v>0</v>
      </c>
      <c r="K26" s="156">
        <f>'Probois 43 - Bilan (2)'!K53-'Probois 43 - Bilan (2)'!J53</f>
        <v>0</v>
      </c>
      <c r="L26" s="156">
        <f>'Probois 43 - Bilan (2)'!L53-'Probois 43 - Bilan (2)'!K53</f>
        <v>0</v>
      </c>
      <c r="M26" s="200"/>
    </row>
    <row r="27" spans="2:13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G28" si="0">SUM(D12:D15)</f>
        <v>-206703</v>
      </c>
      <c r="E28" s="160">
        <f t="shared" si="0"/>
        <v>-100438</v>
      </c>
      <c r="F28" s="160">
        <f t="shared" si="0"/>
        <v>433908</v>
      </c>
      <c r="G28" s="160">
        <f t="shared" si="0"/>
        <v>-29268</v>
      </c>
      <c r="H28" s="160"/>
      <c r="I28" s="160">
        <f t="shared" ref="I28" si="1">SUM(I12:I15)</f>
        <v>135942.75</v>
      </c>
      <c r="J28" s="160">
        <f t="shared" ref="J28:L28" si="2">SUM(J12:J15)</f>
        <v>96076.57</v>
      </c>
      <c r="K28" s="160">
        <f t="shared" si="2"/>
        <v>88592.629999999976</v>
      </c>
      <c r="L28" s="160">
        <f t="shared" si="2"/>
        <v>114304.10999999999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150"/>
      <c r="H30" s="219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>
        <f>-('Probois 43 - Bilan'!D9-'Probois 43 - Bilan'!C9-'Probois 43 - P&amp;L'!D230)</f>
        <v>0</v>
      </c>
      <c r="E31" s="158">
        <f>-('Probois 43 - Bilan'!E9-'Probois 43 - Bilan'!D9-'Probois 43 - P&amp;L'!E230)</f>
        <v>-491</v>
      </c>
      <c r="F31" s="158">
        <f>-('Probois 43 - Bilan'!F9-'Probois 43 - Bilan'!E9-'Probois 43 - P&amp;L'!F230)</f>
        <v>-5911</v>
      </c>
      <c r="G31" s="158">
        <f>-('Probois 43 - Bilan'!G9-'Probois 43 - Bilan'!F9-'Probois 43 - P&amp;L'!G230)</f>
        <v>0</v>
      </c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>
        <f>-('Probois 43 - Bilan'!D10-'Probois 43 - Bilan'!C10-'Probois 43 - P&amp;L'!D231)</f>
        <v>-1604</v>
      </c>
      <c r="E32" s="158">
        <f>-('Probois 43 - Bilan'!E10-'Probois 43 - Bilan'!D10-'Probois 43 - P&amp;L'!E231)</f>
        <v>-3689</v>
      </c>
      <c r="F32" s="158">
        <f>-('Probois 43 - Bilan'!F10-'Probois 43 - Bilan'!E10-'Probois 43 - P&amp;L'!F231)</f>
        <v>-62027</v>
      </c>
      <c r="G32" s="158">
        <f>-('Probois 43 - Bilan'!G10-'Probois 43 - Bilan'!F10-'Probois 43 - P&amp;L'!G231)</f>
        <v>-933</v>
      </c>
      <c r="H32" s="158"/>
      <c r="I32" s="158">
        <v>-2000</v>
      </c>
      <c r="J32" s="158">
        <v>-2000</v>
      </c>
      <c r="K32" s="158">
        <v>-2000</v>
      </c>
      <c r="L32" s="158">
        <v>-2000</v>
      </c>
      <c r="M32" s="201"/>
    </row>
    <row r="33" spans="2:17">
      <c r="B33" s="151" t="s">
        <v>197</v>
      </c>
      <c r="C33" s="158"/>
      <c r="D33" s="158">
        <f>-('Probois 43 - Bilan'!D11-'Probois 43 - Bilan'!C11)</f>
        <v>-10000</v>
      </c>
      <c r="E33" s="158">
        <f>-('Probois 43 - Bilan'!E11-'Probois 43 - Bilan'!D11)</f>
        <v>-153</v>
      </c>
      <c r="F33" s="158">
        <f>-('Probois 43 - Bilan'!F11-'Probois 43 - Bilan'!E11)</f>
        <v>0</v>
      </c>
      <c r="G33" s="158">
        <f>-('Probois 43 - Bilan'!G11-'Probois 43 - Bilan'!F11)</f>
        <v>0</v>
      </c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-11604</v>
      </c>
      <c r="E35" s="160">
        <f>SUM(E31:E34)</f>
        <v>-4333</v>
      </c>
      <c r="F35" s="160">
        <f>SUM(F31:F34)</f>
        <v>-67938</v>
      </c>
      <c r="G35" s="160">
        <f>SUM(G31:G34)</f>
        <v>-933</v>
      </c>
      <c r="H35" s="160"/>
      <c r="I35" s="160">
        <f t="shared" ref="I35:L35" si="3">SUM(I31:I33)</f>
        <v>-2000</v>
      </c>
      <c r="J35" s="160">
        <f t="shared" si="3"/>
        <v>-2000</v>
      </c>
      <c r="K35" s="160">
        <f t="shared" si="3"/>
        <v>-2000</v>
      </c>
      <c r="L35" s="160">
        <f t="shared" si="3"/>
        <v>-2000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149"/>
      <c r="H37" s="220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SUM(D39:D42)</f>
        <v>2246</v>
      </c>
      <c r="E38" s="205">
        <f>SUM(E39:E42)</f>
        <v>8640</v>
      </c>
      <c r="F38" s="205">
        <f>SUM(F39:F42)</f>
        <v>25108</v>
      </c>
      <c r="G38" s="205">
        <f>SUM(G39:G42)</f>
        <v>30425</v>
      </c>
      <c r="H38" s="134"/>
      <c r="I38" s="205">
        <f>'Probois 43 - P&amp;L (2)'!I240</f>
        <v>16000</v>
      </c>
      <c r="J38" s="205">
        <f>'Probois 43 - P&amp;L (2)'!J240</f>
        <v>16000</v>
      </c>
      <c r="K38" s="205">
        <f>'Probois 43 - P&amp;L (2)'!K240</f>
        <v>16000</v>
      </c>
      <c r="L38" s="205">
        <f>'Probois 43 - P&amp;L (2)'!L240</f>
        <v>16000</v>
      </c>
      <c r="M38" s="205"/>
      <c r="N38" s="134"/>
      <c r="O38" s="134"/>
      <c r="P38" s="134"/>
      <c r="Q38" s="134"/>
    </row>
    <row r="39" spans="2:17" s="137" customFormat="1" ht="12.75" outlineLevel="1">
      <c r="B39" s="164" t="str">
        <f>'Probois 43 - P&amp;L'!B241</f>
        <v>Intérêts de C/C sc des sucs</v>
      </c>
      <c r="C39" s="206"/>
      <c r="D39" s="206">
        <f>'Probois 43 - P&amp;L'!D241</f>
        <v>2231</v>
      </c>
      <c r="E39" s="206">
        <f>'Probois 43 - P&amp;L'!E241</f>
        <v>8522</v>
      </c>
      <c r="F39" s="206">
        <f>'Probois 43 - P&amp;L'!F241</f>
        <v>24977</v>
      </c>
      <c r="G39" s="206">
        <f>'Probois 43 - P&amp;L'!G241</f>
        <v>30325</v>
      </c>
      <c r="H39" s="133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s="137" customFormat="1" ht="12.75" outlineLevel="1">
      <c r="B40" s="164" t="str">
        <f>'Probois 43 - P&amp;L'!B242</f>
        <v>Gain de change</v>
      </c>
      <c r="C40" s="206"/>
      <c r="D40" s="206">
        <f>'Probois 43 - P&amp;L'!D242</f>
        <v>14</v>
      </c>
      <c r="E40" s="206">
        <f>'Probois 43 - P&amp;L'!E242</f>
        <v>117</v>
      </c>
      <c r="F40" s="206">
        <f>'Probois 43 - P&amp;L'!F242</f>
        <v>106</v>
      </c>
      <c r="G40" s="206">
        <f>'Probois 43 - P&amp;L'!G242</f>
        <v>52</v>
      </c>
      <c r="H40" s="133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outlineLevel="1">
      <c r="B41" s="164" t="str">
        <f>'Probois 43 - P&amp;L'!B243</f>
        <v>Produit net cession VMP</v>
      </c>
      <c r="C41" s="206"/>
      <c r="D41" s="206">
        <f>'Probois 43 - P&amp;L'!D243</f>
        <v>1</v>
      </c>
      <c r="E41" s="206">
        <f>'Probois 43 - P&amp;L'!E243</f>
        <v>1</v>
      </c>
      <c r="F41" s="206">
        <f>'Probois 43 - P&amp;L'!F243</f>
        <v>25</v>
      </c>
      <c r="G41" s="206">
        <f>'Probois 43 - P&amp;L'!G243</f>
        <v>48</v>
      </c>
      <c r="H41" s="133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outlineLevel="1">
      <c r="B42" s="164"/>
      <c r="C42" s="206"/>
      <c r="D42" s="206"/>
      <c r="E42" s="206"/>
      <c r="F42" s="206"/>
      <c r="G42" s="206"/>
      <c r="H42" s="133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>
      <c r="B43" s="161" t="s">
        <v>28</v>
      </c>
      <c r="C43" s="205"/>
      <c r="D43" s="205">
        <f>SUM(D44:D50)</f>
        <v>-766</v>
      </c>
      <c r="E43" s="205">
        <f>SUM(E44:E50)</f>
        <v>-6107</v>
      </c>
      <c r="F43" s="205">
        <f>SUM(F44:F50)</f>
        <v>-6453</v>
      </c>
      <c r="G43" s="205">
        <f>SUM(G44:G50)</f>
        <v>-4547</v>
      </c>
      <c r="H43" s="134"/>
      <c r="I43" s="205">
        <f>'Probois 43 - P&amp;L (2)'!I245</f>
        <v>-3347</v>
      </c>
      <c r="J43" s="205">
        <f>'Probois 43 - P&amp;L (2)'!J245</f>
        <v>-2101</v>
      </c>
      <c r="K43" s="205">
        <f>'Probois 43 - P&amp;L (2)'!K245</f>
        <v>-1155</v>
      </c>
      <c r="L43" s="205">
        <f>'Probois 43 - P&amp;L (2)'!L245</f>
        <v>-315</v>
      </c>
      <c r="M43" s="205"/>
      <c r="N43" s="134"/>
      <c r="O43" s="134"/>
      <c r="P43" s="134"/>
      <c r="Q43" s="134"/>
    </row>
    <row r="44" spans="2:17" s="137" customFormat="1" ht="12.75" outlineLevel="1">
      <c r="B44" s="164" t="str">
        <f>'Probois 43 - P&amp;L'!B246</f>
        <v>Intérêts des emprunts BPI</v>
      </c>
      <c r="C44" s="206"/>
      <c r="D44" s="206">
        <f>'Probois 43 - P&amp;L'!D246</f>
        <v>-50</v>
      </c>
      <c r="E44" s="206">
        <f>'Probois 43 - P&amp;L'!E246</f>
        <v>0</v>
      </c>
      <c r="F44" s="206">
        <f>'Probois 43 - P&amp;L'!F246</f>
        <v>0</v>
      </c>
      <c r="G44" s="206">
        <f>'Probois 43 - P&amp;L'!G246</f>
        <v>0</v>
      </c>
      <c r="H44" s="133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outlineLevel="1">
      <c r="B45" s="164" t="str">
        <f>'Probois 43 - P&amp;L'!B247</f>
        <v>Intérêt d'emprunt PGE</v>
      </c>
      <c r="C45" s="206"/>
      <c r="D45" s="206">
        <f>'Probois 43 - P&amp;L'!D247</f>
        <v>-565</v>
      </c>
      <c r="E45" s="206">
        <f>'Probois 43 - P&amp;L'!E247</f>
        <v>-1774</v>
      </c>
      <c r="F45" s="206">
        <f>'Probois 43 - P&amp;L'!F247</f>
        <v>-1320</v>
      </c>
      <c r="G45" s="206">
        <f>'Probois 43 - P&amp;L'!G247</f>
        <v>-902</v>
      </c>
      <c r="H45" s="133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s="137" customFormat="1" ht="12.75" outlineLevel="1">
      <c r="B46" s="164" t="str">
        <f>'Probois 43 - P&amp;L'!B248</f>
        <v>Intérêt prêt BPI France</v>
      </c>
      <c r="C46" s="206"/>
      <c r="D46" s="206">
        <f>'Probois 43 - P&amp;L'!D248</f>
        <v>0</v>
      </c>
      <c r="E46" s="206">
        <f>'Probois 43 - P&amp;L'!E248</f>
        <v>-4333</v>
      </c>
      <c r="F46" s="206">
        <f>'Probois 43 - P&amp;L'!F248</f>
        <v>-4364</v>
      </c>
      <c r="G46" s="206">
        <f>'Probois 43 - P&amp;L'!G248</f>
        <v>-3602</v>
      </c>
      <c r="H46" s="133"/>
      <c r="I46" s="206"/>
      <c r="J46" s="206"/>
      <c r="K46" s="206"/>
      <c r="L46" s="206"/>
      <c r="M46" s="206"/>
      <c r="N46" s="138"/>
      <c r="O46" s="138"/>
      <c r="P46" s="138"/>
      <c r="Q46" s="138"/>
    </row>
    <row r="47" spans="2:17" s="137" customFormat="1" ht="12.75" outlineLevel="1">
      <c r="B47" s="164" t="str">
        <f>'Probois 43 - P&amp;L'!B249</f>
        <v>Intérêts sc des sucs</v>
      </c>
      <c r="C47" s="206"/>
      <c r="D47" s="206">
        <f>'Probois 43 - P&amp;L'!D249</f>
        <v>-139</v>
      </c>
      <c r="E47" s="206">
        <f>'Probois 43 - P&amp;L'!E249</f>
        <v>0</v>
      </c>
      <c r="F47" s="206">
        <f>'Probois 43 - P&amp;L'!F249</f>
        <v>0</v>
      </c>
      <c r="G47" s="206">
        <f>'Probois 43 - P&amp;L'!G249</f>
        <v>0</v>
      </c>
      <c r="H47" s="133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outlineLevel="1">
      <c r="B48" s="164" t="str">
        <f>'Probois 43 - P&amp;L'!B250</f>
        <v>Escompte accordé</v>
      </c>
      <c r="C48" s="206"/>
      <c r="D48" s="206">
        <f>'Probois 43 - P&amp;L'!D250</f>
        <v>0</v>
      </c>
      <c r="E48" s="206">
        <f>'Probois 43 - P&amp;L'!E250</f>
        <v>0</v>
      </c>
      <c r="F48" s="206">
        <f>'Probois 43 - P&amp;L'!F250</f>
        <v>-753</v>
      </c>
      <c r="G48" s="206">
        <f>'Probois 43 - P&amp;L'!G250</f>
        <v>0</v>
      </c>
      <c r="H48" s="133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outlineLevel="1">
      <c r="B49" s="164" t="str">
        <f>'Probois 43 - P&amp;L'!B251</f>
        <v>Perte de change</v>
      </c>
      <c r="C49" s="206"/>
      <c r="D49" s="206">
        <f>'Probois 43 - P&amp;L'!D251</f>
        <v>-12</v>
      </c>
      <c r="E49" s="206">
        <f>'Probois 43 - P&amp;L'!E251</f>
        <v>0</v>
      </c>
      <c r="F49" s="206">
        <f>'Probois 43 - P&amp;L'!F251</f>
        <v>-16</v>
      </c>
      <c r="G49" s="206">
        <f>'Probois 43 - P&amp;L'!G251</f>
        <v>-43</v>
      </c>
      <c r="H49" s="133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outlineLevel="1">
      <c r="B50" s="164"/>
      <c r="C50" s="206"/>
      <c r="D50" s="206"/>
      <c r="E50" s="206"/>
      <c r="F50" s="206"/>
      <c r="G50" s="206"/>
      <c r="H50" s="133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>
      <c r="B51" s="161" t="s">
        <v>213</v>
      </c>
      <c r="C51" s="152"/>
      <c r="D51" s="152">
        <f>SUM(D52:D55)</f>
        <v>199847</v>
      </c>
      <c r="E51" s="152">
        <f>SUM(E52:E55)</f>
        <v>-19500</v>
      </c>
      <c r="F51" s="152">
        <f>SUM(F52:F55)</f>
        <v>-69378</v>
      </c>
      <c r="G51" s="152">
        <f>SUM(G52:G55)</f>
        <v>-100033</v>
      </c>
      <c r="H51" s="152"/>
      <c r="I51" s="152">
        <f t="shared" ref="I51:L51" si="4">SUM(I52:I55)</f>
        <v>-90817</v>
      </c>
      <c r="J51" s="152">
        <f t="shared" si="4"/>
        <v>-90000</v>
      </c>
      <c r="K51" s="152">
        <f t="shared" si="4"/>
        <v>-40000</v>
      </c>
      <c r="L51" s="152">
        <f t="shared" si="4"/>
        <v>-30000</v>
      </c>
      <c r="M51" s="205"/>
      <c r="N51" s="134"/>
      <c r="O51" s="134"/>
      <c r="P51" s="134"/>
      <c r="Q51" s="134"/>
    </row>
    <row r="52" spans="2:17" s="137" customFormat="1" ht="12.75" outlineLevel="1">
      <c r="B52" s="164" t="str">
        <f>'Probois 43 - Bilan'!B39</f>
        <v>Emprunt CIC PGE n°43106</v>
      </c>
      <c r="C52" s="206"/>
      <c r="D52" s="206">
        <f>'Probois 43 - Bilan'!D39-'Probois 43 - Bilan'!C39</f>
        <v>0</v>
      </c>
      <c r="E52" s="206">
        <f>'Probois 43 - Bilan'!E39-'Probois 43 - Bilan'!D39</f>
        <v>-19744</v>
      </c>
      <c r="F52" s="206">
        <f>'Probois 43 - Bilan'!F39-'Probois 43 - Bilan'!E39</f>
        <v>-59511</v>
      </c>
      <c r="G52" s="206">
        <f>'Probois 43 - Bilan'!G39-'Probois 43 - Bilan'!F39</f>
        <v>-59928</v>
      </c>
      <c r="H52" s="133"/>
      <c r="I52" s="206">
        <f>'Probois 43 - Bilan (2)'!I39-'Probois 43 - Bilan (2)'!G39</f>
        <v>-50817</v>
      </c>
      <c r="J52" s="206">
        <f>'Probois 43 - Bilan (2)'!J39-'Probois 43 - Bilan (2)'!I39</f>
        <v>-50000</v>
      </c>
      <c r="K52" s="206">
        <f>'Probois 43 - Bilan (2)'!K39-'Probois 43 - Bilan (2)'!J39</f>
        <v>0</v>
      </c>
      <c r="L52" s="206">
        <f>'Probois 43 - Bilan (2)'!L39-'Probois 43 - Bilan (2)'!K39</f>
        <v>0</v>
      </c>
      <c r="M52" s="206"/>
      <c r="N52" s="138"/>
      <c r="O52" s="138"/>
      <c r="P52" s="138"/>
      <c r="Q52" s="138"/>
    </row>
    <row r="53" spans="2:17" s="137" customFormat="1" ht="12.75" outlineLevel="1">
      <c r="B53" s="164" t="str">
        <f>'Probois 43 - Bilan'!B40</f>
        <v>Emprunt BPI n°286</v>
      </c>
      <c r="C53" s="206"/>
      <c r="D53" s="206">
        <f>'Probois 43 - Bilan'!D40-'Probois 43 - Bilan'!C40</f>
        <v>200000</v>
      </c>
      <c r="E53" s="206">
        <f>'Probois 43 - Bilan'!E40-'Probois 43 - Bilan'!D40</f>
        <v>0</v>
      </c>
      <c r="F53" s="206">
        <f>'Probois 43 - Bilan'!F40-'Probois 43 - Bilan'!E40</f>
        <v>-10000</v>
      </c>
      <c r="G53" s="206">
        <f>'Probois 43 - Bilan'!G40-'Probois 43 - Bilan'!F40</f>
        <v>-40000</v>
      </c>
      <c r="H53" s="133"/>
      <c r="I53" s="206">
        <f>'Probois 43 - Bilan (2)'!I40-'Probois 43 - Bilan (2)'!G40</f>
        <v>-40000</v>
      </c>
      <c r="J53" s="206">
        <f>'Probois 43 - Bilan (2)'!J40-'Probois 43 - Bilan (2)'!I40</f>
        <v>-40000</v>
      </c>
      <c r="K53" s="206">
        <f>'Probois 43 - Bilan (2)'!K40-'Probois 43 - Bilan (2)'!J40</f>
        <v>-40000</v>
      </c>
      <c r="L53" s="206">
        <f>'Probois 43 - Bilan (2)'!L40-'Probois 43 - Bilan (2)'!K40</f>
        <v>-30000</v>
      </c>
      <c r="M53" s="206"/>
      <c r="N53" s="138"/>
      <c r="O53" s="138"/>
      <c r="P53" s="138"/>
      <c r="Q53" s="138"/>
    </row>
    <row r="54" spans="2:17" s="137" customFormat="1" ht="12.75" outlineLevel="1">
      <c r="B54" s="164" t="str">
        <f>'Probois 43 - Bilan'!B41</f>
        <v>Intérêt couru / emprunt</v>
      </c>
      <c r="C54" s="206"/>
      <c r="D54" s="206">
        <f>'Probois 43 - Bilan'!D41-'Probois 43 - Bilan'!C41</f>
        <v>-153</v>
      </c>
      <c r="E54" s="206">
        <f>'Probois 43 - Bilan'!E41-'Probois 43 - Bilan'!D41</f>
        <v>244</v>
      </c>
      <c r="F54" s="206">
        <f>'Probois 43 - Bilan'!F41-'Probois 43 - Bilan'!E41</f>
        <v>133</v>
      </c>
      <c r="G54" s="206">
        <f>'Probois 43 - Bilan'!G41-'Probois 43 - Bilan'!F41</f>
        <v>-105</v>
      </c>
      <c r="H54" s="133"/>
      <c r="I54" s="206">
        <f>'Probois 43 - Bilan (2)'!I41-'Probois 43 - Bilan (2)'!G41</f>
        <v>0</v>
      </c>
      <c r="J54" s="206">
        <f>'Probois 43 - Bilan (2)'!J41-'Probois 43 - Bilan (2)'!I41</f>
        <v>0</v>
      </c>
      <c r="K54" s="206">
        <f>'Probois 43 - Bilan (2)'!K41-'Probois 43 - Bilan (2)'!J41</f>
        <v>0</v>
      </c>
      <c r="L54" s="206">
        <f>'Probois 43 - Bilan (2)'!L41-'Probois 43 - Bilan (2)'!K41</f>
        <v>0</v>
      </c>
      <c r="M54" s="206"/>
      <c r="N54" s="138"/>
      <c r="O54" s="138"/>
      <c r="P54" s="138"/>
      <c r="Q54" s="138"/>
    </row>
    <row r="55" spans="2:17" s="137" customFormat="1" ht="12.75" outlineLevel="1">
      <c r="B55" s="164"/>
      <c r="C55" s="206"/>
      <c r="D55" s="206"/>
      <c r="E55" s="206"/>
      <c r="F55" s="206"/>
      <c r="G55" s="206"/>
      <c r="H55" s="133"/>
      <c r="I55" s="206"/>
      <c r="J55" s="206"/>
      <c r="K55" s="206"/>
      <c r="L55" s="206"/>
      <c r="M55" s="206"/>
      <c r="N55" s="138"/>
      <c r="O55" s="138"/>
      <c r="P55" s="138"/>
      <c r="Q55" s="138"/>
    </row>
    <row r="56" spans="2:17">
      <c r="B56" s="161" t="s">
        <v>214</v>
      </c>
      <c r="C56" s="152"/>
      <c r="D56" s="152">
        <f>SUM(D57:D59)</f>
        <v>-37490</v>
      </c>
      <c r="E56" s="152">
        <f>SUM(E57:E59)</f>
        <v>0</v>
      </c>
      <c r="F56" s="152">
        <f>SUM(F57:F59)</f>
        <v>0</v>
      </c>
      <c r="G56" s="152">
        <f>SUM(G57:G59)</f>
        <v>0</v>
      </c>
      <c r="H56" s="152"/>
      <c r="I56" s="152">
        <f t="shared" ref="I56:L56" si="5">SUM(I57:I59)</f>
        <v>0</v>
      </c>
      <c r="J56" s="152">
        <f t="shared" si="5"/>
        <v>0</v>
      </c>
      <c r="K56" s="152">
        <f t="shared" si="5"/>
        <v>0</v>
      </c>
      <c r="L56" s="152">
        <f t="shared" si="5"/>
        <v>0</v>
      </c>
      <c r="M56" s="205"/>
      <c r="N56" s="134"/>
      <c r="O56" s="134"/>
      <c r="P56" s="134"/>
      <c r="Q56" s="134"/>
    </row>
    <row r="57" spans="2:17" s="137" customFormat="1" ht="12.75" outlineLevel="1">
      <c r="B57" s="164" t="str">
        <f>'Probois 43 - Bilan'!B44</f>
        <v>C/C sc des sucs</v>
      </c>
      <c r="C57" s="206"/>
      <c r="D57" s="206">
        <f>'Probois 43 - Bilan'!D44-'Probois 43 - Bilan'!C44</f>
        <v>-37189</v>
      </c>
      <c r="E57" s="206">
        <f>'Probois 43 - Bilan'!E44-'Probois 43 - Bilan'!D44</f>
        <v>0</v>
      </c>
      <c r="F57" s="206">
        <f>'Probois 43 - Bilan'!F44-'Probois 43 - Bilan'!E44</f>
        <v>0</v>
      </c>
      <c r="G57" s="206">
        <f>'Probois 43 - Bilan'!G44-'Probois 43 - Bilan'!F44</f>
        <v>0</v>
      </c>
      <c r="H57" s="133"/>
      <c r="I57" s="206"/>
      <c r="J57" s="206"/>
      <c r="K57" s="206"/>
      <c r="L57" s="206"/>
      <c r="M57" s="206"/>
      <c r="N57" s="138"/>
      <c r="O57" s="138"/>
      <c r="P57" s="138"/>
      <c r="Q57" s="138"/>
    </row>
    <row r="58" spans="2:17" s="137" customFormat="1" ht="12.75" outlineLevel="1">
      <c r="B58" s="164" t="str">
        <f>'Probois 43 - Bilan'!B45</f>
        <v>Associé intérêt couru</v>
      </c>
      <c r="C58" s="206"/>
      <c r="D58" s="206">
        <f>'Probois 43 - Bilan'!D45-'Probois 43 - Bilan'!C45</f>
        <v>-301</v>
      </c>
      <c r="E58" s="206">
        <f>'Probois 43 - Bilan'!E45-'Probois 43 - Bilan'!D45</f>
        <v>0</v>
      </c>
      <c r="F58" s="206">
        <f>'Probois 43 - Bilan'!F45-'Probois 43 - Bilan'!E45</f>
        <v>0</v>
      </c>
      <c r="G58" s="206">
        <f>'Probois 43 - Bilan'!G45-'Probois 43 - Bilan'!F45</f>
        <v>0</v>
      </c>
      <c r="H58" s="133"/>
      <c r="I58" s="206"/>
      <c r="J58" s="206"/>
      <c r="K58" s="206"/>
      <c r="L58" s="206"/>
      <c r="M58" s="206"/>
      <c r="N58" s="138"/>
      <c r="O58" s="138"/>
      <c r="P58" s="138"/>
      <c r="Q58" s="138"/>
    </row>
    <row r="59" spans="2:17" s="137" customFormat="1" ht="12.75" outlineLevel="1">
      <c r="B59" s="164"/>
      <c r="C59" s="206"/>
      <c r="D59" s="206"/>
      <c r="E59" s="206"/>
      <c r="F59" s="206"/>
      <c r="G59" s="206"/>
      <c r="H59" s="133"/>
      <c r="I59" s="206"/>
      <c r="J59" s="206"/>
      <c r="K59" s="206"/>
      <c r="L59" s="206"/>
      <c r="M59" s="206"/>
      <c r="N59" s="138"/>
      <c r="O59" s="138"/>
      <c r="P59" s="138"/>
      <c r="Q59" s="138"/>
    </row>
    <row r="60" spans="2:17">
      <c r="B60" s="161" t="s">
        <v>162</v>
      </c>
      <c r="C60" s="134"/>
      <c r="D60" s="134">
        <f>'Probois 43 - Bilan'!C30</f>
        <v>0</v>
      </c>
      <c r="E60" s="134">
        <f>'Probois 43 - Bilan'!D30</f>
        <v>0</v>
      </c>
      <c r="F60" s="134">
        <f>'Probois 43 - Bilan'!E30</f>
        <v>0</v>
      </c>
      <c r="G60" s="134">
        <f>'Probois 43 - Bilan'!F30</f>
        <v>0</v>
      </c>
      <c r="H60" s="134"/>
      <c r="I60" s="134">
        <f>'Probois 43 - Bilan'!H30</f>
        <v>0</v>
      </c>
      <c r="J60" s="134">
        <f>'Probois 43 - Bilan'!I30</f>
        <v>0</v>
      </c>
      <c r="K60" s="134">
        <f>'Probois 43 - Bilan'!J30</f>
        <v>0</v>
      </c>
      <c r="L60" s="134">
        <f>'Probois 43 - Bilan'!K30</f>
        <v>0</v>
      </c>
      <c r="M60" s="205"/>
      <c r="N60" s="134"/>
      <c r="O60" s="134"/>
      <c r="P60" s="134"/>
      <c r="Q60" s="134"/>
    </row>
    <row r="61" spans="2:17" s="137" customFormat="1" ht="12.75" outlineLevel="1">
      <c r="B61" s="162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207"/>
      <c r="N61" s="138"/>
      <c r="O61" s="138"/>
      <c r="P61" s="138"/>
      <c r="Q61" s="138"/>
    </row>
    <row r="62" spans="2:17" s="137" customFormat="1">
      <c r="B62" s="161" t="s">
        <v>263</v>
      </c>
      <c r="C62" s="134"/>
      <c r="D62" s="134">
        <f>-('Probois 43 - Bilan'!C28+'Probois 43 - Bilan'!C29-'Probois 43 - Bilan'!D28)</f>
        <v>0</v>
      </c>
      <c r="E62" s="134">
        <f>-('Probois 43 - Bilan'!D28+'Probois 43 - Bilan'!D29-'Probois 43 - Bilan'!E28)</f>
        <v>-26112</v>
      </c>
      <c r="F62" s="134">
        <f>-('Probois 43 - Bilan'!E28+'Probois 43 - Bilan'!E29-'Probois 43 - Bilan'!F28)</f>
        <v>-110112</v>
      </c>
      <c r="G62" s="134">
        <f>-('Probois 43 - Bilan'!F28+'Probois 43 - Bilan'!F29-'Probois 43 - Bilan'!G28)</f>
        <v>0</v>
      </c>
      <c r="H62" s="134"/>
      <c r="I62" s="134">
        <v>0</v>
      </c>
      <c r="J62" s="134">
        <f>-('Probois 43 - Bilan'!I28+'Probois 43 - Bilan'!I29-'Probois 43 - Bilan'!J28)</f>
        <v>0</v>
      </c>
      <c r="K62" s="134">
        <f>-('Probois 43 - Bilan'!J28+'Probois 43 - Bilan'!J29-'Probois 43 - Bilan'!K28)</f>
        <v>0</v>
      </c>
      <c r="L62" s="134">
        <f>-('Probois 43 - Bilan'!K28+'Probois 43 - Bilan'!K29-'Probois 43 - Bilan'!L28)</f>
        <v>0</v>
      </c>
      <c r="M62" s="207"/>
      <c r="N62" s="138"/>
      <c r="O62" s="138"/>
      <c r="P62" s="138"/>
      <c r="Q62" s="138"/>
    </row>
    <row r="63" spans="2:17" s="137" customFormat="1" ht="12.75" outlineLevel="1">
      <c r="B63" s="162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207"/>
      <c r="N63" s="138"/>
      <c r="O63" s="138"/>
      <c r="P63" s="138"/>
      <c r="Q63" s="138"/>
    </row>
    <row r="64" spans="2:17">
      <c r="B64" s="161" t="s">
        <v>252</v>
      </c>
      <c r="C64" s="205"/>
      <c r="D64" s="205">
        <v>0</v>
      </c>
      <c r="E64" s="205">
        <v>0</v>
      </c>
      <c r="F64" s="205">
        <v>0</v>
      </c>
      <c r="G64" s="205">
        <v>0</v>
      </c>
      <c r="H64" s="134"/>
      <c r="I64" s="205">
        <v>0</v>
      </c>
      <c r="J64" s="205">
        <v>0</v>
      </c>
      <c r="K64" s="205">
        <v>0</v>
      </c>
      <c r="L64" s="205">
        <v>0</v>
      </c>
      <c r="M64" s="205"/>
      <c r="N64" s="134"/>
      <c r="O64" s="134"/>
      <c r="P64" s="134"/>
      <c r="Q64" s="134"/>
    </row>
    <row r="65" spans="2:17" s="137" customFormat="1" ht="12.75" outlineLevel="1">
      <c r="B65" s="166" t="s">
        <v>101</v>
      </c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207"/>
      <c r="N65" s="138"/>
      <c r="O65" s="138"/>
      <c r="P65" s="138"/>
      <c r="Q65" s="138"/>
    </row>
    <row r="66" spans="2:17" s="137" customFormat="1" ht="12.75" outlineLevel="1">
      <c r="B66" s="166" t="s">
        <v>253</v>
      </c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207"/>
      <c r="N66" s="138"/>
      <c r="O66" s="138"/>
      <c r="P66" s="138"/>
      <c r="Q66" s="138"/>
    </row>
    <row r="67" spans="2:17" s="137" customFormat="1" ht="12.75">
      <c r="B67" s="162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207"/>
      <c r="N67" s="138"/>
      <c r="O67" s="138"/>
      <c r="P67" s="138"/>
      <c r="Q67" s="138"/>
    </row>
    <row r="68" spans="2:17">
      <c r="B68" s="159" t="s">
        <v>246</v>
      </c>
      <c r="C68" s="208"/>
      <c r="D68" s="208">
        <f t="shared" ref="D68:L68" si="6">D38+D43+D51+D56+D60+D62+D64</f>
        <v>163837</v>
      </c>
      <c r="E68" s="208">
        <f t="shared" si="6"/>
        <v>-43079</v>
      </c>
      <c r="F68" s="208">
        <f t="shared" si="6"/>
        <v>-160835</v>
      </c>
      <c r="G68" s="208">
        <f t="shared" si="6"/>
        <v>-74155</v>
      </c>
      <c r="H68" s="221"/>
      <c r="I68" s="208">
        <f t="shared" ref="I68" si="7">I38+I43+I51+I56+I60+I62+I64</f>
        <v>-78164</v>
      </c>
      <c r="J68" s="208">
        <f t="shared" si="6"/>
        <v>-76101</v>
      </c>
      <c r="K68" s="208">
        <f t="shared" si="6"/>
        <v>-25155</v>
      </c>
      <c r="L68" s="208">
        <f t="shared" si="6"/>
        <v>-14315</v>
      </c>
      <c r="M68" s="208"/>
    </row>
    <row r="69" spans="2:17">
      <c r="B69" s="163"/>
      <c r="C69" s="163"/>
      <c r="D69" s="163"/>
      <c r="E69" s="163"/>
      <c r="F69" s="163"/>
      <c r="G69" s="163"/>
      <c r="H69" s="151"/>
      <c r="I69" s="163"/>
      <c r="J69" s="163"/>
      <c r="K69" s="163"/>
      <c r="L69" s="163"/>
      <c r="M69" s="203"/>
    </row>
    <row r="70" spans="2:17">
      <c r="B70" s="162" t="s">
        <v>247</v>
      </c>
      <c r="C70" s="138"/>
      <c r="D70" s="138">
        <v>3</v>
      </c>
      <c r="E70" s="138">
        <v>7</v>
      </c>
      <c r="F70" s="138">
        <v>2</v>
      </c>
      <c r="G70" s="138">
        <v>8</v>
      </c>
      <c r="H70" s="138"/>
      <c r="I70" s="138"/>
      <c r="J70" s="138"/>
      <c r="K70" s="138"/>
      <c r="L70" s="138"/>
      <c r="M70" s="207"/>
    </row>
    <row r="71" spans="2:17">
      <c r="B71" s="159" t="s">
        <v>248</v>
      </c>
      <c r="C71" s="160"/>
      <c r="D71" s="160">
        <f t="shared" ref="D71:L71" si="8">D68+D70+D35+D28</f>
        <v>-54467</v>
      </c>
      <c r="E71" s="160">
        <f t="shared" si="8"/>
        <v>-147843</v>
      </c>
      <c r="F71" s="160">
        <f t="shared" si="8"/>
        <v>205137</v>
      </c>
      <c r="G71" s="160">
        <f t="shared" si="8"/>
        <v>-104348</v>
      </c>
      <c r="H71" s="160"/>
      <c r="I71" s="160">
        <f t="shared" ref="I71" si="9">I68+I70+I35+I28</f>
        <v>55778.75</v>
      </c>
      <c r="J71" s="160">
        <f t="shared" si="8"/>
        <v>17975.570000000007</v>
      </c>
      <c r="K71" s="160">
        <f t="shared" si="8"/>
        <v>61437.629999999976</v>
      </c>
      <c r="L71" s="160">
        <f t="shared" si="8"/>
        <v>97989.109999999986</v>
      </c>
      <c r="M71" s="202"/>
    </row>
    <row r="72" spans="2:17">
      <c r="B72" s="151"/>
      <c r="C72" s="151"/>
      <c r="D72" s="151"/>
      <c r="E72" s="151"/>
      <c r="F72" s="151"/>
      <c r="G72" s="151"/>
      <c r="H72" s="151"/>
      <c r="I72" s="151"/>
      <c r="J72" s="151"/>
      <c r="K72" s="151"/>
      <c r="L72" s="151"/>
      <c r="M72" s="203"/>
    </row>
    <row r="73" spans="2:17">
      <c r="B73" s="151" t="s">
        <v>249</v>
      </c>
      <c r="C73" s="152"/>
      <c r="D73" s="152">
        <f>'Probois 43 - Bilan'!C18</f>
        <v>323732</v>
      </c>
      <c r="E73" s="152">
        <f>'Probois 43 - Bilan'!D18</f>
        <v>269265</v>
      </c>
      <c r="F73" s="152">
        <f>'Probois 43 - Bilan'!E18</f>
        <v>121422</v>
      </c>
      <c r="G73" s="152">
        <f>'Probois 43 - Bilan'!F18</f>
        <v>326559</v>
      </c>
      <c r="H73" s="152"/>
      <c r="I73" s="152">
        <f>G74</f>
        <v>222211</v>
      </c>
      <c r="J73" s="152">
        <f t="shared" ref="J73:L73" si="10">I74</f>
        <v>277989.75</v>
      </c>
      <c r="K73" s="152">
        <f t="shared" si="10"/>
        <v>295965.32</v>
      </c>
      <c r="L73" s="152">
        <f t="shared" si="10"/>
        <v>357402.94999999995</v>
      </c>
      <c r="M73" s="191"/>
    </row>
    <row r="74" spans="2:17">
      <c r="B74" s="159" t="s">
        <v>250</v>
      </c>
      <c r="C74" s="160">
        <f>'Probois 43 - Bilan'!C18</f>
        <v>323732</v>
      </c>
      <c r="D74" s="160">
        <f t="shared" ref="D74:G74" si="11">D71+D73</f>
        <v>269265</v>
      </c>
      <c r="E74" s="160">
        <f>E71+E73</f>
        <v>121422</v>
      </c>
      <c r="F74" s="160">
        <f t="shared" si="11"/>
        <v>326559</v>
      </c>
      <c r="G74" s="160">
        <f t="shared" si="11"/>
        <v>222211</v>
      </c>
      <c r="H74" s="160"/>
      <c r="I74" s="160">
        <f t="shared" ref="I74:L74" si="12">I71+I73</f>
        <v>277989.75</v>
      </c>
      <c r="J74" s="160">
        <f t="shared" si="12"/>
        <v>295965.32</v>
      </c>
      <c r="K74" s="160">
        <f t="shared" si="12"/>
        <v>357402.94999999995</v>
      </c>
      <c r="L74" s="160">
        <f t="shared" si="12"/>
        <v>455392.05999999994</v>
      </c>
      <c r="M74" s="202"/>
    </row>
    <row r="75" spans="2:17">
      <c r="B75" s="159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205"/>
    </row>
    <row r="76" spans="2:17">
      <c r="B76" s="168" t="s">
        <v>221</v>
      </c>
      <c r="C76" s="167"/>
      <c r="D76" s="167" t="str">
        <f>IF(ABS(D74-'Probois 43 - Bilan'!D18)&lt;0.1,"Validé","Erreur")</f>
        <v>Validé</v>
      </c>
      <c r="E76" s="167" t="str">
        <f>IF(ABS(E74-'Probois 43 - Bilan'!E18)&lt;0.1,"Validé","Erreur")</f>
        <v>Validé</v>
      </c>
      <c r="F76" s="167" t="str">
        <f>IF(ABS(F74-'Probois 43 - Bilan'!F18)&lt;0.1,"Validé","Erreur")</f>
        <v>Validé</v>
      </c>
      <c r="G76" s="167" t="str">
        <f>IF(ABS(G74-'Probois 43 - Bilan'!G18)&lt;0.1,"Validé","Erreur")</f>
        <v>Validé</v>
      </c>
      <c r="H76" s="167"/>
      <c r="I76" s="167" t="str">
        <f>IF(ABS(I74-'Probois 43 - Bilan (2)'!I18)&lt;0.1,"Validé","Erreur")</f>
        <v>Validé</v>
      </c>
      <c r="J76" s="167" t="str">
        <f>IF(ABS(J74-'Probois 43 - Bilan (2)'!J18)&lt;0.1,"Validé","Erreur")</f>
        <v>Validé</v>
      </c>
      <c r="K76" s="167" t="str">
        <f>IF(ABS(K74-'Probois 43 - Bilan (2)'!K18)&lt;0.1,"Validé","Erreur")</f>
        <v>Validé</v>
      </c>
      <c r="L76" s="167" t="str">
        <f>IF(ABS(L74-'Probois 43 - Bilan (2)'!L18)&lt;0.1,"Validé","Erreur")</f>
        <v>Validé</v>
      </c>
      <c r="M76" s="209"/>
    </row>
    <row r="77" spans="2:17">
      <c r="C77" s="151"/>
      <c r="D77" s="151"/>
      <c r="E77" s="151"/>
      <c r="F77" s="151"/>
      <c r="G77" s="151"/>
      <c r="H77" s="151"/>
    </row>
    <row r="78" spans="2:17">
      <c r="C78" s="134"/>
      <c r="D78" s="134"/>
      <c r="E78" s="134"/>
      <c r="F78" s="134"/>
      <c r="G78" s="134"/>
      <c r="H78" s="134"/>
      <c r="I78" s="134"/>
      <c r="J78" s="134"/>
      <c r="K78" s="134"/>
      <c r="L78" s="134"/>
    </row>
    <row r="79" spans="2:17">
      <c r="C79" s="136"/>
      <c r="D79" s="136"/>
      <c r="E79" s="136"/>
      <c r="F79" s="136"/>
      <c r="G79" s="136"/>
      <c r="H79" s="136"/>
    </row>
    <row r="80" spans="2:17">
      <c r="C80" s="134"/>
      <c r="D80" s="134"/>
      <c r="E80" s="134"/>
      <c r="F80" s="134"/>
      <c r="G80" s="134"/>
      <c r="H80" s="134"/>
      <c r="I80" s="134"/>
      <c r="J80" s="134"/>
      <c r="K80" s="134"/>
      <c r="L80" s="134"/>
    </row>
  </sheetData>
  <mergeCells count="1">
    <mergeCell ref="B2:B4"/>
  </mergeCells>
  <conditionalFormatting sqref="C76:L76">
    <cfRule type="containsText" dxfId="103" priority="1" operator="containsText" text="Validé">
      <formula>NOT(ISERROR(SEARCH("Validé",C76)))</formula>
    </cfRule>
    <cfRule type="containsText" dxfId="102" priority="2" operator="containsText" text="Erreur">
      <formula>NOT(ISERROR(SEARCH("Erreur",C76)))</formula>
    </cfRule>
  </conditionalFormatting>
  <conditionalFormatting sqref="C73:M73">
    <cfRule type="containsText" dxfId="101" priority="3" operator="containsText" text="Equilibré">
      <formula>NOT(ISERROR(SEARCH("Equilibré",C73)))</formula>
    </cfRule>
    <cfRule type="containsText" dxfId="100" priority="4" operator="containsText" text="Erreur">
      <formula>NOT(ISERROR(SEARCH("Erreur",C73)))</formula>
    </cfRule>
    <cfRule type="containsText" dxfId="99" priority="5" operator="containsText" text="Validé">
      <formula>NOT(ISERROR(SEARCH("Validé",C73)))</formula>
    </cfRule>
    <cfRule type="containsText" dxfId="98" priority="6" operator="containsText" text="Erreur">
      <formula>NOT(ISERROR(SEARCH("Erreur",C73)))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C69D2-DBBD-3742-856B-030A6A3AD020}">
  <sheetPr codeName="Feuil17">
    <tabColor rgb="FF006C4C"/>
  </sheetPr>
  <dimension ref="A2:AP74"/>
  <sheetViews>
    <sheetView showGridLines="0" zoomScaleNormal="100" workbookViewId="0">
      <pane xSplit="2" ySplit="4" topLeftCell="C26" activePane="bottomRight" state="frozen"/>
      <selection pane="topRight" activeCell="C1" sqref="C1"/>
      <selection pane="bottomLeft" activeCell="A3" sqref="A3"/>
      <selection pane="bottomRight" activeCell="D30" sqref="D30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 t="s">
        <v>261</v>
      </c>
      <c r="H2" s="193"/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4">
        <v>45900</v>
      </c>
      <c r="J3" s="244">
        <v>46265</v>
      </c>
      <c r="K3" s="244">
        <v>46630</v>
      </c>
      <c r="L3" s="244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124"/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82005</v>
      </c>
      <c r="D8" s="128">
        <f t="shared" si="0"/>
        <v>80725</v>
      </c>
      <c r="E8" s="128">
        <f t="shared" si="0"/>
        <v>74277</v>
      </c>
      <c r="F8" s="128">
        <f>SUM(F9:F11)</f>
        <v>125960</v>
      </c>
      <c r="G8" s="128">
        <f>SUM(G9:G11)</f>
        <v>108406</v>
      </c>
      <c r="H8" s="128"/>
      <c r="I8" s="128">
        <f t="shared" ref="I8:L8" si="1">SUM(I9:I11)</f>
        <v>95406</v>
      </c>
      <c r="J8" s="128">
        <f t="shared" si="1"/>
        <v>84406</v>
      </c>
      <c r="K8" s="128">
        <f t="shared" si="1"/>
        <v>75406</v>
      </c>
      <c r="L8" s="128">
        <f t="shared" si="1"/>
        <v>66406</v>
      </c>
    </row>
    <row r="9" spans="2:15">
      <c r="B9" s="131" t="s">
        <v>195</v>
      </c>
      <c r="C9" s="132">
        <f>363+45000</f>
        <v>45363</v>
      </c>
      <c r="D9" s="132">
        <f>66+45000</f>
        <v>45066</v>
      </c>
      <c r="E9" s="132">
        <f>377+45000</f>
        <v>45377</v>
      </c>
      <c r="F9" s="132">
        <f>5079+45000</f>
        <v>50079</v>
      </c>
      <c r="G9" s="132">
        <f>45000+2945</f>
        <v>47945</v>
      </c>
      <c r="H9" s="132"/>
      <c r="I9" s="132">
        <f>G9+'Probois 43 - P&amp;L (2)'!I230</f>
        <v>46945</v>
      </c>
      <c r="J9" s="132">
        <f>I9+'Probois 43 - P&amp;L (2)'!J230</f>
        <v>45945</v>
      </c>
      <c r="K9" s="132">
        <f>J9+'Probois 43 - P&amp;L (2)'!K230</f>
        <v>44945</v>
      </c>
      <c r="L9" s="132">
        <f>K9+'Probois 43 - P&amp;L (2)'!L230</f>
        <v>43945</v>
      </c>
      <c r="M9" s="211"/>
    </row>
    <row r="10" spans="2:15">
      <c r="B10" s="131" t="s">
        <v>196</v>
      </c>
      <c r="C10" s="132">
        <v>36642</v>
      </c>
      <c r="D10" s="132">
        <v>25659</v>
      </c>
      <c r="E10" s="132">
        <v>18747</v>
      </c>
      <c r="F10" s="132">
        <f>1140+64588</f>
        <v>65728</v>
      </c>
      <c r="G10" s="132">
        <f>633+49675</f>
        <v>50308</v>
      </c>
      <c r="H10" s="132"/>
      <c r="I10" s="132">
        <f>G10+'Probois 43 - P&amp;L (2)'!I231-'Probois 43 - CF (2)'!I32</f>
        <v>38308</v>
      </c>
      <c r="J10" s="132">
        <f>I10+'Probois 43 - P&amp;L (2)'!J231-'Probois 43 - CF (2)'!J32</f>
        <v>28308</v>
      </c>
      <c r="K10" s="132">
        <f>J10+'Probois 43 - P&amp;L (2)'!K231-'Probois 43 - CF (2)'!K32</f>
        <v>20308</v>
      </c>
      <c r="L10" s="132">
        <f>K10+'Probois 43 - P&amp;L (2)'!L231-'Probois 43 - CF (2)'!L32</f>
        <v>12308</v>
      </c>
      <c r="M10" s="188"/>
      <c r="N10" s="188"/>
      <c r="O10" s="188"/>
    </row>
    <row r="11" spans="2:15">
      <c r="B11" s="131" t="s">
        <v>197</v>
      </c>
      <c r="C11" s="132"/>
      <c r="D11" s="132">
        <v>10000</v>
      </c>
      <c r="E11" s="132">
        <f>153+10000</f>
        <v>10153</v>
      </c>
      <c r="F11" s="132">
        <f>153+10000</f>
        <v>10153</v>
      </c>
      <c r="G11" s="132">
        <f>10153</f>
        <v>10153</v>
      </c>
      <c r="H11" s="132"/>
      <c r="I11" s="132">
        <f>G11</f>
        <v>10153</v>
      </c>
      <c r="J11" s="132">
        <f>I11</f>
        <v>10153</v>
      </c>
      <c r="K11" s="132">
        <f>J11</f>
        <v>10153</v>
      </c>
      <c r="L11" s="132">
        <f>K11</f>
        <v>10153</v>
      </c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1003366</v>
      </c>
      <c r="D13" s="128">
        <f t="shared" si="2"/>
        <v>1279561</v>
      </c>
      <c r="E13" s="128">
        <f t="shared" si="2"/>
        <v>1630390</v>
      </c>
      <c r="F13" s="128">
        <f>SUM(F14:F16,F17:F19)</f>
        <v>1544760</v>
      </c>
      <c r="G13" s="128">
        <f>SUM(G14:G16,G17:G19)</f>
        <v>1404857</v>
      </c>
      <c r="H13" s="128"/>
      <c r="I13" s="128">
        <f>SUM(I14:I20)</f>
        <v>1407927.75</v>
      </c>
      <c r="J13" s="128">
        <f>SUM(J14:J20)</f>
        <v>1465903.32</v>
      </c>
      <c r="K13" s="128">
        <f>SUM(K14:K20)</f>
        <v>1577340.95</v>
      </c>
      <c r="L13" s="128">
        <f>SUM(L14:L20)</f>
        <v>1705330.06</v>
      </c>
      <c r="M13" s="186"/>
      <c r="N13" s="186"/>
      <c r="O13" s="186"/>
    </row>
    <row r="14" spans="2:15">
      <c r="B14" s="131" t="s">
        <v>199</v>
      </c>
      <c r="C14" s="132">
        <f>800+257981</f>
        <v>258781</v>
      </c>
      <c r="D14" s="132">
        <v>312838</v>
      </c>
      <c r="E14" s="132">
        <v>366751</v>
      </c>
      <c r="F14" s="132">
        <v>225479</v>
      </c>
      <c r="G14" s="132">
        <v>318270</v>
      </c>
      <c r="H14" s="132"/>
      <c r="I14" s="132">
        <v>310000</v>
      </c>
      <c r="J14" s="132">
        <v>330000</v>
      </c>
      <c r="K14" s="132">
        <v>350000</v>
      </c>
      <c r="L14" s="132">
        <v>360000</v>
      </c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>
        <f>405453</f>
        <v>405453</v>
      </c>
      <c r="D16" s="132">
        <f>168112+6480</f>
        <v>174592</v>
      </c>
      <c r="E16" s="132">
        <v>280597</v>
      </c>
      <c r="F16" s="132">
        <v>517018</v>
      </c>
      <c r="G16" s="132">
        <v>494438</v>
      </c>
      <c r="H16" s="132"/>
      <c r="I16" s="132">
        <v>450000</v>
      </c>
      <c r="J16" s="132">
        <v>470000</v>
      </c>
      <c r="K16" s="132">
        <v>500000</v>
      </c>
      <c r="L16" s="132">
        <v>520000</v>
      </c>
      <c r="M16" s="136"/>
      <c r="N16" s="136"/>
      <c r="O16" s="136"/>
    </row>
    <row r="17" spans="2:15">
      <c r="B17" s="131" t="s">
        <v>202</v>
      </c>
      <c r="C17" s="132">
        <f>2643+1574+181</f>
        <v>4398</v>
      </c>
      <c r="D17" s="132">
        <f>1711+1856+512250</f>
        <v>515817</v>
      </c>
      <c r="E17" s="132">
        <f>17285+2105+834661</f>
        <v>854051</v>
      </c>
      <c r="F17" s="132">
        <f>1623+2156+459718</f>
        <v>463497</v>
      </c>
      <c r="G17" s="132">
        <f>1881+435+358670</f>
        <v>360986</v>
      </c>
      <c r="H17" s="132"/>
      <c r="I17" s="132">
        <f>G17</f>
        <v>360986</v>
      </c>
      <c r="J17" s="132">
        <f>I17</f>
        <v>360986</v>
      </c>
      <c r="K17" s="132">
        <f>J17</f>
        <v>360986</v>
      </c>
      <c r="L17" s="132">
        <f>K17</f>
        <v>360986</v>
      </c>
      <c r="M17" s="136"/>
      <c r="N17" s="136"/>
      <c r="O17" s="136"/>
    </row>
    <row r="18" spans="2:15">
      <c r="B18" s="131" t="s">
        <v>203</v>
      </c>
      <c r="C18" s="132">
        <v>323732</v>
      </c>
      <c r="D18" s="132">
        <v>269265</v>
      </c>
      <c r="E18" s="132">
        <v>121422</v>
      </c>
      <c r="F18" s="132">
        <v>326559</v>
      </c>
      <c r="G18" s="132">
        <v>222211</v>
      </c>
      <c r="H18" s="132"/>
      <c r="I18" s="132">
        <f>'Probois 43 - CF (2)'!I74</f>
        <v>277989.75</v>
      </c>
      <c r="J18" s="132">
        <f>'Probois 43 - CF (2)'!J74</f>
        <v>295965.32</v>
      </c>
      <c r="K18" s="132">
        <f>'Probois 43 - CF (2)'!K74</f>
        <v>357402.94999999995</v>
      </c>
      <c r="L18" s="132">
        <f>'Probois 43 - CF (2)'!L74</f>
        <v>455392.05999999994</v>
      </c>
      <c r="M18" s="136"/>
      <c r="N18" s="136"/>
      <c r="O18" s="136"/>
    </row>
    <row r="19" spans="2:15">
      <c r="B19" s="131" t="s">
        <v>204</v>
      </c>
      <c r="C19" s="132">
        <v>11002</v>
      </c>
      <c r="D19" s="132">
        <v>7049</v>
      </c>
      <c r="E19" s="132">
        <v>7569</v>
      </c>
      <c r="F19" s="132">
        <v>12207</v>
      </c>
      <c r="G19" s="132">
        <v>8952</v>
      </c>
      <c r="H19" s="132"/>
      <c r="I19" s="132">
        <f>G19</f>
        <v>8952</v>
      </c>
      <c r="J19" s="132">
        <f>I19</f>
        <v>8952</v>
      </c>
      <c r="K19" s="132">
        <f>J19</f>
        <v>8952</v>
      </c>
      <c r="L19" s="132">
        <f>K19</f>
        <v>8952</v>
      </c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>
        <v>-1</v>
      </c>
      <c r="D21" s="132"/>
      <c r="E21" s="132"/>
      <c r="F21" s="132">
        <v>1</v>
      </c>
      <c r="G21" s="132">
        <v>-1</v>
      </c>
      <c r="H21" s="132"/>
      <c r="I21" s="132">
        <f>G21</f>
        <v>-1</v>
      </c>
      <c r="J21" s="132">
        <f>I21</f>
        <v>-1</v>
      </c>
      <c r="K21" s="132">
        <f>J21</f>
        <v>-1</v>
      </c>
      <c r="L21" s="132">
        <f>K21</f>
        <v>-1</v>
      </c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1085370</v>
      </c>
      <c r="D23" s="140">
        <f t="shared" ref="D23:G23" si="3">+D6+D8+D13+D21</f>
        <v>1360286</v>
      </c>
      <c r="E23" s="140">
        <f t="shared" si="3"/>
        <v>1704667</v>
      </c>
      <c r="F23" s="140">
        <f t="shared" si="3"/>
        <v>1670721</v>
      </c>
      <c r="G23" s="140">
        <f t="shared" si="3"/>
        <v>1513262</v>
      </c>
      <c r="H23" s="271"/>
      <c r="I23" s="140">
        <f t="shared" ref="I23:L23" si="4">+I6+I8+I13+I21</f>
        <v>1503332.75</v>
      </c>
      <c r="J23" s="140">
        <f t="shared" si="4"/>
        <v>1550308.32</v>
      </c>
      <c r="K23" s="140">
        <f t="shared" si="4"/>
        <v>1652745.95</v>
      </c>
      <c r="L23" s="140">
        <f t="shared" si="4"/>
        <v>1771735.06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5">SUM(C26:C31)</f>
        <v>337013</v>
      </c>
      <c r="D25" s="128">
        <f t="shared" si="5"/>
        <v>363124</v>
      </c>
      <c r="E25" s="128">
        <f t="shared" si="5"/>
        <v>447124</v>
      </c>
      <c r="F25" s="128">
        <f t="shared" ref="F25:L25" si="6">SUM(F26:F31)</f>
        <v>465605</v>
      </c>
      <c r="G25" s="128">
        <f t="shared" si="6"/>
        <v>601975</v>
      </c>
      <c r="H25" s="128"/>
      <c r="I25" s="128">
        <f t="shared" si="6"/>
        <v>672876.75</v>
      </c>
      <c r="J25" s="128">
        <f t="shared" si="6"/>
        <v>759852.32000000007</v>
      </c>
      <c r="K25" s="128">
        <f t="shared" si="6"/>
        <v>862289.95000000007</v>
      </c>
      <c r="L25" s="128">
        <f t="shared" si="6"/>
        <v>981279.06</v>
      </c>
    </row>
    <row r="26" spans="2:15">
      <c r="B26" s="131" t="s">
        <v>206</v>
      </c>
      <c r="C26" s="132">
        <v>10000</v>
      </c>
      <c r="D26" s="132">
        <f>C26</f>
        <v>10000</v>
      </c>
      <c r="E26" s="132">
        <f>D26</f>
        <v>10000</v>
      </c>
      <c r="F26" s="132">
        <f>E26</f>
        <v>10000</v>
      </c>
      <c r="G26" s="132">
        <f>F26</f>
        <v>10000</v>
      </c>
      <c r="H26" s="132"/>
      <c r="I26" s="132">
        <f>G26</f>
        <v>10000</v>
      </c>
      <c r="J26" s="132">
        <f>I26</f>
        <v>10000</v>
      </c>
      <c r="K26" s="132">
        <f>J26</f>
        <v>10000</v>
      </c>
      <c r="L26" s="132">
        <f>K26</f>
        <v>10000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>
        <f>1000+301218</f>
        <v>302218</v>
      </c>
      <c r="D28" s="132">
        <f>C28+C29</f>
        <v>327013</v>
      </c>
      <c r="E28" s="132">
        <f>1000+326012</f>
        <v>327012</v>
      </c>
      <c r="F28" s="132">
        <f>1000+326012</f>
        <v>327012</v>
      </c>
      <c r="G28" s="132">
        <f>F28+F29</f>
        <v>455605</v>
      </c>
      <c r="H28" s="132"/>
      <c r="I28" s="132">
        <f>G28+G29</f>
        <v>591975</v>
      </c>
      <c r="J28" s="132">
        <f>I28+I29</f>
        <v>662876.75</v>
      </c>
      <c r="K28" s="132">
        <f>J28+J29</f>
        <v>749852.32000000007</v>
      </c>
      <c r="L28" s="132">
        <f>K28+K29</f>
        <v>852289.95000000007</v>
      </c>
      <c r="N28" s="134"/>
      <c r="O28" s="134"/>
    </row>
    <row r="29" spans="2:15">
      <c r="B29" s="131" t="s">
        <v>32</v>
      </c>
      <c r="C29" s="132">
        <f>'Probois 43 - P&amp;L'!C271</f>
        <v>24795</v>
      </c>
      <c r="D29" s="132">
        <f>'Probois 43 - P&amp;L'!D271</f>
        <v>26111</v>
      </c>
      <c r="E29" s="132">
        <f>'Probois 43 - P&amp;L'!E271</f>
        <v>110112</v>
      </c>
      <c r="F29" s="132">
        <f>'Probois 43 - P&amp;L'!F271</f>
        <v>128593</v>
      </c>
      <c r="G29" s="132">
        <f>'Probois 43 - P&amp;L'!G271</f>
        <v>136370</v>
      </c>
      <c r="H29" s="132"/>
      <c r="I29" s="132">
        <f>'Probois 43 - P&amp;L (2)'!I271</f>
        <v>70901.75</v>
      </c>
      <c r="J29" s="132">
        <f>'Probois 43 - P&amp;L (2)'!J271</f>
        <v>86975.57</v>
      </c>
      <c r="K29" s="132">
        <f>'Probois 43 - P&amp;L (2)'!K271</f>
        <v>102437.62999999998</v>
      </c>
      <c r="L29" s="132">
        <f>'Probois 43 - P&amp;L (2)'!L271</f>
        <v>118989.10999999999</v>
      </c>
      <c r="N29" s="134"/>
    </row>
    <row r="30" spans="2:15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  <c r="L30" s="132"/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7">SUM(C34:C36)</f>
        <v>0</v>
      </c>
      <c r="D33" s="128">
        <f t="shared" si="7"/>
        <v>0</v>
      </c>
      <c r="E33" s="128">
        <f t="shared" si="7"/>
        <v>0</v>
      </c>
      <c r="F33" s="128">
        <f t="shared" si="7"/>
        <v>0</v>
      </c>
      <c r="G33" s="128">
        <f t="shared" si="7"/>
        <v>0</v>
      </c>
      <c r="H33" s="128"/>
      <c r="I33" s="128">
        <v>0</v>
      </c>
      <c r="J33" s="128">
        <f t="shared" si="7"/>
        <v>0</v>
      </c>
      <c r="K33" s="128">
        <f t="shared" si="7"/>
        <v>0</v>
      </c>
      <c r="L33" s="128">
        <f t="shared" si="7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L37" si="8">+C38+C43</f>
        <v>277698</v>
      </c>
      <c r="D37" s="185">
        <f t="shared" si="8"/>
        <v>440055</v>
      </c>
      <c r="E37" s="185">
        <f t="shared" si="8"/>
        <v>420555</v>
      </c>
      <c r="F37" s="185">
        <f t="shared" si="8"/>
        <v>351177</v>
      </c>
      <c r="G37" s="185">
        <f t="shared" si="8"/>
        <v>251144</v>
      </c>
      <c r="H37" s="185"/>
      <c r="I37" s="185">
        <f t="shared" si="8"/>
        <v>160327</v>
      </c>
      <c r="J37" s="185">
        <f t="shared" si="8"/>
        <v>70327</v>
      </c>
      <c r="K37" s="185">
        <f t="shared" si="8"/>
        <v>30327</v>
      </c>
      <c r="L37" s="185">
        <f t="shared" si="8"/>
        <v>327</v>
      </c>
      <c r="M37" s="190"/>
      <c r="N37" s="190"/>
      <c r="O37" s="190"/>
    </row>
    <row r="38" spans="2:17">
      <c r="B38" s="131" t="s">
        <v>213</v>
      </c>
      <c r="C38" s="132">
        <f>SUM(C39:C42)</f>
        <v>240208</v>
      </c>
      <c r="D38" s="132">
        <f>SUM(D39:D42)</f>
        <v>440055</v>
      </c>
      <c r="E38" s="132">
        <f>SUM(E39:E42)</f>
        <v>420555</v>
      </c>
      <c r="F38" s="132">
        <f>SUM(F39:F42)</f>
        <v>351177</v>
      </c>
      <c r="G38" s="132">
        <f>SUM(G39:G42)</f>
        <v>251144</v>
      </c>
      <c r="H38" s="132"/>
      <c r="I38" s="132">
        <f t="shared" ref="I38:L38" si="9">SUM(I39:I42)</f>
        <v>160327</v>
      </c>
      <c r="J38" s="132">
        <f t="shared" si="9"/>
        <v>70327</v>
      </c>
      <c r="K38" s="132">
        <f t="shared" si="9"/>
        <v>30327</v>
      </c>
      <c r="L38" s="132">
        <f t="shared" si="9"/>
        <v>327</v>
      </c>
      <c r="M38" s="189"/>
      <c r="N38" s="189"/>
      <c r="O38" s="189"/>
      <c r="Q38" s="134"/>
    </row>
    <row r="39" spans="2:17" s="192" customFormat="1" ht="12.75" outlineLevel="1">
      <c r="B39" s="147" t="s">
        <v>270</v>
      </c>
      <c r="C39" s="133">
        <v>240000</v>
      </c>
      <c r="D39" s="133">
        <v>240000</v>
      </c>
      <c r="E39" s="133">
        <v>220256</v>
      </c>
      <c r="F39" s="133">
        <v>160745</v>
      </c>
      <c r="G39" s="133">
        <v>100817</v>
      </c>
      <c r="H39" s="133"/>
      <c r="I39" s="133">
        <v>50000</v>
      </c>
      <c r="J39" s="133">
        <v>0</v>
      </c>
      <c r="K39" s="133">
        <f>J39</f>
        <v>0</v>
      </c>
      <c r="L39" s="133">
        <f>K39</f>
        <v>0</v>
      </c>
      <c r="M39" s="216"/>
      <c r="N39" s="216"/>
      <c r="O39" s="216"/>
      <c r="Q39" s="217"/>
    </row>
    <row r="40" spans="2:17" s="192" customFormat="1" ht="12.75" outlineLevel="1">
      <c r="B40" s="147" t="s">
        <v>525</v>
      </c>
      <c r="C40" s="133"/>
      <c r="D40" s="133">
        <v>200000</v>
      </c>
      <c r="E40" s="133">
        <v>200000</v>
      </c>
      <c r="F40" s="133">
        <v>190000</v>
      </c>
      <c r="G40" s="133">
        <v>150000</v>
      </c>
      <c r="H40" s="133"/>
      <c r="I40" s="133">
        <v>110000</v>
      </c>
      <c r="J40" s="133">
        <v>70000</v>
      </c>
      <c r="K40" s="133">
        <v>30000</v>
      </c>
      <c r="L40" s="133">
        <v>0</v>
      </c>
      <c r="M40" s="216"/>
      <c r="N40" s="216"/>
      <c r="O40" s="216"/>
      <c r="Q40" s="217"/>
    </row>
    <row r="41" spans="2:17" s="192" customFormat="1" ht="12.75" outlineLevel="1">
      <c r="B41" s="147" t="s">
        <v>271</v>
      </c>
      <c r="C41" s="133">
        <v>208</v>
      </c>
      <c r="D41" s="133">
        <v>55</v>
      </c>
      <c r="E41" s="133">
        <v>299</v>
      </c>
      <c r="F41" s="133">
        <v>432</v>
      </c>
      <c r="G41" s="133">
        <v>327</v>
      </c>
      <c r="H41" s="133"/>
      <c r="I41" s="133">
        <f>G41</f>
        <v>327</v>
      </c>
      <c r="J41" s="133">
        <f>I41</f>
        <v>327</v>
      </c>
      <c r="K41" s="133">
        <f>J41</f>
        <v>327</v>
      </c>
      <c r="L41" s="133">
        <f>K41</f>
        <v>327</v>
      </c>
      <c r="M41" s="216"/>
      <c r="N41" s="216"/>
      <c r="O41" s="216"/>
      <c r="Q41" s="217"/>
    </row>
    <row r="42" spans="2:17" outlineLevel="1">
      <c r="B42" s="131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89"/>
      <c r="N42" s="189"/>
      <c r="O42" s="189"/>
      <c r="Q42" s="134"/>
    </row>
    <row r="43" spans="2:17">
      <c r="B43" s="131" t="s">
        <v>214</v>
      </c>
      <c r="C43" s="132">
        <f>SUM(C44:C46)</f>
        <v>37490</v>
      </c>
      <c r="D43" s="132">
        <f t="shared" ref="D43:L43" si="10">SUM(D44:D46)</f>
        <v>0</v>
      </c>
      <c r="E43" s="132">
        <f t="shared" si="10"/>
        <v>0</v>
      </c>
      <c r="F43" s="132">
        <f t="shared" si="10"/>
        <v>0</v>
      </c>
      <c r="G43" s="132">
        <f t="shared" si="10"/>
        <v>0</v>
      </c>
      <c r="H43" s="132"/>
      <c r="I43" s="132">
        <f t="shared" si="10"/>
        <v>0</v>
      </c>
      <c r="J43" s="132">
        <f t="shared" si="10"/>
        <v>0</v>
      </c>
      <c r="K43" s="132">
        <f t="shared" si="10"/>
        <v>0</v>
      </c>
      <c r="L43" s="132">
        <f t="shared" si="10"/>
        <v>0</v>
      </c>
      <c r="M43" s="189"/>
      <c r="N43" s="189"/>
      <c r="O43" s="189"/>
    </row>
    <row r="44" spans="2:17" s="192" customFormat="1" ht="12.75" outlineLevel="1">
      <c r="B44" s="147" t="s">
        <v>444</v>
      </c>
      <c r="C44" s="133">
        <v>37189</v>
      </c>
      <c r="D44" s="133"/>
      <c r="E44" s="133"/>
      <c r="F44" s="133"/>
      <c r="G44" s="133"/>
      <c r="H44" s="133"/>
      <c r="I44" s="133"/>
      <c r="J44" s="133"/>
      <c r="K44" s="133"/>
      <c r="L44" s="133"/>
      <c r="M44" s="216"/>
      <c r="N44" s="216"/>
      <c r="O44" s="216"/>
      <c r="Q44" s="217"/>
    </row>
    <row r="45" spans="2:17" s="192" customFormat="1" ht="12.75" outlineLevel="1">
      <c r="B45" s="147" t="s">
        <v>445</v>
      </c>
      <c r="C45" s="133">
        <v>301</v>
      </c>
      <c r="D45" s="133"/>
      <c r="E45" s="133"/>
      <c r="F45" s="133"/>
      <c r="G45" s="133"/>
      <c r="H45" s="133"/>
      <c r="I45" s="133"/>
      <c r="J45" s="133"/>
      <c r="K45" s="133"/>
      <c r="L45" s="133"/>
      <c r="M45" s="216"/>
      <c r="N45" s="216"/>
      <c r="O45" s="216"/>
      <c r="Q45" s="217"/>
    </row>
    <row r="46" spans="2:17">
      <c r="B46" s="147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211"/>
    </row>
    <row r="47" spans="2:17">
      <c r="B47" s="130" t="s">
        <v>215</v>
      </c>
      <c r="C47" s="128">
        <f t="shared" ref="C47:L47" si="11">SUM(C48:C54)</f>
        <v>470661</v>
      </c>
      <c r="D47" s="128">
        <f t="shared" si="11"/>
        <v>557108</v>
      </c>
      <c r="E47" s="128">
        <f t="shared" si="11"/>
        <v>836988</v>
      </c>
      <c r="F47" s="128">
        <f t="shared" si="11"/>
        <v>853938</v>
      </c>
      <c r="G47" s="128">
        <f t="shared" si="11"/>
        <v>660143</v>
      </c>
      <c r="H47" s="128"/>
      <c r="I47" s="128">
        <f t="shared" si="11"/>
        <v>670129</v>
      </c>
      <c r="J47" s="128">
        <f t="shared" si="11"/>
        <v>720129</v>
      </c>
      <c r="K47" s="128">
        <f t="shared" si="11"/>
        <v>760129</v>
      </c>
      <c r="L47" s="128">
        <f t="shared" si="11"/>
        <v>790129</v>
      </c>
      <c r="M47" s="187"/>
      <c r="N47" s="187"/>
      <c r="O47" s="187"/>
    </row>
    <row r="48" spans="2:17">
      <c r="B48" s="131" t="s">
        <v>216</v>
      </c>
      <c r="C48" s="132"/>
      <c r="D48" s="132"/>
      <c r="E48" s="132"/>
      <c r="F48" s="132"/>
      <c r="G48" s="132"/>
      <c r="H48" s="132"/>
      <c r="I48" s="132">
        <f>G48</f>
        <v>0</v>
      </c>
      <c r="J48" s="132">
        <f>I48</f>
        <v>0</v>
      </c>
      <c r="K48" s="132">
        <f>J48</f>
        <v>0</v>
      </c>
      <c r="L48" s="132">
        <f>K48</f>
        <v>0</v>
      </c>
      <c r="M48" s="134"/>
      <c r="N48" s="134"/>
      <c r="O48" s="134"/>
    </row>
    <row r="49" spans="1:42">
      <c r="B49" s="131" t="s">
        <v>44</v>
      </c>
      <c r="C49" s="132">
        <f>415502+20242</f>
        <v>435744</v>
      </c>
      <c r="D49" s="132">
        <f>453262+29610</f>
        <v>482872</v>
      </c>
      <c r="E49" s="132">
        <f>688269+52545</f>
        <v>740814</v>
      </c>
      <c r="F49" s="132">
        <f>758454+35687</f>
        <v>794141</v>
      </c>
      <c r="G49" s="132">
        <f>566543+13471</f>
        <v>580014</v>
      </c>
      <c r="H49" s="132"/>
      <c r="I49" s="132">
        <v>590000</v>
      </c>
      <c r="J49" s="132">
        <v>640000</v>
      </c>
      <c r="K49" s="132">
        <v>680000</v>
      </c>
      <c r="L49" s="132">
        <v>710000</v>
      </c>
      <c r="M49" s="134"/>
      <c r="N49" s="134"/>
      <c r="O49" s="134"/>
    </row>
    <row r="50" spans="1:42">
      <c r="B50" s="131" t="s">
        <v>217</v>
      </c>
      <c r="C50" s="132">
        <v>34915</v>
      </c>
      <c r="D50" s="132">
        <v>61196</v>
      </c>
      <c r="E50" s="132">
        <v>89618</v>
      </c>
      <c r="F50" s="132">
        <f>55713</f>
        <v>55713</v>
      </c>
      <c r="G50" s="132">
        <v>76052</v>
      </c>
      <c r="H50" s="132"/>
      <c r="I50" s="132">
        <f>G50</f>
        <v>76052</v>
      </c>
      <c r="J50" s="132">
        <f>I50</f>
        <v>76052</v>
      </c>
      <c r="K50" s="132">
        <f>J50</f>
        <v>76052</v>
      </c>
      <c r="L50" s="132">
        <f>K50</f>
        <v>76052</v>
      </c>
      <c r="M50" s="134"/>
      <c r="N50" s="134"/>
      <c r="O50" s="134"/>
    </row>
    <row r="51" spans="1:42">
      <c r="B51" s="131" t="s">
        <v>222</v>
      </c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4"/>
      <c r="N51" s="134"/>
      <c r="O51" s="134"/>
    </row>
    <row r="52" spans="1:42">
      <c r="B52" s="131" t="s">
        <v>218</v>
      </c>
      <c r="C52" s="132">
        <v>2</v>
      </c>
      <c r="D52" s="132">
        <v>13040</v>
      </c>
      <c r="E52" s="132">
        <v>6556</v>
      </c>
      <c r="F52" s="132">
        <v>4084</v>
      </c>
      <c r="G52" s="132">
        <v>4077</v>
      </c>
      <c r="H52" s="132"/>
      <c r="I52" s="132">
        <f>G52</f>
        <v>4077</v>
      </c>
      <c r="J52" s="132">
        <f>I52</f>
        <v>4077</v>
      </c>
      <c r="K52" s="132">
        <f>J52</f>
        <v>4077</v>
      </c>
      <c r="L52" s="132">
        <f>K52</f>
        <v>4077</v>
      </c>
      <c r="M52" s="134"/>
      <c r="N52" s="134"/>
      <c r="O52" s="134"/>
    </row>
    <row r="53" spans="1:42">
      <c r="B53" s="131" t="s">
        <v>219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4"/>
      <c r="N53" s="134"/>
      <c r="O53" s="134"/>
    </row>
    <row r="54" spans="1:42">
      <c r="B54" s="131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42">
      <c r="B55" s="130" t="s">
        <v>188</v>
      </c>
      <c r="C55" s="132">
        <v>-2</v>
      </c>
      <c r="D55" s="132">
        <v>-1</v>
      </c>
      <c r="E55" s="132"/>
      <c r="F55" s="132">
        <v>1</v>
      </c>
      <c r="G55" s="132"/>
      <c r="H55" s="132"/>
      <c r="I55" s="132">
        <f>G55</f>
        <v>0</v>
      </c>
      <c r="J55" s="132">
        <f>I55</f>
        <v>0</v>
      </c>
      <c r="K55" s="132">
        <f>J55</f>
        <v>0</v>
      </c>
      <c r="L55" s="132">
        <f>K55</f>
        <v>0</v>
      </c>
    </row>
    <row r="56" spans="1:42">
      <c r="B56" s="130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42">
      <c r="B57" s="139" t="s">
        <v>220</v>
      </c>
      <c r="C57" s="140">
        <f t="shared" ref="C57:L57" si="12">+C25+C33+C37+C47+C55</f>
        <v>1085370</v>
      </c>
      <c r="D57" s="140">
        <f t="shared" si="12"/>
        <v>1360286</v>
      </c>
      <c r="E57" s="140">
        <f t="shared" si="12"/>
        <v>1704667</v>
      </c>
      <c r="F57" s="140">
        <f t="shared" si="12"/>
        <v>1670721</v>
      </c>
      <c r="G57" s="140">
        <f t="shared" si="12"/>
        <v>1513262</v>
      </c>
      <c r="H57" s="271"/>
      <c r="I57" s="140">
        <f t="shared" si="12"/>
        <v>1503332.75</v>
      </c>
      <c r="J57" s="140">
        <f t="shared" si="12"/>
        <v>1550308.32</v>
      </c>
      <c r="K57" s="140">
        <f t="shared" si="12"/>
        <v>1652745.9500000002</v>
      </c>
      <c r="L57" s="140">
        <f t="shared" si="12"/>
        <v>1771735.06</v>
      </c>
    </row>
    <row r="58" spans="1:42">
      <c r="B58" s="141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42">
      <c r="B59" s="143" t="s">
        <v>221</v>
      </c>
      <c r="C59" s="144" t="str">
        <f>IF(ABS(C57-C23)&lt;2,"Equilibré","Erreur")</f>
        <v>Equilibré</v>
      </c>
      <c r="D59" s="144" t="str">
        <f>IF(ABS(D57-D23)&lt;2,"Equilibré","Erreur")</f>
        <v>Equilibré</v>
      </c>
      <c r="E59" s="144" t="str">
        <f>IF(ABS(E57-E23)&lt;2,"Equilibré","Erreur")</f>
        <v>Equilibré</v>
      </c>
      <c r="F59" s="144" t="str">
        <f>IF(ABS(F57-F23)&lt;2,"Equilibré","Erreur")</f>
        <v>Equilibré</v>
      </c>
      <c r="G59" s="144" t="str">
        <f>IF(ABS(G57-G23)&lt;2,"Equilibré","Erreur")</f>
        <v>Equilibré</v>
      </c>
      <c r="H59" s="252"/>
      <c r="I59" s="144" t="str">
        <f t="shared" ref="I59:L59" si="13">IF(ABS(I57-I23)&lt;2,"Equilibré","Erreur")</f>
        <v>Equilibré</v>
      </c>
      <c r="J59" s="144" t="str">
        <f t="shared" si="13"/>
        <v>Equilibré</v>
      </c>
      <c r="K59" s="144" t="str">
        <f t="shared" si="13"/>
        <v>Equilibré</v>
      </c>
      <c r="L59" s="144" t="str">
        <f t="shared" si="13"/>
        <v>Equilibré</v>
      </c>
    </row>
    <row r="60" spans="1:42">
      <c r="I60" s="146">
        <f>I57-I23</f>
        <v>0</v>
      </c>
      <c r="J60" s="146">
        <f>J57-J23</f>
        <v>0</v>
      </c>
      <c r="K60" s="146">
        <f>K57-K23</f>
        <v>0</v>
      </c>
      <c r="L60" s="146">
        <f>L57-L23</f>
        <v>0</v>
      </c>
    </row>
    <row r="61" spans="1:42" s="32" customFormat="1">
      <c r="A61" s="83"/>
      <c r="B61" s="13" t="s">
        <v>68</v>
      </c>
      <c r="C61" s="14"/>
      <c r="D61" s="14"/>
      <c r="E61" s="14"/>
      <c r="F61" s="14"/>
      <c r="G61" s="14"/>
      <c r="H61" s="52"/>
      <c r="I61" s="14"/>
      <c r="J61" s="14"/>
      <c r="K61" s="14"/>
      <c r="L61" s="14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 s="32" customFormat="1">
      <c r="A62" s="83"/>
      <c r="B62" s="15" t="s">
        <v>42</v>
      </c>
      <c r="C62" s="23">
        <f>C14/('Probois 43 - P&amp;L'!C33/365)</f>
        <v>35.676202472838249</v>
      </c>
      <c r="D62" s="23">
        <f>D14/('Probois 43 - P&amp;L'!D33/365)</f>
        <v>43.255172701169023</v>
      </c>
      <c r="E62" s="23">
        <f>E14/('Probois 43 - P&amp;L'!E33/365)</f>
        <v>39.609420100526606</v>
      </c>
      <c r="F62" s="23">
        <f>F14/('Probois 43 - P&amp;L'!F33/365)</f>
        <v>16.855418720775603</v>
      </c>
      <c r="G62" s="23">
        <f>G14/('Probois 43 - P&amp;L'!G33/365)</f>
        <v>32.253989804757779</v>
      </c>
      <c r="H62" s="272"/>
      <c r="I62" s="23">
        <f>I14/('Probois 43 - P&amp;L (2)'!I33/365)</f>
        <v>30.492693476342225</v>
      </c>
      <c r="J62" s="23">
        <f>J14/('Probois 43 - P&amp;L (2)'!J33/365)</f>
        <v>30.914253434254018</v>
      </c>
      <c r="K62" s="23">
        <f>K14/('Probois 43 - P&amp;L (2)'!K33/365)</f>
        <v>31.226519002100673</v>
      </c>
      <c r="L62" s="23">
        <f>L14/('Probois 43 - P&amp;L (2)'!L33/365)</f>
        <v>30.589240967793298</v>
      </c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 s="32" customFormat="1">
      <c r="A63" s="83"/>
      <c r="B63" s="15" t="s">
        <v>69</v>
      </c>
      <c r="C63" s="23">
        <f>C16/('Probois 43 - P&amp;L'!C33/365)</f>
        <v>55.896774961143542</v>
      </c>
      <c r="D63" s="23">
        <f>D16/('Probois 43 - P&amp;L'!D33/365)</f>
        <v>24.140312597071013</v>
      </c>
      <c r="E63" s="23">
        <f>E16/('Probois 43 - P&amp;L'!E33/365)</f>
        <v>30.304714784547183</v>
      </c>
      <c r="F63" s="23">
        <f>F16/('Probois 43 - P&amp;L'!F33/365)</f>
        <v>38.649075418012153</v>
      </c>
      <c r="G63" s="23">
        <f>G16/('Probois 43 - P&amp;L'!G33/365)</f>
        <v>50.107136114257791</v>
      </c>
      <c r="H63" s="272"/>
      <c r="I63" s="23">
        <f>I16/('Probois 43 - P&amp;L (2)'!I33/365)</f>
        <v>44.263587304367746</v>
      </c>
      <c r="J63" s="23">
        <f>J16/('Probois 43 - P&amp;L (2)'!J33/365)</f>
        <v>44.02939125484663</v>
      </c>
      <c r="K63" s="23">
        <f>K16/('Probois 43 - P&amp;L (2)'!K33/365)</f>
        <v>44.609312860143817</v>
      </c>
      <c r="L63" s="23">
        <f>L16/('Probois 43 - P&amp;L (2)'!L33/365)</f>
        <v>44.184459175701434</v>
      </c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</row>
    <row r="64" spans="1:42" s="32" customFormat="1">
      <c r="A64" s="83"/>
      <c r="B64" s="15" t="s">
        <v>70</v>
      </c>
      <c r="C64" s="23">
        <f>C49/('Probois 43 - P&amp;L'!C33/365)</f>
        <v>60.072768751664263</v>
      </c>
      <c r="D64" s="23">
        <f>D49/('Probois 43 - P&amp;L'!D33/365)</f>
        <v>66.765264298323373</v>
      </c>
      <c r="E64" s="23">
        <f>E49/('Probois 43 - P&amp;L'!E33/365)</f>
        <v>80.008542423474012</v>
      </c>
      <c r="F64" s="23">
        <f>F49/('Probois 43 - P&amp;L'!F33/365)</f>
        <v>59.365080909244142</v>
      </c>
      <c r="G64" s="23">
        <f>G49/('Probois 43 - P&amp;L'!G33/365)</f>
        <v>58.779544545878586</v>
      </c>
      <c r="H64" s="272"/>
      <c r="I64" s="23">
        <f>I49/('Probois 43 - P&amp;L (2)'!I33/365)</f>
        <v>58.034481132393267</v>
      </c>
      <c r="J64" s="23">
        <f>J49/('Probois 43 - P&amp;L (2)'!J33/365)</f>
        <v>59.954915751280517</v>
      </c>
      <c r="K64" s="23">
        <f>K49/('Probois 43 - P&amp;L (2)'!K33/365)</f>
        <v>60.668665489795593</v>
      </c>
      <c r="L64" s="23">
        <f>L49/('Probois 43 - P&amp;L (2)'!L33/365)</f>
        <v>60.328780797592337</v>
      </c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2:12" s="168" customFormat="1">
      <c r="B65" s="24" t="s">
        <v>71</v>
      </c>
      <c r="C65" s="310">
        <f>(C14+C16-C49)/('Probois 43 - P&amp;L'!C33/365)</f>
        <v>31.500208682317524</v>
      </c>
      <c r="D65" s="310">
        <f>(D14+D16-D49)/('Probois 43 - P&amp;L'!D33/365)</f>
        <v>0.63022099991666103</v>
      </c>
      <c r="E65" s="310">
        <f>(E14+E16-E49)/('Probois 43 - P&amp;L'!E33/365)</f>
        <v>-10.094407538400221</v>
      </c>
      <c r="F65" s="310">
        <f>(F14+F16-F49)/('Probois 43 - P&amp;L'!F33/365)</f>
        <v>-3.8605867704563854</v>
      </c>
      <c r="G65" s="310">
        <f>(G14+G16-G49)/('Probois 43 - P&amp;L'!G33/365)</f>
        <v>23.581581373136981</v>
      </c>
      <c r="H65" s="280"/>
      <c r="I65" s="310">
        <f>(I14+I16-I49)/('Probois 43 - P&amp;L (2)'!I33/365)</f>
        <v>16.721799648316704</v>
      </c>
      <c r="J65" s="310">
        <f>(J14+J16-J49)/('Probois 43 - P&amp;L (2)'!J33/365)</f>
        <v>14.988728937820129</v>
      </c>
      <c r="K65" s="310">
        <f>(K14+K16-K49)/('Probois 43 - P&amp;L (2)'!K33/365)</f>
        <v>15.167166372448898</v>
      </c>
      <c r="L65" s="310">
        <f>(L14+L16-L49)/('Probois 43 - P&amp;L (2)'!L33/365)</f>
        <v>14.444919345902392</v>
      </c>
    </row>
    <row r="66" spans="2:12">
      <c r="B66" s="25" t="s">
        <v>50</v>
      </c>
      <c r="C66" s="26">
        <f>(SUM(C14:C17,C19)-SUM(C48:C53))/('Probois 43 - P&amp;L'!C33/365)</f>
        <v>28.809545752417787</v>
      </c>
      <c r="D66" s="26">
        <f>(SUM(D14:D17,D19)-SUM(D48:D53))/('Probois 43 - P&amp;L'!D33/365)</f>
        <v>62.660946579691043</v>
      </c>
      <c r="E66" s="26">
        <f>(SUM(E14:E17,E19)-SUM(E48:E53))/('Probois 43 - P&amp;L'!E33/365)</f>
        <v>72.574411846598551</v>
      </c>
      <c r="F66" s="26">
        <f>(SUM(F14:F17,F19)-SUM(F48:F53))/('Probois 43 - P&amp;L'!F33/365)</f>
        <v>27.230054193454308</v>
      </c>
      <c r="G66" s="26">
        <f>(SUM(G14:G17,G19)-SUM(G48:G53))/('Probois 43 - P&amp;L'!G33/365)</f>
        <v>52.951288010039761</v>
      </c>
      <c r="H66" s="280"/>
      <c r="I66" s="26">
        <f>(SUM(I14:I17,I19)-SUM(I48:I53))/('Probois 43 - P&amp;L (2)'!I33/365)</f>
        <v>45.228435144075618</v>
      </c>
      <c r="J66" s="26">
        <f>(SUM(J14:J17,J19)-SUM(J48:J53))/('Probois 43 - P&amp;L (2)'!J33/365)</f>
        <v>42.137907342449594</v>
      </c>
      <c r="K66" s="26">
        <f>(SUM(K14:K17,K19)-SUM(K48:K53))/('Probois 43 - P&amp;L (2)'!K33/365)</f>
        <v>41.023527073819736</v>
      </c>
      <c r="L66" s="26">
        <f>(SUM(L14:L17,L19)-SUM(L48:L53))/('Probois 43 - P&amp;L (2)'!L33/365)</f>
        <v>39.070023056000196</v>
      </c>
    </row>
    <row r="67" spans="2:12">
      <c r="B67" s="25" t="s">
        <v>72</v>
      </c>
      <c r="C67" s="27">
        <f t="shared" ref="C67:G67" si="14">C23</f>
        <v>1085370</v>
      </c>
      <c r="D67" s="27">
        <f t="shared" si="14"/>
        <v>1360286</v>
      </c>
      <c r="E67" s="27">
        <f t="shared" si="14"/>
        <v>1704667</v>
      </c>
      <c r="F67" s="27">
        <f t="shared" si="14"/>
        <v>1670721</v>
      </c>
      <c r="G67" s="27">
        <f t="shared" si="14"/>
        <v>1513262</v>
      </c>
      <c r="H67" s="281"/>
      <c r="I67" s="27">
        <f>I57</f>
        <v>1503332.75</v>
      </c>
      <c r="J67" s="27">
        <f t="shared" ref="J67:L67" si="15">J57</f>
        <v>1550308.32</v>
      </c>
      <c r="K67" s="27">
        <f t="shared" si="15"/>
        <v>1652745.9500000002</v>
      </c>
      <c r="L67" s="27">
        <f t="shared" si="15"/>
        <v>1771735.06</v>
      </c>
    </row>
    <row r="68" spans="2:12">
      <c r="B68" s="28" t="s">
        <v>73</v>
      </c>
      <c r="C68" s="29">
        <f>(C37-C18)/C25</f>
        <v>-0.13659413731814499</v>
      </c>
      <c r="D68" s="29">
        <f>(D37-D18)/D25</f>
        <v>0.47033520230004078</v>
      </c>
      <c r="E68" s="29">
        <f>(E37-E18)/E25</f>
        <v>0.66901575401901936</v>
      </c>
      <c r="F68" s="29">
        <f>(F37-F18)/F25</f>
        <v>5.28731435444207E-2</v>
      </c>
      <c r="G68" s="29">
        <f>(G37-G18)/G25</f>
        <v>4.8063457784791729E-2</v>
      </c>
      <c r="H68" s="282"/>
      <c r="I68" s="29"/>
      <c r="J68" s="29"/>
      <c r="K68" s="29"/>
      <c r="L68" s="29"/>
    </row>
    <row r="69" spans="2:12">
      <c r="B69" s="17" t="s">
        <v>74</v>
      </c>
      <c r="C69" s="30">
        <f>(C37-C18)/'Probois 43 - P&amp;L'!C218</f>
        <v>-1.0806356956736074</v>
      </c>
      <c r="D69" s="30">
        <f>(D37-D18)/'Probois 43 - P&amp;L'!D218</f>
        <v>3.9551201889676255</v>
      </c>
      <c r="E69" s="30">
        <f>(E37-E18)/'Probois 43 - P&amp;L'!E218</f>
        <v>1.9615793201133145</v>
      </c>
      <c r="F69" s="30">
        <f>(F37-F18)/'Probois 43 - P&amp;L'!F218</f>
        <v>0.18778318509817082</v>
      </c>
      <c r="G69" s="30">
        <f>(G37-G18)/'Probois 43 - P&amp;L'!G218</f>
        <v>0.18812338261875966</v>
      </c>
      <c r="H69" s="282"/>
      <c r="I69" s="30"/>
      <c r="J69" s="30"/>
      <c r="K69" s="30"/>
      <c r="L69" s="30"/>
    </row>
    <row r="71" spans="2:12">
      <c r="I71" s="146"/>
    </row>
    <row r="72" spans="2:12">
      <c r="C72" s="146"/>
      <c r="D72" s="146"/>
      <c r="E72" s="146"/>
      <c r="F72" s="146"/>
      <c r="G72" s="146"/>
      <c r="H72" s="146"/>
      <c r="I72" s="272"/>
      <c r="J72" s="272"/>
      <c r="K72" s="272"/>
      <c r="L72" s="272"/>
    </row>
    <row r="73" spans="2:12">
      <c r="D73" s="146"/>
      <c r="E73" s="146"/>
      <c r="F73" s="146"/>
      <c r="G73" s="146"/>
      <c r="H73" s="146"/>
      <c r="I73" s="272"/>
      <c r="J73" s="272"/>
      <c r="K73" s="272"/>
      <c r="L73" s="272"/>
    </row>
    <row r="74" spans="2:12">
      <c r="I74" s="272"/>
      <c r="J74" s="272"/>
      <c r="K74" s="272"/>
      <c r="L74" s="272"/>
    </row>
  </sheetData>
  <mergeCells count="1">
    <mergeCell ref="B2:B4"/>
  </mergeCells>
  <conditionalFormatting sqref="C59:L59">
    <cfRule type="containsText" dxfId="97" priority="1" operator="containsText" text="Equilibré">
      <formula>NOT(ISERROR(SEARCH("Equilibré",C59)))</formula>
    </cfRule>
    <cfRule type="containsText" dxfId="96" priority="2" operator="containsText" text="Erreur">
      <formula>NOT(ISERROR(SEARCH("Erreur",C59)))</formula>
    </cfRule>
    <cfRule type="containsText" dxfId="95" priority="3" operator="containsText" text="Validé">
      <formula>NOT(ISERROR(SEARCH("Validé",C59)))</formula>
    </cfRule>
    <cfRule type="containsText" dxfId="94" priority="4" operator="containsText" text="Erreur">
      <formula>NOT(ISERROR(SEARCH("Erreur",C59)))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AB295-0627-8F4D-B494-134CC38C99D3}">
  <sheetPr codeName="Feuil18">
    <tabColor theme="9" tint="0.79998168889431442"/>
  </sheetPr>
  <dimension ref="A1:AQ280"/>
  <sheetViews>
    <sheetView zoomScale="85" zoomScaleNormal="85" workbookViewId="0">
      <pane xSplit="2" ySplit="5" topLeftCell="C179" activePane="bottomRight" state="frozen"/>
      <selection pane="topRight" activeCell="C1" sqref="C1"/>
      <selection pane="bottomLeft" activeCell="A6" sqref="A6"/>
      <selection pane="bottomRight" activeCell="C10" sqref="C10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1" width="15.7109375" style="32" customWidth="1"/>
    <col min="12" max="12" width="10.7109375" style="32"/>
    <col min="13" max="13" width="11.28515625" style="32" bestFit="1" customWidth="1"/>
    <col min="14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247" t="s">
        <v>446</v>
      </c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</row>
    <row r="3" spans="1:43" ht="15.75">
      <c r="A3" s="83"/>
      <c r="B3" s="245"/>
      <c r="C3" s="246" t="s">
        <v>261</v>
      </c>
      <c r="D3" s="246" t="s">
        <v>261</v>
      </c>
      <c r="E3" s="246" t="s">
        <v>261</v>
      </c>
      <c r="F3" s="246" t="s">
        <v>261</v>
      </c>
      <c r="G3" s="246"/>
      <c r="H3" s="246" t="s">
        <v>260</v>
      </c>
      <c r="I3" s="246" t="s">
        <v>260</v>
      </c>
      <c r="J3" s="246" t="s">
        <v>260</v>
      </c>
      <c r="K3" s="246" t="s">
        <v>260</v>
      </c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3" ht="15.75">
      <c r="A4" s="83"/>
      <c r="B4" s="85"/>
      <c r="C4" s="54">
        <v>44286</v>
      </c>
      <c r="D4" s="54">
        <v>44804</v>
      </c>
      <c r="E4" s="54">
        <v>45169</v>
      </c>
      <c r="F4" s="54">
        <v>45535</v>
      </c>
      <c r="G4" s="54"/>
      <c r="H4" s="119" t="s">
        <v>751</v>
      </c>
      <c r="I4" s="270" t="s">
        <v>752</v>
      </c>
      <c r="J4" s="270" t="s">
        <v>753</v>
      </c>
      <c r="K4" s="270" t="s">
        <v>754</v>
      </c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</row>
    <row r="5" spans="1:43" ht="15.75">
      <c r="A5" s="83"/>
      <c r="B5" s="86" t="s">
        <v>114</v>
      </c>
      <c r="C5" s="87" t="s">
        <v>3</v>
      </c>
      <c r="D5" s="87" t="s">
        <v>663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3" ht="15.75">
      <c r="A7" s="83"/>
      <c r="B7" s="83" t="s">
        <v>165</v>
      </c>
      <c r="C7" s="88">
        <f>SUM(C8:C13)</f>
        <v>996898</v>
      </c>
      <c r="D7" s="88">
        <f>SUM(D8:D13)</f>
        <v>1711729</v>
      </c>
      <c r="E7" s="88">
        <f>SUM(E8:E13)</f>
        <v>1322204</v>
      </c>
      <c r="F7" s="88">
        <f>SUM(F8:F13)</f>
        <v>1330518</v>
      </c>
      <c r="G7" s="88"/>
      <c r="H7" s="88">
        <v>1363715</v>
      </c>
      <c r="I7" s="88">
        <v>1390989</v>
      </c>
      <c r="J7" s="88">
        <v>1418809</v>
      </c>
      <c r="K7" s="88">
        <v>1447185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3" ht="15.75" outlineLevel="1">
      <c r="A8" s="83"/>
      <c r="B8" s="106" t="s">
        <v>447</v>
      </c>
      <c r="C8" s="95">
        <v>917513</v>
      </c>
      <c r="D8" s="95">
        <v>1493876</v>
      </c>
      <c r="E8" s="95">
        <v>1251333</v>
      </c>
      <c r="F8" s="95">
        <v>1289253</v>
      </c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448</v>
      </c>
      <c r="C9" s="95"/>
      <c r="D9" s="95"/>
      <c r="E9" s="95">
        <v>120</v>
      </c>
      <c r="F9" s="95"/>
      <c r="G9" s="95"/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449</v>
      </c>
      <c r="C10" s="95">
        <v>75679</v>
      </c>
      <c r="D10" s="95">
        <v>73474</v>
      </c>
      <c r="E10" s="95">
        <v>42759</v>
      </c>
      <c r="F10" s="95">
        <v>34085</v>
      </c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450</v>
      </c>
      <c r="C11" s="95"/>
      <c r="D11" s="95">
        <v>129432</v>
      </c>
      <c r="E11" s="95"/>
      <c r="F11" s="95"/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451</v>
      </c>
      <c r="C12" s="95">
        <v>3706</v>
      </c>
      <c r="D12" s="95">
        <v>14947</v>
      </c>
      <c r="E12" s="95">
        <v>27992</v>
      </c>
      <c r="F12" s="95">
        <v>7180</v>
      </c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>
      <c r="A14" s="83"/>
      <c r="B14" s="83" t="s">
        <v>166</v>
      </c>
      <c r="C14" s="88"/>
      <c r="D14" s="88"/>
      <c r="E14" s="88"/>
      <c r="F14" s="88"/>
      <c r="G14" s="88"/>
      <c r="H14" s="88"/>
      <c r="I14" s="88"/>
      <c r="J14" s="88"/>
      <c r="K14" s="88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</row>
    <row r="15" spans="1:43" ht="15.75">
      <c r="A15" s="83"/>
      <c r="B15" s="98" t="s">
        <v>7</v>
      </c>
      <c r="C15" s="99">
        <f t="shared" ref="C15:K15" si="0">C6+C14+C7</f>
        <v>996898</v>
      </c>
      <c r="D15" s="99">
        <f t="shared" si="0"/>
        <v>1711729</v>
      </c>
      <c r="E15" s="99">
        <f t="shared" si="0"/>
        <v>1322204</v>
      </c>
      <c r="F15" s="99">
        <f t="shared" si="0"/>
        <v>1330518</v>
      </c>
      <c r="G15" s="330">
        <f>(F15/C15)^(1/4)-1</f>
        <v>7.4836750789276429E-2</v>
      </c>
      <c r="H15" s="99">
        <f t="shared" si="0"/>
        <v>1363715</v>
      </c>
      <c r="I15" s="99">
        <f t="shared" si="0"/>
        <v>1390989</v>
      </c>
      <c r="J15" s="99">
        <f t="shared" si="0"/>
        <v>1418809</v>
      </c>
      <c r="K15" s="99">
        <f t="shared" si="0"/>
        <v>1447185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</row>
    <row r="16" spans="1:43" ht="15.75">
      <c r="A16" s="83"/>
      <c r="B16" s="97" t="s">
        <v>8</v>
      </c>
      <c r="C16" s="89">
        <f>C17</f>
        <v>-12652</v>
      </c>
      <c r="D16" s="89">
        <f>D17</f>
        <v>14531</v>
      </c>
      <c r="E16" s="89">
        <f>E17</f>
        <v>-25513</v>
      </c>
      <c r="F16" s="89">
        <f>F17</f>
        <v>33092</v>
      </c>
      <c r="G16" s="89"/>
      <c r="H16" s="89"/>
      <c r="I16" s="89"/>
      <c r="J16" s="89"/>
      <c r="K16" s="89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</row>
    <row r="17" spans="1:42" s="96" customFormat="1" ht="12.75" outlineLevel="1">
      <c r="A17" s="93"/>
      <c r="B17" s="94" t="s">
        <v>452</v>
      </c>
      <c r="C17" s="95">
        <v>-12652</v>
      </c>
      <c r="D17" s="95">
        <v>14531</v>
      </c>
      <c r="E17" s="95">
        <v>-25513</v>
      </c>
      <c r="F17" s="95">
        <v>33092</v>
      </c>
      <c r="G17" s="95"/>
      <c r="H17" s="95"/>
      <c r="I17" s="95"/>
      <c r="J17" s="95"/>
      <c r="K17" s="95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</row>
    <row r="18" spans="1:42" s="96" customFormat="1" ht="12.75" outlineLevel="1">
      <c r="A18" s="93"/>
      <c r="B18" s="94"/>
      <c r="C18" s="95"/>
      <c r="D18" s="95"/>
      <c r="E18" s="95"/>
      <c r="F18" s="95"/>
      <c r="G18" s="95"/>
      <c r="H18" s="95"/>
      <c r="I18" s="95"/>
      <c r="J18" s="95"/>
      <c r="K18" s="95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</row>
    <row r="19" spans="1:42" ht="15.75">
      <c r="A19" s="83"/>
      <c r="B19" s="97" t="s">
        <v>9</v>
      </c>
      <c r="C19" s="169"/>
      <c r="D19" s="169"/>
      <c r="E19" s="169"/>
      <c r="F19" s="169"/>
      <c r="G19" s="169"/>
      <c r="H19" s="169"/>
      <c r="I19" s="169"/>
      <c r="J19" s="169"/>
      <c r="K19" s="169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</row>
    <row r="20" spans="1:42" ht="15.75">
      <c r="A20" s="83"/>
      <c r="B20" s="100" t="s">
        <v>14</v>
      </c>
      <c r="C20" s="99">
        <f>C15+C16+C19</f>
        <v>984246</v>
      </c>
      <c r="D20" s="99">
        <f t="shared" ref="D20:K20" si="1">D15+D16+D19</f>
        <v>1726260</v>
      </c>
      <c r="E20" s="99">
        <f t="shared" si="1"/>
        <v>1296691</v>
      </c>
      <c r="F20" s="99">
        <f t="shared" si="1"/>
        <v>1363610</v>
      </c>
      <c r="G20" s="275"/>
      <c r="H20" s="99">
        <f t="shared" si="1"/>
        <v>1363715</v>
      </c>
      <c r="I20" s="99">
        <f t="shared" si="1"/>
        <v>1390989</v>
      </c>
      <c r="J20" s="99">
        <f t="shared" si="1"/>
        <v>1418809</v>
      </c>
      <c r="K20" s="99">
        <f t="shared" si="1"/>
        <v>1447185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</row>
    <row r="21" spans="1:42" ht="16.5" thickBot="1">
      <c r="A21" s="83"/>
      <c r="B21" s="101" t="s">
        <v>106</v>
      </c>
      <c r="C21" s="102">
        <f>C20/C20</f>
        <v>1</v>
      </c>
      <c r="D21" s="102">
        <f t="shared" ref="D21:K21" si="2">D20/D20</f>
        <v>1</v>
      </c>
      <c r="E21" s="102">
        <f t="shared" si="2"/>
        <v>1</v>
      </c>
      <c r="F21" s="102">
        <f t="shared" si="2"/>
        <v>1</v>
      </c>
      <c r="G21" s="276"/>
      <c r="H21" s="102">
        <f t="shared" si="2"/>
        <v>1</v>
      </c>
      <c r="I21" s="102">
        <f t="shared" si="2"/>
        <v>1</v>
      </c>
      <c r="J21" s="102">
        <f t="shared" si="2"/>
        <v>1</v>
      </c>
      <c r="K21" s="102">
        <f t="shared" si="2"/>
        <v>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</row>
    <row r="22" spans="1:42" ht="15.75" collapsed="1">
      <c r="A22" s="83"/>
      <c r="B22" s="103" t="s">
        <v>167</v>
      </c>
      <c r="C22" s="89"/>
      <c r="D22" s="89"/>
      <c r="E22" s="89"/>
      <c r="F22" s="89"/>
      <c r="G22" s="89"/>
      <c r="H22" s="89"/>
      <c r="I22" s="89"/>
      <c r="J22" s="89"/>
      <c r="K22" s="89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</row>
    <row r="23" spans="1:42" ht="15.75">
      <c r="A23" s="83"/>
      <c r="B23" s="103" t="s">
        <v>168</v>
      </c>
      <c r="C23" s="89"/>
      <c r="D23" s="89"/>
      <c r="E23" s="89"/>
      <c r="F23" s="89"/>
      <c r="G23" s="89"/>
      <c r="H23" s="89"/>
      <c r="I23" s="89"/>
      <c r="J23" s="89"/>
      <c r="K23" s="89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</row>
    <row r="24" spans="1:42" ht="15.75">
      <c r="A24" s="83"/>
      <c r="B24" s="83" t="s">
        <v>190</v>
      </c>
      <c r="C24" s="89">
        <f>SUM(C25:C31)</f>
        <v>-241422</v>
      </c>
      <c r="D24" s="89">
        <f>SUM(D25:D31)</f>
        <v>-539400</v>
      </c>
      <c r="E24" s="89">
        <f>SUM(E25:E31)</f>
        <v>-355172</v>
      </c>
      <c r="F24" s="89">
        <f>SUM(F25:F31)</f>
        <v>-459852</v>
      </c>
      <c r="G24" s="89"/>
      <c r="H24" s="89">
        <f>-(H20-H35)</f>
        <v>-422751.65</v>
      </c>
      <c r="I24" s="89">
        <f t="shared" ref="I24:K24" si="3">-(I20-I35)</f>
        <v>-431206.59000000008</v>
      </c>
      <c r="J24" s="89">
        <f t="shared" si="3"/>
        <v>-439830.79000000004</v>
      </c>
      <c r="K24" s="89">
        <f t="shared" si="3"/>
        <v>-448627.35000000009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</row>
    <row r="25" spans="1:42" s="96" customFormat="1" ht="12.75" outlineLevel="1">
      <c r="A25" s="93"/>
      <c r="B25" s="106" t="s">
        <v>849</v>
      </c>
      <c r="C25" s="95"/>
      <c r="D25" s="95"/>
      <c r="E25" s="95"/>
      <c r="F25" s="95">
        <v>-34525</v>
      </c>
      <c r="G25" s="95"/>
      <c r="H25" s="95"/>
      <c r="I25" s="95"/>
      <c r="J25" s="95"/>
      <c r="K25" s="95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</row>
    <row r="26" spans="1:42" s="96" customFormat="1" ht="12.75" outlineLevel="1">
      <c r="A26" s="93"/>
      <c r="B26" s="106" t="s">
        <v>457</v>
      </c>
      <c r="C26" s="95">
        <v>-125069</v>
      </c>
      <c r="D26" s="95">
        <v>-323962</v>
      </c>
      <c r="E26" s="95">
        <v>-222643</v>
      </c>
      <c r="F26" s="95">
        <v>-226490</v>
      </c>
      <c r="G26" s="95"/>
      <c r="H26" s="95"/>
      <c r="I26" s="95"/>
      <c r="J26" s="95"/>
      <c r="K26" s="95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</row>
    <row r="27" spans="1:42" s="96" customFormat="1" ht="12.75" outlineLevel="1">
      <c r="A27" s="93"/>
      <c r="B27" s="106" t="s">
        <v>539</v>
      </c>
      <c r="C27" s="95">
        <v>-56311</v>
      </c>
      <c r="D27" s="95"/>
      <c r="E27" s="95"/>
      <c r="F27" s="95"/>
      <c r="G27" s="95"/>
      <c r="H27" s="95"/>
      <c r="I27" s="95"/>
      <c r="J27" s="95"/>
      <c r="K27" s="95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</row>
    <row r="28" spans="1:42" s="96" customFormat="1" ht="12.75" outlineLevel="1">
      <c r="A28" s="93"/>
      <c r="B28" s="106" t="s">
        <v>458</v>
      </c>
      <c r="C28" s="95">
        <v>-43360</v>
      </c>
      <c r="D28" s="95">
        <v>-84772</v>
      </c>
      <c r="E28" s="95">
        <v>-67594</v>
      </c>
      <c r="F28" s="95">
        <v>-110287</v>
      </c>
      <c r="G28" s="95"/>
      <c r="H28" s="95"/>
      <c r="I28" s="95"/>
      <c r="J28" s="95"/>
      <c r="K28" s="95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</row>
    <row r="29" spans="1:42" s="96" customFormat="1" ht="12.75" outlineLevel="1">
      <c r="A29" s="93"/>
      <c r="B29" s="106" t="s">
        <v>459</v>
      </c>
      <c r="C29" s="95">
        <v>-16682</v>
      </c>
      <c r="D29" s="95">
        <v>-97583</v>
      </c>
      <c r="E29" s="95">
        <v>-50960</v>
      </c>
      <c r="F29" s="95">
        <v>-66266</v>
      </c>
      <c r="G29" s="95"/>
      <c r="H29" s="95"/>
      <c r="I29" s="95"/>
      <c r="J29" s="95"/>
      <c r="K29" s="95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</row>
    <row r="30" spans="1:42" s="96" customFormat="1" ht="12.75" outlineLevel="1">
      <c r="A30" s="93"/>
      <c r="B30" s="106" t="s">
        <v>460</v>
      </c>
      <c r="C30" s="95"/>
      <c r="D30" s="95">
        <v>-33083</v>
      </c>
      <c r="E30" s="95">
        <v>-13975</v>
      </c>
      <c r="F30" s="95">
        <v>-22284</v>
      </c>
      <c r="G30" s="95"/>
      <c r="H30" s="95"/>
      <c r="I30" s="95"/>
      <c r="J30" s="95"/>
      <c r="K30" s="95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</row>
    <row r="31" spans="1:42" s="96" customFormat="1" ht="12.75" outlineLevel="1">
      <c r="A31" s="93"/>
      <c r="B31" s="106"/>
      <c r="C31" s="95"/>
      <c r="D31" s="95"/>
      <c r="E31" s="95"/>
      <c r="F31" s="95"/>
      <c r="G31" s="95"/>
      <c r="H31" s="95"/>
      <c r="I31" s="95"/>
      <c r="J31" s="95"/>
      <c r="K31" s="95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</row>
    <row r="32" spans="1:42" ht="15.75">
      <c r="A32" s="107"/>
      <c r="B32" s="108" t="s">
        <v>169</v>
      </c>
      <c r="C32" s="104">
        <f>C33</f>
        <v>7817</v>
      </c>
      <c r="D32" s="104">
        <f>D33</f>
        <v>34453</v>
      </c>
      <c r="E32" s="104">
        <f>E33</f>
        <v>-81042</v>
      </c>
      <c r="F32" s="104">
        <f>F33</f>
        <v>37284</v>
      </c>
      <c r="G32" s="104"/>
      <c r="H32" s="104"/>
      <c r="I32" s="104"/>
      <c r="J32" s="104"/>
      <c r="K32" s="104"/>
      <c r="L32" s="108"/>
      <c r="M32" s="108"/>
      <c r="N32" s="109"/>
      <c r="O32" s="109"/>
      <c r="P32" s="109"/>
      <c r="Q32" s="109"/>
      <c r="R32" s="109"/>
      <c r="S32" s="109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</row>
    <row r="33" spans="1:43" s="96" customFormat="1" ht="12.75" outlineLevel="1">
      <c r="A33" s="93"/>
      <c r="B33" s="106" t="s">
        <v>461</v>
      </c>
      <c r="C33" s="95">
        <v>7817</v>
      </c>
      <c r="D33" s="95">
        <v>34453</v>
      </c>
      <c r="E33" s="95">
        <v>-81042</v>
      </c>
      <c r="F33" s="95">
        <v>37284</v>
      </c>
      <c r="G33" s="95"/>
      <c r="H33" s="95"/>
      <c r="I33" s="95"/>
      <c r="J33" s="95"/>
      <c r="K33" s="95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</row>
    <row r="34" spans="1:43" s="96" customFormat="1" ht="12.75" outlineLevel="1">
      <c r="A34" s="93"/>
      <c r="B34" s="106"/>
      <c r="C34" s="95"/>
      <c r="D34" s="95"/>
      <c r="E34" s="95"/>
      <c r="F34" s="95"/>
      <c r="G34" s="95"/>
      <c r="H34" s="95"/>
      <c r="I34" s="95"/>
      <c r="J34" s="95"/>
      <c r="K34" s="95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</row>
    <row r="35" spans="1:43" ht="15.75">
      <c r="A35" s="83"/>
      <c r="B35" s="100" t="s">
        <v>16</v>
      </c>
      <c r="C35" s="99">
        <f t="shared" ref="C35:F35" si="4">C20+C22+C23+C24+C32</f>
        <v>750641</v>
      </c>
      <c r="D35" s="99">
        <f t="shared" si="4"/>
        <v>1221313</v>
      </c>
      <c r="E35" s="99">
        <f t="shared" si="4"/>
        <v>860477</v>
      </c>
      <c r="F35" s="99">
        <f t="shared" si="4"/>
        <v>941042</v>
      </c>
      <c r="G35" s="275"/>
      <c r="H35" s="99">
        <f>H20*H36</f>
        <v>940963.35</v>
      </c>
      <c r="I35" s="99">
        <f t="shared" ref="I35:K35" si="5">I20*I36</f>
        <v>959782.40999999992</v>
      </c>
      <c r="J35" s="99">
        <f t="shared" si="5"/>
        <v>978978.21</v>
      </c>
      <c r="K35" s="99">
        <f t="shared" si="5"/>
        <v>998557.64999999991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</row>
    <row r="36" spans="1:43" ht="16.5" thickBot="1">
      <c r="A36" s="107"/>
      <c r="B36" s="101" t="s">
        <v>106</v>
      </c>
      <c r="C36" s="102">
        <f>C35/C20</f>
        <v>0.76265588074526081</v>
      </c>
      <c r="D36" s="102">
        <f t="shared" ref="D36:F36" si="6">D35/D20</f>
        <v>0.70749076037213399</v>
      </c>
      <c r="E36" s="102">
        <f t="shared" si="6"/>
        <v>0.66359448781552433</v>
      </c>
      <c r="F36" s="102">
        <f t="shared" si="6"/>
        <v>0.69011080880897036</v>
      </c>
      <c r="G36" s="276"/>
      <c r="H36" s="102">
        <v>0.69</v>
      </c>
      <c r="I36" s="102">
        <v>0.69</v>
      </c>
      <c r="J36" s="102">
        <v>0.69</v>
      </c>
      <c r="K36" s="102">
        <v>0.69</v>
      </c>
      <c r="L36" s="108"/>
      <c r="M36" s="108"/>
      <c r="N36" s="109"/>
      <c r="O36" s="109"/>
      <c r="P36" s="109"/>
      <c r="Q36" s="109"/>
      <c r="R36" s="109"/>
      <c r="S36" s="109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</row>
    <row r="37" spans="1:43" ht="15.75">
      <c r="A37" s="107"/>
      <c r="B37" s="108" t="s">
        <v>170</v>
      </c>
      <c r="C37" s="104">
        <f>C39+C49+C54+C58+C67+C76+C86+C100+C105+C109+C119</f>
        <v>-274284</v>
      </c>
      <c r="D37" s="104">
        <f t="shared" ref="D37" si="7">D39+D49+D54+D58+D67+D76+D86+D100+D105+D109+D119</f>
        <v>-515597</v>
      </c>
      <c r="E37" s="104">
        <f>E39+E49+E54+E58+E67+E76+E86+E100+E105+E109+E119</f>
        <v>-274716</v>
      </c>
      <c r="F37" s="104">
        <f>F39+F49+F54+F58+F67+F76+F86+F100+F105+F109+F119</f>
        <v>-417308</v>
      </c>
      <c r="G37" s="104"/>
      <c r="H37" s="104">
        <f t="shared" ref="H37:K37" si="8">H39+H49+H54+H58+H67+H76+H86+H100+H105+H109+H119</f>
        <v>-422647</v>
      </c>
      <c r="I37" s="104">
        <f t="shared" si="8"/>
        <v>-463732.71428571432</v>
      </c>
      <c r="J37" s="104">
        <f t="shared" si="8"/>
        <v>-464732.71428571432</v>
      </c>
      <c r="K37" s="104">
        <f t="shared" si="8"/>
        <v>-465732.71428571432</v>
      </c>
      <c r="L37" s="108"/>
      <c r="M37" s="108"/>
      <c r="N37" s="109"/>
      <c r="O37" s="109"/>
      <c r="P37" s="109"/>
      <c r="Q37" s="109"/>
      <c r="R37" s="109"/>
      <c r="S37" s="109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</row>
    <row r="38" spans="1:43" s="96" customFormat="1" ht="12.75" outlineLevel="1">
      <c r="A38" s="93"/>
      <c r="B38" s="106"/>
      <c r="C38" s="95"/>
      <c r="D38" s="95"/>
      <c r="E38" s="95"/>
      <c r="F38" s="95"/>
      <c r="G38" s="95"/>
      <c r="H38" s="95"/>
      <c r="I38" s="95"/>
      <c r="J38" s="95"/>
      <c r="K38" s="95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</row>
    <row r="39" spans="1:43" s="92" customFormat="1" ht="12.75" outlineLevel="1">
      <c r="A39" s="90"/>
      <c r="B39" s="105" t="s">
        <v>171</v>
      </c>
      <c r="C39" s="91">
        <f>SUM(C40:C48)</f>
        <v>-22103</v>
      </c>
      <c r="D39" s="91">
        <f t="shared" ref="D39" si="9">SUM(D40:D48)</f>
        <v>-38878</v>
      </c>
      <c r="E39" s="91">
        <f>SUM(E40:E48)</f>
        <v>-35157</v>
      </c>
      <c r="F39" s="91">
        <f>SUM(F40:F48)</f>
        <v>-34279</v>
      </c>
      <c r="G39" s="91"/>
      <c r="H39" s="91">
        <v>-35000</v>
      </c>
      <c r="I39" s="91">
        <v>-36000</v>
      </c>
      <c r="J39" s="91">
        <v>-37000</v>
      </c>
      <c r="K39" s="91">
        <v>-38000</v>
      </c>
      <c r="L39" s="91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s="96" customFormat="1" ht="12.75" outlineLevel="2">
      <c r="A40" s="93"/>
      <c r="B40" s="106" t="s">
        <v>462</v>
      </c>
      <c r="C40" s="95">
        <v>-5959</v>
      </c>
      <c r="D40" s="95">
        <v>-7491</v>
      </c>
      <c r="E40" s="95">
        <v>-13567</v>
      </c>
      <c r="F40" s="95">
        <v>-7111</v>
      </c>
      <c r="G40" s="95"/>
      <c r="H40" s="95"/>
      <c r="I40" s="95"/>
      <c r="J40" s="95"/>
      <c r="K40" s="95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</row>
    <row r="41" spans="1:43" s="96" customFormat="1" ht="12.75" outlineLevel="2">
      <c r="A41" s="93"/>
      <c r="B41" s="106" t="s">
        <v>463</v>
      </c>
      <c r="C41" s="95">
        <v>-259</v>
      </c>
      <c r="D41" s="95">
        <v>-365</v>
      </c>
      <c r="E41" s="95">
        <v>-462</v>
      </c>
      <c r="F41" s="95">
        <v>-354</v>
      </c>
      <c r="G41" s="95"/>
      <c r="H41" s="95"/>
      <c r="I41" s="95"/>
      <c r="J41" s="95"/>
      <c r="K41" s="95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</row>
    <row r="42" spans="1:43" s="96" customFormat="1" ht="12.75" outlineLevel="2">
      <c r="A42" s="93"/>
      <c r="B42" s="106" t="s">
        <v>464</v>
      </c>
      <c r="C42" s="95">
        <v>-2055</v>
      </c>
      <c r="D42" s="95">
        <v>-3845</v>
      </c>
      <c r="E42" s="95">
        <v>-4743</v>
      </c>
      <c r="F42" s="95">
        <v>-3932</v>
      </c>
      <c r="G42" s="95"/>
      <c r="H42" s="95"/>
      <c r="I42" s="95"/>
      <c r="J42" s="95"/>
      <c r="K42" s="95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</row>
    <row r="43" spans="1:43" s="96" customFormat="1" ht="12.75" outlineLevel="2">
      <c r="A43" s="93"/>
      <c r="B43" s="106" t="s">
        <v>142</v>
      </c>
      <c r="C43" s="95">
        <v>-8013</v>
      </c>
      <c r="D43" s="95">
        <v>-14425</v>
      </c>
      <c r="E43" s="95">
        <v>-10458</v>
      </c>
      <c r="F43" s="95">
        <v>-11609</v>
      </c>
      <c r="G43" s="95"/>
      <c r="H43" s="95"/>
      <c r="I43" s="95"/>
      <c r="J43" s="95"/>
      <c r="K43" s="95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</row>
    <row r="44" spans="1:43" s="96" customFormat="1" ht="12.75" outlineLevel="2">
      <c r="A44" s="93"/>
      <c r="B44" s="106" t="s">
        <v>328</v>
      </c>
      <c r="C44" s="95"/>
      <c r="D44" s="95">
        <v>-6379</v>
      </c>
      <c r="E44" s="95">
        <v>-2841</v>
      </c>
      <c r="F44" s="95">
        <v>-1987</v>
      </c>
      <c r="G44" s="95"/>
      <c r="H44" s="95"/>
      <c r="I44" s="95"/>
      <c r="J44" s="95"/>
      <c r="K44" s="95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</row>
    <row r="45" spans="1:43" s="96" customFormat="1" ht="12.75" outlineLevel="2">
      <c r="A45" s="93"/>
      <c r="B45" s="106" t="s">
        <v>465</v>
      </c>
      <c r="C45" s="95">
        <v>-1970</v>
      </c>
      <c r="D45" s="95">
        <v>-4032</v>
      </c>
      <c r="E45" s="95">
        <v>-2306</v>
      </c>
      <c r="F45" s="95">
        <v>-7299</v>
      </c>
      <c r="G45" s="95"/>
      <c r="H45" s="95"/>
      <c r="I45" s="95"/>
      <c r="J45" s="95"/>
      <c r="K45" s="95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</row>
    <row r="46" spans="1:43" s="96" customFormat="1" ht="12.75" outlineLevel="2">
      <c r="A46" s="93"/>
      <c r="B46" s="106" t="s">
        <v>540</v>
      </c>
      <c r="C46" s="95">
        <v>-1988</v>
      </c>
      <c r="D46" s="95"/>
      <c r="E46" s="95"/>
      <c r="F46" s="95"/>
      <c r="G46" s="95"/>
      <c r="H46" s="95"/>
      <c r="I46" s="95"/>
      <c r="J46" s="95"/>
      <c r="K46" s="95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</row>
    <row r="47" spans="1:43" s="96" customFormat="1" ht="12.75" outlineLevel="2">
      <c r="A47" s="93"/>
      <c r="B47" s="106" t="s">
        <v>329</v>
      </c>
      <c r="C47" s="95">
        <v>-1859</v>
      </c>
      <c r="D47" s="95">
        <v>-2341</v>
      </c>
      <c r="E47" s="95">
        <v>-780</v>
      </c>
      <c r="F47" s="95">
        <v>-1987</v>
      </c>
      <c r="G47" s="95"/>
      <c r="H47" s="95"/>
      <c r="I47" s="95"/>
      <c r="J47" s="95"/>
      <c r="K47" s="95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</row>
    <row r="48" spans="1:43" s="96" customFormat="1" ht="12.75" outlineLevel="2">
      <c r="A48" s="9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</row>
    <row r="49" spans="1:43" s="92" customFormat="1" ht="12.75" outlineLevel="1">
      <c r="A49" s="90"/>
      <c r="B49" s="105" t="s">
        <v>172</v>
      </c>
      <c r="C49" s="91">
        <f>SUM(C50:C53)</f>
        <v>-14567</v>
      </c>
      <c r="D49" s="91">
        <f t="shared" ref="D49" si="10">SUM(D50:D53)</f>
        <v>-160057</v>
      </c>
      <c r="E49" s="91">
        <f>SUM(E50:E53)</f>
        <v>-19599</v>
      </c>
      <c r="F49" s="91">
        <f>SUM(F50:F53)</f>
        <v>-2629</v>
      </c>
      <c r="G49" s="91"/>
      <c r="H49" s="91">
        <v>-3000</v>
      </c>
      <c r="I49" s="91">
        <v>-4000</v>
      </c>
      <c r="J49" s="91">
        <v>-4000</v>
      </c>
      <c r="K49" s="91">
        <v>-4000</v>
      </c>
      <c r="L49" s="91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96" customFormat="1" ht="12.75" outlineLevel="2">
      <c r="A50" s="93"/>
      <c r="B50" s="106" t="s">
        <v>466</v>
      </c>
      <c r="C50" s="95">
        <v>-10988</v>
      </c>
      <c r="D50" s="95">
        <v>-18510</v>
      </c>
      <c r="E50" s="95">
        <v>-2340</v>
      </c>
      <c r="F50" s="95">
        <v>-1559</v>
      </c>
      <c r="G50" s="95"/>
      <c r="H50" s="95"/>
      <c r="I50" s="95"/>
      <c r="J50" s="95"/>
      <c r="K50" s="95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</row>
    <row r="51" spans="1:43" s="96" customFormat="1" ht="12.75" outlineLevel="2">
      <c r="A51" s="93"/>
      <c r="B51" s="106" t="s">
        <v>467</v>
      </c>
      <c r="C51" s="95"/>
      <c r="D51" s="95">
        <v>-138103</v>
      </c>
      <c r="E51" s="95">
        <v>-15895</v>
      </c>
      <c r="F51" s="95">
        <v>-245</v>
      </c>
      <c r="G51" s="95"/>
      <c r="H51" s="95"/>
      <c r="I51" s="95"/>
      <c r="J51" s="95"/>
      <c r="K51" s="95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</row>
    <row r="52" spans="1:43" s="96" customFormat="1" ht="12.75" outlineLevel="2">
      <c r="A52" s="93"/>
      <c r="B52" s="106" t="s">
        <v>511</v>
      </c>
      <c r="C52" s="95">
        <v>-3579</v>
      </c>
      <c r="D52" s="95">
        <v>-3444</v>
      </c>
      <c r="E52" s="95">
        <v>-1364</v>
      </c>
      <c r="F52" s="95">
        <v>-825</v>
      </c>
      <c r="G52" s="95"/>
      <c r="H52" s="95"/>
      <c r="I52" s="95"/>
      <c r="J52" s="95"/>
      <c r="K52" s="95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</row>
    <row r="53" spans="1:43" s="96" customFormat="1" ht="12.75" outlineLevel="2">
      <c r="A53" s="93"/>
      <c r="B53" s="106"/>
      <c r="C53" s="95"/>
      <c r="D53" s="95"/>
      <c r="E53" s="95"/>
      <c r="F53" s="95"/>
      <c r="G53" s="95"/>
      <c r="H53" s="95"/>
      <c r="I53" s="95"/>
      <c r="J53" s="95"/>
      <c r="K53" s="95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</row>
    <row r="54" spans="1:43" s="92" customFormat="1" ht="12.75" outlineLevel="1">
      <c r="A54" s="90"/>
      <c r="B54" s="105" t="s">
        <v>173</v>
      </c>
      <c r="C54" s="91">
        <f>SUM(C55:C57)</f>
        <v>-15096</v>
      </c>
      <c r="D54" s="91">
        <f>SUM(D55:D57)</f>
        <v>-6679</v>
      </c>
      <c r="E54" s="91">
        <f>SUM(E55:E57)</f>
        <v>-4766</v>
      </c>
      <c r="F54" s="91">
        <f>SUM(F55:F57)</f>
        <v>-3535</v>
      </c>
      <c r="G54" s="91"/>
      <c r="H54" s="91">
        <v>-5000</v>
      </c>
      <c r="I54" s="91">
        <v>-5000</v>
      </c>
      <c r="J54" s="91">
        <v>-5000</v>
      </c>
      <c r="K54" s="91">
        <v>-5000</v>
      </c>
      <c r="L54" s="91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</row>
    <row r="55" spans="1:43" s="96" customFormat="1" ht="12.75" outlineLevel="2">
      <c r="A55" s="93"/>
      <c r="B55" s="106" t="s">
        <v>541</v>
      </c>
      <c r="C55" s="95">
        <v>-10384</v>
      </c>
      <c r="D55" s="95"/>
      <c r="E55" s="95"/>
      <c r="F55" s="95"/>
      <c r="G55" s="95"/>
      <c r="H55" s="95"/>
      <c r="I55" s="95"/>
      <c r="J55" s="95"/>
      <c r="K55" s="95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</row>
    <row r="56" spans="1:43" s="96" customFormat="1" ht="12.75" outlineLevel="2">
      <c r="A56" s="93"/>
      <c r="B56" s="106" t="s">
        <v>468</v>
      </c>
      <c r="C56" s="95">
        <v>-4712</v>
      </c>
      <c r="D56" s="95">
        <v>-6679</v>
      </c>
      <c r="E56" s="95">
        <v>-4766</v>
      </c>
      <c r="F56" s="95">
        <v>-3535</v>
      </c>
      <c r="G56" s="95"/>
      <c r="H56" s="95"/>
      <c r="I56" s="95"/>
      <c r="J56" s="95"/>
      <c r="K56" s="95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</row>
    <row r="57" spans="1:43" s="96" customFormat="1" ht="12.75" outlineLevel="2">
      <c r="A57" s="93"/>
      <c r="B57" s="106"/>
      <c r="C57" s="95"/>
      <c r="D57" s="95"/>
      <c r="E57" s="95"/>
      <c r="F57" s="95"/>
      <c r="G57" s="95"/>
      <c r="H57" s="95"/>
      <c r="I57" s="95"/>
      <c r="J57" s="95"/>
      <c r="K57" s="95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</row>
    <row r="58" spans="1:43" s="92" customFormat="1" ht="12.75" outlineLevel="1">
      <c r="A58" s="90"/>
      <c r="B58" s="105" t="s">
        <v>174</v>
      </c>
      <c r="C58" s="91">
        <f>SUM(C59:C66)</f>
        <v>-62456</v>
      </c>
      <c r="D58" s="91">
        <f t="shared" ref="D58" si="11">SUM(D59:D66)</f>
        <v>-95625</v>
      </c>
      <c r="E58" s="91">
        <f>SUM(E59:E66)</f>
        <v>-66626</v>
      </c>
      <c r="F58" s="91">
        <f>SUM(F59:F66)</f>
        <v>-66647</v>
      </c>
      <c r="G58" s="91"/>
      <c r="H58" s="91">
        <f t="shared" ref="H58:K58" si="12">SUM(H59:H66)</f>
        <v>-66647</v>
      </c>
      <c r="I58" s="91">
        <f t="shared" si="12"/>
        <v>-102732.71428571429</v>
      </c>
      <c r="J58" s="91">
        <f t="shared" si="12"/>
        <v>-102732.71428571429</v>
      </c>
      <c r="K58" s="91">
        <f t="shared" si="12"/>
        <v>-102732.71428571429</v>
      </c>
      <c r="L58" s="91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</row>
    <row r="59" spans="1:43" s="96" customFormat="1" ht="12.75" outlineLevel="2">
      <c r="A59" s="93"/>
      <c r="B59" s="106" t="s">
        <v>334</v>
      </c>
      <c r="C59" s="95">
        <v>-49200</v>
      </c>
      <c r="D59" s="95">
        <v>-69700</v>
      </c>
      <c r="E59" s="95">
        <v>-49200</v>
      </c>
      <c r="F59" s="95">
        <v>-49200</v>
      </c>
      <c r="G59" s="95"/>
      <c r="H59" s="95">
        <f>F59</f>
        <v>-49200</v>
      </c>
      <c r="I59" s="95">
        <f>('Profilyss - P&amp;L (2)'!I73+'Profilyss - P&amp;L (2)'!I74)*0.3/0.7</f>
        <v>-85285.71428571429</v>
      </c>
      <c r="J59" s="95">
        <f>I59</f>
        <v>-85285.71428571429</v>
      </c>
      <c r="K59" s="95">
        <f>J59</f>
        <v>-85285.71428571429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</row>
    <row r="60" spans="1:43" s="96" customFormat="1" ht="12.75" outlineLevel="2">
      <c r="A60" s="93"/>
      <c r="B60" s="106" t="s">
        <v>469</v>
      </c>
      <c r="C60" s="95"/>
      <c r="D60" s="95">
        <v>-87</v>
      </c>
      <c r="E60" s="95"/>
      <c r="F60" s="95"/>
      <c r="G60" s="95"/>
      <c r="H60" s="95"/>
      <c r="I60" s="95"/>
      <c r="J60" s="95"/>
      <c r="K60" s="95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</row>
    <row r="61" spans="1:43" s="96" customFormat="1" ht="12.75" outlineLevel="2">
      <c r="A61" s="93"/>
      <c r="B61" s="106" t="s">
        <v>470</v>
      </c>
      <c r="C61" s="95"/>
      <c r="D61" s="95">
        <v>-15059</v>
      </c>
      <c r="E61" s="95">
        <v>-12850</v>
      </c>
      <c r="F61" s="95">
        <v>-13361</v>
      </c>
      <c r="G61" s="95"/>
      <c r="H61" s="95">
        <f>F61</f>
        <v>-13361</v>
      </c>
      <c r="I61" s="95">
        <f t="shared" ref="I61:K64" si="13">H61</f>
        <v>-13361</v>
      </c>
      <c r="J61" s="95">
        <f t="shared" si="13"/>
        <v>-13361</v>
      </c>
      <c r="K61" s="95">
        <f t="shared" si="13"/>
        <v>-13361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</row>
    <row r="62" spans="1:43" s="96" customFormat="1" ht="12.75" outlineLevel="2">
      <c r="A62" s="93"/>
      <c r="B62" s="106" t="s">
        <v>471</v>
      </c>
      <c r="C62" s="95">
        <v>-2058</v>
      </c>
      <c r="D62" s="95">
        <v>-3409</v>
      </c>
      <c r="E62" s="95">
        <v>-2303</v>
      </c>
      <c r="F62" s="95">
        <v>-2215</v>
      </c>
      <c r="G62" s="95"/>
      <c r="H62" s="95">
        <f>F62</f>
        <v>-2215</v>
      </c>
      <c r="I62" s="95">
        <f t="shared" si="13"/>
        <v>-2215</v>
      </c>
      <c r="J62" s="95">
        <f t="shared" si="13"/>
        <v>-2215</v>
      </c>
      <c r="K62" s="95">
        <f t="shared" si="13"/>
        <v>-2215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</row>
    <row r="63" spans="1:43" s="96" customFormat="1" ht="12.75" outlineLevel="2">
      <c r="A63" s="93"/>
      <c r="B63" s="106" t="s">
        <v>472</v>
      </c>
      <c r="C63" s="95"/>
      <c r="D63" s="95">
        <v>-243</v>
      </c>
      <c r="E63" s="95">
        <v>-553</v>
      </c>
      <c r="F63" s="95">
        <v>-19</v>
      </c>
      <c r="G63" s="95"/>
      <c r="H63" s="95">
        <f>F63</f>
        <v>-19</v>
      </c>
      <c r="I63" s="95">
        <f t="shared" si="13"/>
        <v>-19</v>
      </c>
      <c r="J63" s="95">
        <f t="shared" si="13"/>
        <v>-19</v>
      </c>
      <c r="K63" s="95">
        <f t="shared" si="13"/>
        <v>-19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</row>
    <row r="64" spans="1:43" s="96" customFormat="1" ht="12.75" outlineLevel="2">
      <c r="A64" s="93"/>
      <c r="B64" s="106" t="s">
        <v>473</v>
      </c>
      <c r="C64" s="95">
        <v>-1232</v>
      </c>
      <c r="D64" s="95">
        <v>-2050</v>
      </c>
      <c r="E64" s="95">
        <v>-1720</v>
      </c>
      <c r="F64" s="95">
        <v>-1852</v>
      </c>
      <c r="G64" s="95"/>
      <c r="H64" s="95">
        <f>F64</f>
        <v>-1852</v>
      </c>
      <c r="I64" s="95">
        <f t="shared" si="13"/>
        <v>-1852</v>
      </c>
      <c r="J64" s="95">
        <f t="shared" si="13"/>
        <v>-1852</v>
      </c>
      <c r="K64" s="95">
        <f t="shared" si="13"/>
        <v>-1852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</row>
    <row r="65" spans="1:43" s="96" customFormat="1" ht="12.75" outlineLevel="2">
      <c r="A65" s="93"/>
      <c r="B65" s="106" t="s">
        <v>474</v>
      </c>
      <c r="C65" s="95">
        <v>-9966</v>
      </c>
      <c r="D65" s="95">
        <v>-5077</v>
      </c>
      <c r="E65" s="95"/>
      <c r="F65" s="95"/>
      <c r="G65" s="95"/>
      <c r="H65" s="95"/>
      <c r="I65" s="95"/>
      <c r="J65" s="95"/>
      <c r="K65" s="95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</row>
    <row r="66" spans="1:43" s="96" customFormat="1" ht="12.75" outlineLevel="2">
      <c r="A66" s="93"/>
      <c r="B66" s="106"/>
      <c r="C66" s="95"/>
      <c r="D66" s="95"/>
      <c r="E66" s="95"/>
      <c r="F66" s="95"/>
      <c r="G66" s="95"/>
      <c r="H66" s="95"/>
      <c r="I66" s="95"/>
      <c r="J66" s="95"/>
      <c r="K66" s="95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</row>
    <row r="67" spans="1:43" s="92" customFormat="1" ht="12.75" outlineLevel="1">
      <c r="A67" s="90"/>
      <c r="B67" s="105" t="s">
        <v>175</v>
      </c>
      <c r="C67" s="91">
        <f>SUM(C68:C75)</f>
        <v>-16573</v>
      </c>
      <c r="D67" s="91">
        <f t="shared" ref="D67" si="14">SUM(D68:D75)</f>
        <v>-34325</v>
      </c>
      <c r="E67" s="91">
        <f>SUM(E68:E75)</f>
        <v>-16844</v>
      </c>
      <c r="F67" s="91">
        <f>SUM(F68:F75)</f>
        <v>-19221</v>
      </c>
      <c r="G67" s="91"/>
      <c r="H67" s="91">
        <v>-20000</v>
      </c>
      <c r="I67" s="91">
        <v>-20000</v>
      </c>
      <c r="J67" s="91">
        <v>-20000</v>
      </c>
      <c r="K67" s="91">
        <v>-20000</v>
      </c>
      <c r="L67" s="91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</row>
    <row r="68" spans="1:43" s="96" customFormat="1" ht="12.75" outlineLevel="2">
      <c r="A68" s="93"/>
      <c r="B68" s="106" t="s">
        <v>475</v>
      </c>
      <c r="C68" s="95">
        <v>-1740</v>
      </c>
      <c r="D68" s="95">
        <v>-8395</v>
      </c>
      <c r="E68" s="95">
        <v>-2013</v>
      </c>
      <c r="F68" s="95">
        <v>-2849</v>
      </c>
      <c r="G68" s="95"/>
      <c r="H68" s="95"/>
      <c r="I68" s="95"/>
      <c r="J68" s="95"/>
      <c r="K68" s="95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</row>
    <row r="69" spans="1:43" s="96" customFormat="1" ht="12.75" outlineLevel="2">
      <c r="A69" s="93"/>
      <c r="B69" s="106" t="s">
        <v>476</v>
      </c>
      <c r="C69" s="95">
        <v>-4007</v>
      </c>
      <c r="D69" s="95">
        <v>-4984</v>
      </c>
      <c r="E69" s="95">
        <v>-3863</v>
      </c>
      <c r="F69" s="95">
        <v>-3670</v>
      </c>
      <c r="G69" s="95"/>
      <c r="H69" s="95"/>
      <c r="I69" s="95"/>
      <c r="J69" s="95"/>
      <c r="K69" s="95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</row>
    <row r="70" spans="1:43" s="96" customFormat="1" ht="12.75" outlineLevel="2">
      <c r="A70" s="93"/>
      <c r="B70" s="106" t="s">
        <v>344</v>
      </c>
      <c r="C70" s="95"/>
      <c r="D70" s="95">
        <v>-1202</v>
      </c>
      <c r="E70" s="95">
        <v>-399</v>
      </c>
      <c r="F70" s="95">
        <v>-868</v>
      </c>
      <c r="G70" s="95"/>
      <c r="H70" s="95"/>
      <c r="I70" s="95"/>
      <c r="J70" s="95"/>
      <c r="K70" s="95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</row>
    <row r="71" spans="1:43" s="96" customFormat="1" ht="12.75" outlineLevel="2">
      <c r="A71" s="93"/>
      <c r="B71" s="106" t="s">
        <v>477</v>
      </c>
      <c r="C71" s="95">
        <v>-3102</v>
      </c>
      <c r="D71" s="95">
        <v>-320</v>
      </c>
      <c r="E71" s="95">
        <v>-962</v>
      </c>
      <c r="F71" s="95">
        <v>-975</v>
      </c>
      <c r="G71" s="95"/>
      <c r="H71" s="95"/>
      <c r="I71" s="95"/>
      <c r="J71" s="95"/>
      <c r="K71" s="95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</row>
    <row r="72" spans="1:43" s="96" customFormat="1" ht="12.75" outlineLevel="2">
      <c r="A72" s="93"/>
      <c r="B72" s="106" t="s">
        <v>478</v>
      </c>
      <c r="C72" s="95">
        <v>-5322</v>
      </c>
      <c r="D72" s="95">
        <v>-8982</v>
      </c>
      <c r="E72" s="95">
        <v>-4249</v>
      </c>
      <c r="F72" s="95">
        <v>-3799</v>
      </c>
      <c r="G72" s="95"/>
      <c r="H72" s="95"/>
      <c r="I72" s="95"/>
      <c r="J72" s="95"/>
      <c r="K72" s="95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</row>
    <row r="73" spans="1:43" s="96" customFormat="1" ht="12.75" outlineLevel="2">
      <c r="A73" s="93"/>
      <c r="B73" s="106" t="s">
        <v>479</v>
      </c>
      <c r="C73" s="95">
        <v>-2042</v>
      </c>
      <c r="D73" s="95">
        <v>-2351</v>
      </c>
      <c r="E73" s="95">
        <v>-1277</v>
      </c>
      <c r="F73" s="95">
        <v>-1052</v>
      </c>
      <c r="G73" s="95"/>
      <c r="H73" s="95"/>
      <c r="I73" s="95"/>
      <c r="J73" s="95"/>
      <c r="K73" s="95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</row>
    <row r="74" spans="1:43" s="96" customFormat="1" ht="12.75" outlineLevel="2">
      <c r="A74" s="93"/>
      <c r="B74" s="106" t="s">
        <v>480</v>
      </c>
      <c r="C74" s="95">
        <v>-360</v>
      </c>
      <c r="D74" s="95">
        <v>-8091</v>
      </c>
      <c r="E74" s="95">
        <v>-4081</v>
      </c>
      <c r="F74" s="95">
        <v>-6008</v>
      </c>
      <c r="G74" s="95"/>
      <c r="H74" s="95"/>
      <c r="I74" s="95"/>
      <c r="J74" s="95"/>
      <c r="K74" s="95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</row>
    <row r="75" spans="1:43" s="96" customFormat="1" ht="12.75" outlineLevel="2">
      <c r="A75" s="9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</row>
    <row r="76" spans="1:43" s="92" customFormat="1" ht="12.75" outlineLevel="1">
      <c r="A76" s="90"/>
      <c r="B76" s="105" t="s">
        <v>176</v>
      </c>
      <c r="C76" s="91">
        <f>SUM(C77:C85)</f>
        <v>-21555</v>
      </c>
      <c r="D76" s="91">
        <f t="shared" ref="D76" si="15">SUM(D77:D85)</f>
        <v>-29974</v>
      </c>
      <c r="E76" s="91">
        <f>SUM(E77:E85)</f>
        <v>-25200</v>
      </c>
      <c r="F76" s="91">
        <f>SUM(F77:F85)</f>
        <v>-25775</v>
      </c>
      <c r="G76" s="91"/>
      <c r="H76" s="91">
        <v>-26000</v>
      </c>
      <c r="I76" s="91">
        <v>-26000</v>
      </c>
      <c r="J76" s="91">
        <v>-26000</v>
      </c>
      <c r="K76" s="91">
        <v>-26000</v>
      </c>
      <c r="L76" s="91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</row>
    <row r="77" spans="1:43" s="96" customFormat="1" ht="12.75" outlineLevel="2">
      <c r="A77" s="93"/>
      <c r="B77" s="106" t="s">
        <v>481</v>
      </c>
      <c r="C77" s="95">
        <v>-437</v>
      </c>
      <c r="D77" s="95">
        <v>-619</v>
      </c>
      <c r="E77" s="95">
        <v>-363</v>
      </c>
      <c r="F77" s="95">
        <v>-198</v>
      </c>
      <c r="G77" s="95"/>
      <c r="H77" s="95"/>
      <c r="I77" s="95"/>
      <c r="J77" s="95"/>
      <c r="K77" s="95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</row>
    <row r="78" spans="1:43" s="96" customFormat="1" ht="12.75" outlineLevel="2">
      <c r="A78" s="93"/>
      <c r="B78" s="106" t="s">
        <v>347</v>
      </c>
      <c r="C78" s="95">
        <v>-11584</v>
      </c>
      <c r="D78" s="95">
        <v>-12625</v>
      </c>
      <c r="E78" s="95">
        <v>-12368</v>
      </c>
      <c r="F78" s="95">
        <v>-13647</v>
      </c>
      <c r="G78" s="95"/>
      <c r="H78" s="95"/>
      <c r="I78" s="95"/>
      <c r="J78" s="95"/>
      <c r="K78" s="95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</row>
    <row r="79" spans="1:43" s="96" customFormat="1" ht="12.75" outlineLevel="2">
      <c r="A79" s="93"/>
      <c r="B79" s="106" t="s">
        <v>482</v>
      </c>
      <c r="C79" s="95"/>
      <c r="D79" s="95">
        <v>-3632</v>
      </c>
      <c r="E79" s="95">
        <v>-2680</v>
      </c>
      <c r="F79" s="95">
        <v>-2818</v>
      </c>
      <c r="G79" s="95"/>
      <c r="H79" s="95"/>
      <c r="I79" s="95"/>
      <c r="J79" s="95"/>
      <c r="K79" s="95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</row>
    <row r="80" spans="1:43" s="96" customFormat="1" ht="12.75" outlineLevel="2">
      <c r="A80" s="93"/>
      <c r="B80" s="106" t="s">
        <v>483</v>
      </c>
      <c r="C80" s="95"/>
      <c r="D80" s="95">
        <v>-850</v>
      </c>
      <c r="E80" s="95">
        <v>-598</v>
      </c>
      <c r="F80" s="95">
        <v>-600</v>
      </c>
      <c r="G80" s="95"/>
      <c r="H80" s="95"/>
      <c r="I80" s="95"/>
      <c r="J80" s="95"/>
      <c r="K80" s="95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</row>
    <row r="81" spans="1:43" s="96" customFormat="1" ht="12.75" outlineLevel="2">
      <c r="A81" s="93"/>
      <c r="B81" s="106" t="s">
        <v>484</v>
      </c>
      <c r="C81" s="95">
        <v>-706</v>
      </c>
      <c r="D81" s="95">
        <v>-1146</v>
      </c>
      <c r="E81" s="95">
        <v>-916</v>
      </c>
      <c r="F81" s="95">
        <v>-996</v>
      </c>
      <c r="G81" s="95"/>
      <c r="H81" s="95"/>
      <c r="I81" s="95"/>
      <c r="J81" s="95"/>
      <c r="K81" s="95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</row>
    <row r="82" spans="1:43" s="96" customFormat="1" ht="12.75" outlineLevel="2">
      <c r="A82" s="93"/>
      <c r="B82" s="106" t="s">
        <v>485</v>
      </c>
      <c r="C82" s="95">
        <v>-7892</v>
      </c>
      <c r="D82" s="95">
        <v>-5809</v>
      </c>
      <c r="E82" s="95">
        <v>-4170</v>
      </c>
      <c r="F82" s="95">
        <v>-4301</v>
      </c>
      <c r="G82" s="95"/>
      <c r="H82" s="95"/>
      <c r="I82" s="95"/>
      <c r="J82" s="95"/>
      <c r="K82" s="95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</row>
    <row r="83" spans="1:43" s="96" customFormat="1" ht="12.75" outlineLevel="2">
      <c r="A83" s="93"/>
      <c r="B83" s="106" t="s">
        <v>486</v>
      </c>
      <c r="C83" s="95"/>
      <c r="D83" s="95">
        <v>-3971</v>
      </c>
      <c r="E83" s="95">
        <v>-4105</v>
      </c>
      <c r="F83" s="95">
        <v>-3215</v>
      </c>
      <c r="G83" s="95"/>
      <c r="H83" s="95"/>
      <c r="I83" s="95"/>
      <c r="J83" s="95"/>
      <c r="K83" s="95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</row>
    <row r="84" spans="1:43" s="96" customFormat="1" ht="12.75" outlineLevel="2">
      <c r="A84" s="93"/>
      <c r="B84" s="106" t="s">
        <v>487</v>
      </c>
      <c r="C84" s="95">
        <v>-936</v>
      </c>
      <c r="D84" s="95">
        <v>-1322</v>
      </c>
      <c r="E84" s="95"/>
      <c r="F84" s="95"/>
      <c r="G84" s="95"/>
      <c r="H84" s="95"/>
      <c r="I84" s="95"/>
      <c r="J84" s="95"/>
      <c r="K84" s="95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</row>
    <row r="85" spans="1:43" s="96" customFormat="1" ht="12.75" outlineLevel="2">
      <c r="A85" s="93"/>
      <c r="B85" s="106"/>
      <c r="C85" s="95"/>
      <c r="D85" s="95"/>
      <c r="E85" s="95"/>
      <c r="F85" s="95"/>
      <c r="G85" s="95"/>
      <c r="H85" s="95"/>
      <c r="I85" s="95"/>
      <c r="J85" s="95"/>
      <c r="K85" s="95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</row>
    <row r="86" spans="1:43" s="92" customFormat="1" ht="12.75" outlineLevel="1">
      <c r="A86" s="90"/>
      <c r="B86" s="105" t="s">
        <v>143</v>
      </c>
      <c r="C86" s="91">
        <f>SUM(C87:C99)</f>
        <v>-82959</v>
      </c>
      <c r="D86" s="91">
        <f>SUM(D87:D99)</f>
        <v>-105518</v>
      </c>
      <c r="E86" s="91">
        <f>SUM(E87:E99)</f>
        <v>-74332</v>
      </c>
      <c r="F86" s="91">
        <f>SUM(F87:F99)</f>
        <v>-232160</v>
      </c>
      <c r="G86" s="91"/>
      <c r="H86" s="91">
        <v>-230000</v>
      </c>
      <c r="I86" s="91">
        <v>-233000</v>
      </c>
      <c r="J86" s="91">
        <v>-233000</v>
      </c>
      <c r="K86" s="91">
        <v>-233000</v>
      </c>
      <c r="L86" s="91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</row>
    <row r="87" spans="1:43" s="96" customFormat="1" ht="12.75" outlineLevel="2">
      <c r="A87" s="93"/>
      <c r="B87" s="106" t="s">
        <v>488</v>
      </c>
      <c r="C87" s="95">
        <v>-4000</v>
      </c>
      <c r="D87" s="95">
        <v>-5000</v>
      </c>
      <c r="E87" s="95">
        <v>-4000</v>
      </c>
      <c r="F87" s="95">
        <v>-4000</v>
      </c>
      <c r="G87" s="95"/>
      <c r="H87" s="95"/>
      <c r="I87" s="95"/>
      <c r="J87" s="95"/>
      <c r="K87" s="95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</row>
    <row r="88" spans="1:43" s="96" customFormat="1" ht="12.75" outlineLevel="2">
      <c r="A88" s="93"/>
      <c r="B88" s="106" t="s">
        <v>850</v>
      </c>
      <c r="C88" s="95"/>
      <c r="D88" s="95"/>
      <c r="E88" s="95"/>
      <c r="F88" s="95">
        <v>-212</v>
      </c>
      <c r="G88" s="95"/>
      <c r="H88" s="95"/>
      <c r="I88" s="95"/>
      <c r="J88" s="95"/>
      <c r="K88" s="95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</row>
    <row r="89" spans="1:43" s="96" customFormat="1" ht="12.75" outlineLevel="2">
      <c r="A89" s="93"/>
      <c r="B89" s="106" t="s">
        <v>542</v>
      </c>
      <c r="C89" s="95">
        <v>-2749</v>
      </c>
      <c r="D89" s="95"/>
      <c r="E89" s="95"/>
      <c r="F89" s="95"/>
      <c r="G89" s="95"/>
      <c r="H89" s="95"/>
      <c r="I89" s="95"/>
      <c r="J89" s="95"/>
      <c r="K89" s="95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</row>
    <row r="90" spans="1:43" s="96" customFormat="1" ht="12.75" outlineLevel="2">
      <c r="A90" s="93"/>
      <c r="B90" s="106" t="s">
        <v>489</v>
      </c>
      <c r="C90" s="95"/>
      <c r="D90" s="95">
        <v>-11700</v>
      </c>
      <c r="E90" s="95">
        <v>-15600</v>
      </c>
      <c r="F90" s="95">
        <v>-2600</v>
      </c>
      <c r="G90" s="95"/>
      <c r="H90" s="95"/>
      <c r="I90" s="95"/>
      <c r="J90" s="95"/>
      <c r="K90" s="95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</row>
    <row r="91" spans="1:43" s="96" customFormat="1" ht="12.75" outlineLevel="2">
      <c r="A91" s="93"/>
      <c r="B91" s="106" t="s">
        <v>490</v>
      </c>
      <c r="C91" s="95"/>
      <c r="D91" s="95">
        <v>-20995</v>
      </c>
      <c r="E91" s="95">
        <v>-27300</v>
      </c>
      <c r="F91" s="95">
        <v>-46655</v>
      </c>
      <c r="G91" s="95"/>
      <c r="H91" s="95"/>
      <c r="I91" s="95"/>
      <c r="J91" s="95"/>
      <c r="K91" s="95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</row>
    <row r="92" spans="1:43" s="96" customFormat="1" ht="12.75" outlineLevel="2">
      <c r="A92" s="93"/>
      <c r="B92" s="106" t="s">
        <v>843</v>
      </c>
      <c r="C92" s="95"/>
      <c r="D92" s="95"/>
      <c r="E92" s="95"/>
      <c r="F92" s="95">
        <v>-66400</v>
      </c>
      <c r="G92" s="95"/>
      <c r="H92" s="95"/>
      <c r="I92" s="95"/>
      <c r="J92" s="95"/>
      <c r="K92" s="95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</row>
    <row r="93" spans="1:43" s="96" customFormat="1" ht="12.75" outlineLevel="2">
      <c r="A93" s="93"/>
      <c r="B93" s="106" t="s">
        <v>512</v>
      </c>
      <c r="C93" s="95"/>
      <c r="D93" s="95">
        <v>-2391</v>
      </c>
      <c r="E93" s="95">
        <v>-1098</v>
      </c>
      <c r="F93" s="95">
        <v>-1246</v>
      </c>
      <c r="G93" s="95"/>
      <c r="H93" s="95"/>
      <c r="I93" s="95"/>
      <c r="J93" s="95"/>
      <c r="K93" s="95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</row>
    <row r="94" spans="1:43" s="96" customFormat="1" ht="12.75" outlineLevel="2">
      <c r="A94" s="93"/>
      <c r="B94" s="106" t="s">
        <v>513</v>
      </c>
      <c r="C94" s="95">
        <v>-63683</v>
      </c>
      <c r="D94" s="95">
        <v>-44425</v>
      </c>
      <c r="E94" s="95">
        <v>-1413</v>
      </c>
      <c r="F94" s="95">
        <v>-14467</v>
      </c>
      <c r="G94" s="95"/>
      <c r="H94" s="95"/>
      <c r="I94" s="95"/>
      <c r="J94" s="95"/>
      <c r="K94" s="95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</row>
    <row r="95" spans="1:43" s="96" customFormat="1" ht="12.75" outlineLevel="2">
      <c r="A95" s="93"/>
      <c r="B95" s="106" t="s">
        <v>491</v>
      </c>
      <c r="C95" s="95">
        <v>-9484</v>
      </c>
      <c r="D95" s="95">
        <v>-12010</v>
      </c>
      <c r="E95" s="95">
        <v>-9342</v>
      </c>
      <c r="F95" s="95">
        <v>-10459</v>
      </c>
      <c r="G95" s="95"/>
      <c r="H95" s="95"/>
      <c r="I95" s="95"/>
      <c r="J95" s="95"/>
      <c r="K95" s="95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</row>
    <row r="96" spans="1:43" s="96" customFormat="1" ht="12.75" outlineLevel="2">
      <c r="A96" s="93"/>
      <c r="B96" s="106" t="s">
        <v>492</v>
      </c>
      <c r="C96" s="95"/>
      <c r="D96" s="95">
        <v>-1585</v>
      </c>
      <c r="E96" s="95">
        <v>-3991</v>
      </c>
      <c r="F96" s="95">
        <v>-785</v>
      </c>
      <c r="G96" s="95"/>
      <c r="H96" s="95"/>
      <c r="I96" s="95"/>
      <c r="J96" s="95"/>
      <c r="K96" s="95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</row>
    <row r="97" spans="1:43" s="96" customFormat="1" ht="12.75" outlineLevel="2">
      <c r="A97" s="93"/>
      <c r="B97" s="106" t="s">
        <v>493</v>
      </c>
      <c r="C97" s="95">
        <v>-41</v>
      </c>
      <c r="D97" s="95">
        <v>-315</v>
      </c>
      <c r="E97" s="95">
        <v>-44</v>
      </c>
      <c r="F97" s="95">
        <v>-288</v>
      </c>
      <c r="G97" s="95"/>
      <c r="H97" s="95"/>
      <c r="I97" s="95"/>
      <c r="J97" s="95"/>
      <c r="K97" s="95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</row>
    <row r="98" spans="1:43" s="96" customFormat="1" ht="12.75" outlineLevel="2">
      <c r="A98" s="93"/>
      <c r="B98" s="106" t="s">
        <v>144</v>
      </c>
      <c r="C98" s="95">
        <v>-3002</v>
      </c>
      <c r="D98" s="95">
        <v>-7097</v>
      </c>
      <c r="E98" s="95">
        <v>-11544</v>
      </c>
      <c r="F98" s="95">
        <v>-85048</v>
      </c>
      <c r="G98" s="95"/>
      <c r="H98" s="95"/>
      <c r="I98" s="95"/>
      <c r="J98" s="95"/>
      <c r="K98" s="95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</row>
    <row r="99" spans="1:43" s="96" customFormat="1" ht="12.75" outlineLevel="2">
      <c r="A99" s="93"/>
      <c r="B99" s="106"/>
      <c r="C99" s="95"/>
      <c r="D99" s="95"/>
      <c r="H99" s="95"/>
      <c r="I99" s="95"/>
      <c r="J99" s="95"/>
      <c r="K99" s="95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</row>
    <row r="100" spans="1:43" s="92" customFormat="1" ht="12.75" outlineLevel="1">
      <c r="A100" s="90"/>
      <c r="B100" s="105" t="s">
        <v>178</v>
      </c>
      <c r="C100" s="91">
        <f>SUM(C101:C104)</f>
        <v>-4367</v>
      </c>
      <c r="D100" s="91">
        <f>SUM(D101:D104)</f>
        <v>-3758</v>
      </c>
      <c r="E100" s="91">
        <f>SUM(E101:E104)</f>
        <v>-3257</v>
      </c>
      <c r="F100" s="91">
        <f>SUM(F101:F104)</f>
        <v>-1196</v>
      </c>
      <c r="G100" s="91"/>
      <c r="H100" s="91">
        <v>-3000</v>
      </c>
      <c r="I100" s="91">
        <v>-3000</v>
      </c>
      <c r="J100" s="91">
        <v>-3000</v>
      </c>
      <c r="K100" s="91">
        <v>-3000</v>
      </c>
      <c r="L100" s="91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</row>
    <row r="101" spans="1:43" s="96" customFormat="1" ht="12.75" outlineLevel="2">
      <c r="A101" s="93"/>
      <c r="B101" s="106" t="s">
        <v>494</v>
      </c>
      <c r="C101" s="95">
        <v>-1018</v>
      </c>
      <c r="D101" s="95">
        <v>-2290</v>
      </c>
      <c r="E101" s="95">
        <v>-1116</v>
      </c>
      <c r="F101" s="95">
        <v>-1196</v>
      </c>
      <c r="G101" s="95"/>
      <c r="H101" s="95"/>
      <c r="I101" s="95"/>
      <c r="J101" s="95"/>
      <c r="K101" s="95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</row>
    <row r="102" spans="1:43" s="96" customFormat="1" ht="12.75" outlineLevel="2">
      <c r="A102" s="93"/>
      <c r="B102" s="106" t="s">
        <v>495</v>
      </c>
      <c r="C102" s="95">
        <v>-3349</v>
      </c>
      <c r="D102" s="95">
        <v>-1168</v>
      </c>
      <c r="E102" s="95">
        <v>-641</v>
      </c>
      <c r="F102" s="95"/>
      <c r="G102" s="95"/>
      <c r="H102" s="95"/>
      <c r="I102" s="95"/>
      <c r="J102" s="95"/>
      <c r="K102" s="95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</row>
    <row r="103" spans="1:43" s="96" customFormat="1" ht="12.75" outlineLevel="2">
      <c r="A103" s="93"/>
      <c r="B103" s="106" t="s">
        <v>496</v>
      </c>
      <c r="C103" s="95"/>
      <c r="D103" s="95">
        <v>-300</v>
      </c>
      <c r="E103" s="95">
        <v>-1500</v>
      </c>
      <c r="F103" s="95"/>
      <c r="G103" s="95"/>
      <c r="H103" s="95"/>
      <c r="I103" s="95"/>
      <c r="J103" s="95"/>
      <c r="K103" s="95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</row>
    <row r="104" spans="1:43" s="96" customFormat="1" ht="12.75" outlineLevel="2">
      <c r="A104" s="93"/>
      <c r="B104" s="106"/>
      <c r="C104" s="95"/>
      <c r="D104" s="95"/>
      <c r="E104" s="95"/>
      <c r="F104" s="95"/>
      <c r="G104" s="95"/>
      <c r="H104" s="95"/>
      <c r="I104" s="95"/>
      <c r="J104" s="95"/>
      <c r="K104" s="95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</row>
    <row r="105" spans="1:43" s="92" customFormat="1" ht="12.75" outlineLevel="1">
      <c r="A105" s="90"/>
      <c r="B105" s="105" t="s">
        <v>191</v>
      </c>
      <c r="C105" s="91">
        <f>SUM(C106:C108)</f>
        <v>-8940</v>
      </c>
      <c r="D105" s="91">
        <f t="shared" ref="D105" si="16">SUM(D106:D108)</f>
        <v>-10568</v>
      </c>
      <c r="E105" s="91">
        <f>SUM(E106:E108)</f>
        <v>-7957</v>
      </c>
      <c r="F105" s="91">
        <f>SUM(F106:F108)</f>
        <v>-10084</v>
      </c>
      <c r="G105" s="91"/>
      <c r="H105" s="91">
        <v>-10000</v>
      </c>
      <c r="I105" s="91">
        <v>-10000</v>
      </c>
      <c r="J105" s="91">
        <v>-10000</v>
      </c>
      <c r="K105" s="91">
        <v>-10000</v>
      </c>
      <c r="L105" s="91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</row>
    <row r="106" spans="1:43" s="96" customFormat="1" ht="12.75" outlineLevel="2">
      <c r="A106" s="93"/>
      <c r="B106" s="106" t="s">
        <v>497</v>
      </c>
      <c r="C106" s="95">
        <v>-1670</v>
      </c>
      <c r="D106" s="95">
        <v>-1306</v>
      </c>
      <c r="E106" s="95">
        <v>-4170</v>
      </c>
      <c r="F106" s="95">
        <v>-7768</v>
      </c>
      <c r="G106" s="95"/>
      <c r="H106" s="95"/>
      <c r="I106" s="95"/>
      <c r="J106" s="95"/>
      <c r="K106" s="95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</row>
    <row r="107" spans="1:43" s="96" customFormat="1" ht="12.75" outlineLevel="2">
      <c r="A107" s="93"/>
      <c r="B107" s="106" t="s">
        <v>498</v>
      </c>
      <c r="C107" s="95">
        <v>-7270</v>
      </c>
      <c r="D107" s="95">
        <v>-9262</v>
      </c>
      <c r="E107" s="95">
        <v>-3787</v>
      </c>
      <c r="F107" s="95">
        <v>-2316</v>
      </c>
      <c r="G107" s="95"/>
      <c r="H107" s="95"/>
      <c r="I107" s="95"/>
      <c r="J107" s="95"/>
      <c r="K107" s="95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</row>
    <row r="108" spans="1:43" s="96" customFormat="1" ht="12.75" outlineLevel="2">
      <c r="A108" s="9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</row>
    <row r="109" spans="1:43" s="92" customFormat="1" ht="12.75" outlineLevel="1">
      <c r="A109" s="90"/>
      <c r="B109" s="105" t="s">
        <v>499</v>
      </c>
      <c r="C109" s="91">
        <f>SUM(C110:C118)</f>
        <v>-10922</v>
      </c>
      <c r="D109" s="91">
        <f t="shared" ref="D109" si="17">SUM(D110:D118)</f>
        <v>-12500</v>
      </c>
      <c r="E109" s="91">
        <f>SUM(E110:E118)</f>
        <v>-10964</v>
      </c>
      <c r="F109" s="91">
        <f>SUM(F110:F118)</f>
        <v>-12140</v>
      </c>
      <c r="G109" s="91"/>
      <c r="H109" s="91">
        <v>-12000</v>
      </c>
      <c r="I109" s="91">
        <v>-12000</v>
      </c>
      <c r="J109" s="91">
        <v>-12000</v>
      </c>
      <c r="K109" s="91">
        <v>-12000</v>
      </c>
      <c r="L109" s="91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</row>
    <row r="110" spans="1:43" s="96" customFormat="1" ht="12.75" outlineLevel="2">
      <c r="A110" s="93"/>
      <c r="B110" s="106" t="s">
        <v>500</v>
      </c>
      <c r="C110" s="95"/>
      <c r="D110" s="95">
        <v>-11549</v>
      </c>
      <c r="E110" s="95">
        <v>-92</v>
      </c>
      <c r="F110" s="95">
        <v>-22</v>
      </c>
      <c r="G110" s="95"/>
      <c r="H110" s="95"/>
      <c r="I110" s="95"/>
      <c r="J110" s="95"/>
      <c r="K110" s="95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</row>
    <row r="111" spans="1:43" s="96" customFormat="1" ht="12.75" outlineLevel="2">
      <c r="A111" s="93"/>
      <c r="B111" s="106" t="s">
        <v>501</v>
      </c>
      <c r="C111" s="95">
        <v>-9133</v>
      </c>
      <c r="D111" s="95"/>
      <c r="E111" s="95">
        <v>-1007</v>
      </c>
      <c r="F111" s="95"/>
      <c r="G111" s="95"/>
      <c r="H111" s="95"/>
      <c r="I111" s="95"/>
      <c r="J111" s="95"/>
      <c r="K111" s="95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</row>
    <row r="112" spans="1:43" s="96" customFormat="1" ht="12.75" outlineLevel="2">
      <c r="A112" s="93"/>
      <c r="B112" s="106" t="s">
        <v>543</v>
      </c>
      <c r="C112" s="95">
        <v>-534</v>
      </c>
      <c r="D112" s="95"/>
      <c r="E112" s="95"/>
      <c r="F112" s="95"/>
      <c r="G112" s="95"/>
      <c r="H112" s="95"/>
      <c r="I112" s="95"/>
      <c r="J112" s="95"/>
      <c r="K112" s="95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</row>
    <row r="113" spans="1:43" s="96" customFormat="1" ht="12.75" outlineLevel="2">
      <c r="A113" s="93"/>
      <c r="B113" s="106" t="s">
        <v>544</v>
      </c>
      <c r="C113" s="95">
        <v>-77</v>
      </c>
      <c r="D113" s="95"/>
      <c r="E113" s="95"/>
      <c r="F113" s="95"/>
      <c r="G113" s="95"/>
      <c r="H113" s="95"/>
      <c r="I113" s="95"/>
      <c r="J113" s="95"/>
      <c r="K113" s="95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</row>
    <row r="114" spans="1:43" s="96" customFormat="1" ht="12.75" outlineLevel="2">
      <c r="A114" s="93"/>
      <c r="B114" s="106" t="s">
        <v>502</v>
      </c>
      <c r="C114" s="95">
        <v>-504</v>
      </c>
      <c r="D114" s="95"/>
      <c r="E114" s="95">
        <v>-9306</v>
      </c>
      <c r="F114" s="95">
        <v>-9953</v>
      </c>
      <c r="G114" s="95"/>
      <c r="H114" s="95"/>
      <c r="I114" s="95"/>
      <c r="J114" s="95"/>
      <c r="K114" s="95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</row>
    <row r="115" spans="1:43" s="96" customFormat="1" ht="12.75" outlineLevel="2">
      <c r="A115" s="93"/>
      <c r="B115" s="106" t="s">
        <v>545</v>
      </c>
      <c r="C115" s="95"/>
      <c r="D115" s="95"/>
      <c r="E115" s="95">
        <v>-76</v>
      </c>
      <c r="F115" s="95">
        <v>-130</v>
      </c>
      <c r="G115" s="95"/>
      <c r="H115" s="95"/>
      <c r="I115" s="95"/>
      <c r="J115" s="95"/>
      <c r="K115" s="95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</row>
    <row r="116" spans="1:43" s="96" customFormat="1" ht="12.75" outlineLevel="2">
      <c r="A116" s="93"/>
      <c r="B116" s="106" t="s">
        <v>503</v>
      </c>
      <c r="C116" s="95">
        <v>-637</v>
      </c>
      <c r="D116" s="95">
        <v>-951</v>
      </c>
      <c r="E116" s="95">
        <v>-333</v>
      </c>
      <c r="F116" s="95">
        <v>-2035</v>
      </c>
      <c r="G116" s="95"/>
      <c r="H116" s="95"/>
      <c r="I116" s="95"/>
      <c r="J116" s="95"/>
      <c r="K116" s="95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</row>
    <row r="117" spans="1:43" s="96" customFormat="1" ht="12.75" outlineLevel="2">
      <c r="A117" s="93"/>
      <c r="B117" s="106" t="s">
        <v>504</v>
      </c>
      <c r="C117" s="95">
        <v>-37</v>
      </c>
      <c r="D117" s="95"/>
      <c r="E117" s="95">
        <v>-150</v>
      </c>
      <c r="F117" s="95"/>
      <c r="G117" s="95"/>
      <c r="H117" s="95"/>
      <c r="I117" s="95"/>
      <c r="J117" s="95"/>
      <c r="K117" s="95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</row>
    <row r="118" spans="1:43" s="96" customFormat="1" ht="12.75" outlineLevel="2">
      <c r="A118" s="93"/>
      <c r="B118" s="106"/>
      <c r="C118" s="95"/>
      <c r="D118" s="95"/>
      <c r="E118" s="95"/>
      <c r="F118" s="95"/>
      <c r="G118" s="95"/>
      <c r="H118" s="95"/>
      <c r="I118" s="95"/>
      <c r="J118" s="95"/>
      <c r="K118" s="95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</row>
    <row r="119" spans="1:43" s="92" customFormat="1" ht="12.75" outlineLevel="1">
      <c r="A119" s="90"/>
      <c r="B119" s="105" t="s">
        <v>180</v>
      </c>
      <c r="C119" s="91">
        <f>SUM(C120:C128)</f>
        <v>-14746</v>
      </c>
      <c r="D119" s="91">
        <f t="shared" ref="D119" si="18">SUM(D120:D128)</f>
        <v>-17715</v>
      </c>
      <c r="E119" s="91">
        <f>SUM(E120:E128)</f>
        <v>-10014</v>
      </c>
      <c r="F119" s="91">
        <f>SUM(F120:F128)</f>
        <v>-9642</v>
      </c>
      <c r="G119" s="91"/>
      <c r="H119" s="91">
        <v>-12000</v>
      </c>
      <c r="I119" s="91">
        <v>-12000</v>
      </c>
      <c r="J119" s="91">
        <v>-12000</v>
      </c>
      <c r="K119" s="91">
        <v>-12000</v>
      </c>
      <c r="L119" s="91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</row>
    <row r="120" spans="1:43" s="96" customFormat="1" ht="12.75" outlineLevel="2">
      <c r="A120" s="93"/>
      <c r="B120" s="106" t="s">
        <v>546</v>
      </c>
      <c r="C120" s="95">
        <v>-899</v>
      </c>
      <c r="D120" s="95">
        <v>-63</v>
      </c>
      <c r="E120" s="95">
        <v>-31</v>
      </c>
      <c r="F120" s="95">
        <v>-79</v>
      </c>
      <c r="G120" s="95"/>
      <c r="H120" s="95"/>
      <c r="I120" s="95"/>
      <c r="J120" s="95"/>
      <c r="K120" s="95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</row>
    <row r="121" spans="1:43" s="96" customFormat="1" ht="12.75" outlineLevel="2">
      <c r="A121" s="93"/>
      <c r="B121" s="106" t="s">
        <v>505</v>
      </c>
      <c r="C121" s="95">
        <v>-2382</v>
      </c>
      <c r="D121" s="95">
        <v>-3275</v>
      </c>
      <c r="E121" s="95">
        <v>-2107</v>
      </c>
      <c r="F121" s="95">
        <v>-2707</v>
      </c>
      <c r="G121" s="95"/>
      <c r="H121" s="95"/>
      <c r="I121" s="95"/>
      <c r="J121" s="95"/>
      <c r="K121" s="95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</row>
    <row r="122" spans="1:43" s="96" customFormat="1" ht="12.75" outlineLevel="2">
      <c r="A122" s="93"/>
      <c r="B122" s="106" t="s">
        <v>506</v>
      </c>
      <c r="C122" s="95">
        <v>-607</v>
      </c>
      <c r="D122" s="95">
        <v>-892</v>
      </c>
      <c r="E122" s="95">
        <v>-383</v>
      </c>
      <c r="F122" s="95">
        <v>-810</v>
      </c>
      <c r="G122" s="95"/>
      <c r="H122" s="95"/>
      <c r="I122" s="95"/>
      <c r="J122" s="95"/>
      <c r="K122" s="95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</row>
    <row r="123" spans="1:43" s="96" customFormat="1" ht="12.75" outlineLevel="2">
      <c r="A123" s="93"/>
      <c r="B123" s="106" t="s">
        <v>507</v>
      </c>
      <c r="C123" s="95"/>
      <c r="D123" s="95">
        <v>-1821</v>
      </c>
      <c r="E123" s="95">
        <v>-2844</v>
      </c>
      <c r="F123" s="95">
        <v>-2689</v>
      </c>
      <c r="G123" s="95"/>
      <c r="H123" s="95"/>
      <c r="I123" s="95"/>
      <c r="J123" s="95"/>
      <c r="K123" s="95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</row>
    <row r="124" spans="1:43" s="96" customFormat="1" ht="12.75" outlineLevel="2">
      <c r="A124" s="93"/>
      <c r="B124" s="106" t="s">
        <v>508</v>
      </c>
      <c r="C124" s="95">
        <v>-3163</v>
      </c>
      <c r="D124" s="95">
        <v>-4555</v>
      </c>
      <c r="E124" s="95">
        <v>-1040</v>
      </c>
      <c r="F124" s="95">
        <v>-132</v>
      </c>
      <c r="G124" s="95"/>
      <c r="H124" s="95"/>
      <c r="I124" s="95"/>
      <c r="J124" s="95"/>
      <c r="K124" s="95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</row>
    <row r="125" spans="1:43" s="96" customFormat="1" ht="12.75" outlineLevel="2">
      <c r="A125" s="93"/>
      <c r="B125" s="106" t="s">
        <v>509</v>
      </c>
      <c r="C125" s="95">
        <v>-308</v>
      </c>
      <c r="D125" s="95">
        <v>-557</v>
      </c>
      <c r="E125" s="95">
        <v>-83</v>
      </c>
      <c r="F125" s="95"/>
      <c r="G125" s="95"/>
      <c r="H125" s="95"/>
      <c r="I125" s="95"/>
      <c r="J125" s="95"/>
      <c r="K125" s="95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</row>
    <row r="126" spans="1:43" s="96" customFormat="1" ht="12.75" outlineLevel="2">
      <c r="A126" s="93"/>
      <c r="B126" s="106" t="s">
        <v>510</v>
      </c>
      <c r="C126" s="95">
        <v>-3887</v>
      </c>
      <c r="D126" s="95">
        <v>-6552</v>
      </c>
      <c r="E126" s="95">
        <v>-3526</v>
      </c>
      <c r="F126" s="95">
        <v>-3225</v>
      </c>
      <c r="G126" s="95"/>
      <c r="H126" s="95"/>
      <c r="I126" s="95"/>
      <c r="J126" s="95"/>
      <c r="K126" s="95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</row>
    <row r="127" spans="1:43" s="96" customFormat="1" ht="12.75" outlineLevel="2">
      <c r="A127" s="93"/>
      <c r="B127" s="106" t="s">
        <v>547</v>
      </c>
      <c r="C127" s="95">
        <v>-3500</v>
      </c>
      <c r="D127" s="95"/>
      <c r="E127" s="95"/>
      <c r="F127" s="95"/>
      <c r="G127" s="95"/>
      <c r="H127" s="95"/>
      <c r="I127" s="95"/>
      <c r="J127" s="95"/>
      <c r="K127" s="95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</row>
    <row r="128" spans="1:43" s="96" customFormat="1" ht="12.75" outlineLevel="1">
      <c r="A128" s="93"/>
      <c r="B128" s="106"/>
      <c r="C128" s="95"/>
      <c r="D128" s="95"/>
      <c r="E128" s="95"/>
      <c r="F128" s="95"/>
      <c r="G128" s="95"/>
      <c r="H128" s="95"/>
      <c r="I128" s="95"/>
      <c r="J128" s="95"/>
      <c r="K128" s="95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</row>
    <row r="129" spans="1:42" ht="15.75">
      <c r="A129" s="83"/>
      <c r="B129" s="100" t="s">
        <v>181</v>
      </c>
      <c r="C129" s="110">
        <f t="shared" ref="C129:K129" si="19">C35+C37</f>
        <v>476357</v>
      </c>
      <c r="D129" s="110">
        <f t="shared" si="19"/>
        <v>705716</v>
      </c>
      <c r="E129" s="110">
        <f t="shared" si="19"/>
        <v>585761</v>
      </c>
      <c r="F129" s="110">
        <f t="shared" si="19"/>
        <v>523734</v>
      </c>
      <c r="G129" s="277"/>
      <c r="H129" s="110">
        <f t="shared" si="19"/>
        <v>518316.35</v>
      </c>
      <c r="I129" s="110">
        <f t="shared" si="19"/>
        <v>496049.6957142856</v>
      </c>
      <c r="J129" s="110">
        <f t="shared" si="19"/>
        <v>514245.49571428564</v>
      </c>
      <c r="K129" s="110">
        <f t="shared" si="19"/>
        <v>532824.93571428559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</row>
    <row r="130" spans="1:42" ht="16.5" thickBot="1">
      <c r="A130" s="83"/>
      <c r="B130" s="101" t="s">
        <v>106</v>
      </c>
      <c r="C130" s="102">
        <f>C129/C20</f>
        <v>0.48398164686470657</v>
      </c>
      <c r="D130" s="102">
        <f t="shared" ref="D130:K130" si="20">D129/D20</f>
        <v>0.40881211405002721</v>
      </c>
      <c r="E130" s="102">
        <f t="shared" si="20"/>
        <v>0.45173522450606968</v>
      </c>
      <c r="F130" s="102">
        <f t="shared" si="20"/>
        <v>0.38407902552782686</v>
      </c>
      <c r="G130" s="276"/>
      <c r="H130" s="102">
        <f t="shared" si="20"/>
        <v>0.38007673890805627</v>
      </c>
      <c r="I130" s="102">
        <f t="shared" si="20"/>
        <v>0.35661654816413763</v>
      </c>
      <c r="J130" s="102">
        <f t="shared" si="20"/>
        <v>0.3624487127684457</v>
      </c>
      <c r="K130" s="102">
        <f t="shared" si="20"/>
        <v>0.36818025042706054</v>
      </c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</row>
    <row r="131" spans="1:42" ht="15.75">
      <c r="A131" s="107"/>
      <c r="B131" s="83" t="s">
        <v>262</v>
      </c>
      <c r="C131" s="104">
        <f>C132</f>
        <v>1250</v>
      </c>
      <c r="D131" s="104">
        <f>D132</f>
        <v>0</v>
      </c>
      <c r="E131" s="104">
        <f>E132</f>
        <v>0</v>
      </c>
      <c r="F131" s="104">
        <f>F132</f>
        <v>0</v>
      </c>
      <c r="G131" s="104"/>
      <c r="H131" s="104">
        <f t="shared" ref="H131:K131" si="21">H132</f>
        <v>0</v>
      </c>
      <c r="I131" s="104">
        <f t="shared" si="21"/>
        <v>0</v>
      </c>
      <c r="J131" s="104">
        <f t="shared" si="21"/>
        <v>0</v>
      </c>
      <c r="K131" s="104">
        <f t="shared" si="21"/>
        <v>0</v>
      </c>
      <c r="L131" s="108"/>
      <c r="M131" s="108"/>
      <c r="N131" s="109"/>
      <c r="O131" s="109"/>
      <c r="P131" s="109"/>
      <c r="Q131" s="109"/>
      <c r="R131" s="109"/>
      <c r="S131" s="109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</row>
    <row r="132" spans="1:42" s="96" customFormat="1" ht="12.75" outlineLevel="1">
      <c r="A132" s="93"/>
      <c r="B132" s="106" t="s">
        <v>538</v>
      </c>
      <c r="C132" s="95">
        <v>1250</v>
      </c>
      <c r="D132" s="95"/>
      <c r="E132" s="95"/>
      <c r="F132" s="95"/>
      <c r="G132" s="95"/>
      <c r="H132" s="95"/>
      <c r="I132" s="95"/>
      <c r="J132" s="95"/>
      <c r="K132" s="95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</row>
    <row r="133" spans="1:42" s="96" customFormat="1" ht="12.75" outlineLevel="1">
      <c r="A133" s="93"/>
      <c r="B133" s="106"/>
      <c r="C133" s="95"/>
      <c r="D133" s="95"/>
      <c r="E133" s="95"/>
      <c r="F133" s="95"/>
      <c r="G133" s="95"/>
      <c r="H133" s="95"/>
      <c r="I133" s="95"/>
      <c r="J133" s="95"/>
      <c r="K133" s="95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</row>
    <row r="134" spans="1:42" ht="15.75">
      <c r="A134" s="107"/>
      <c r="B134" s="97" t="s">
        <v>22</v>
      </c>
      <c r="C134" s="104">
        <f>SUM(C135:C142)</f>
        <v>-10004</v>
      </c>
      <c r="D134" s="104">
        <f>SUM(D135:D142)</f>
        <v>-15082</v>
      </c>
      <c r="E134" s="104">
        <f>SUM(E135:E142)</f>
        <v>-10508</v>
      </c>
      <c r="F134" s="104">
        <f>SUM(F135:F142)</f>
        <v>-8332</v>
      </c>
      <c r="G134" s="104"/>
      <c r="H134" s="104">
        <v>-10000</v>
      </c>
      <c r="I134" s="104">
        <v>-10000</v>
      </c>
      <c r="J134" s="104">
        <v>-10000</v>
      </c>
      <c r="K134" s="104">
        <v>-10000</v>
      </c>
      <c r="L134" s="108"/>
      <c r="M134" s="108"/>
      <c r="N134" s="109"/>
      <c r="O134" s="109"/>
      <c r="P134" s="109"/>
      <c r="Q134" s="109"/>
      <c r="R134" s="109"/>
      <c r="S134" s="109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</row>
    <row r="135" spans="1:42" s="96" customFormat="1" ht="12.75" outlineLevel="1">
      <c r="A135" s="93"/>
      <c r="B135" s="106" t="s">
        <v>381</v>
      </c>
      <c r="C135" s="95">
        <v>-4143</v>
      </c>
      <c r="D135" s="95">
        <v>-5736</v>
      </c>
      <c r="E135" s="95">
        <v>-5199</v>
      </c>
      <c r="F135" s="95">
        <v>-3247</v>
      </c>
      <c r="G135" s="95"/>
      <c r="H135" s="95"/>
      <c r="I135" s="95"/>
      <c r="J135" s="95"/>
      <c r="K135" s="95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</row>
    <row r="136" spans="1:42" s="96" customFormat="1" ht="12.75" outlineLevel="1">
      <c r="A136" s="93"/>
      <c r="B136" s="106" t="s">
        <v>126</v>
      </c>
      <c r="C136" s="95">
        <v>-2578</v>
      </c>
      <c r="D136" s="95">
        <v>-3833</v>
      </c>
      <c r="E136" s="95">
        <v>-2023</v>
      </c>
      <c r="F136" s="95">
        <v>-2058</v>
      </c>
      <c r="G136" s="95"/>
      <c r="H136" s="95"/>
      <c r="I136" s="95"/>
      <c r="J136" s="95"/>
      <c r="K136" s="95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</row>
    <row r="137" spans="1:42" s="96" customFormat="1" ht="12.75" outlineLevel="1">
      <c r="A137" s="93"/>
      <c r="B137" s="106" t="s">
        <v>514</v>
      </c>
      <c r="C137" s="95">
        <v>-2888</v>
      </c>
      <c r="D137" s="95">
        <v>-4407</v>
      </c>
      <c r="E137" s="95">
        <v>-2823</v>
      </c>
      <c r="F137" s="95">
        <v>-2837</v>
      </c>
      <c r="G137" s="95"/>
      <c r="H137" s="95"/>
      <c r="I137" s="95"/>
      <c r="J137" s="95"/>
      <c r="K137" s="95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</row>
    <row r="138" spans="1:42" s="96" customFormat="1" ht="12.75" outlineLevel="1">
      <c r="A138" s="93"/>
      <c r="B138" s="106" t="s">
        <v>382</v>
      </c>
      <c r="C138" s="95">
        <v>-257</v>
      </c>
      <c r="D138" s="95">
        <v>-260</v>
      </c>
      <c r="E138" s="95">
        <v>-68</v>
      </c>
      <c r="F138" s="95">
        <v>-66</v>
      </c>
      <c r="G138" s="95"/>
      <c r="H138" s="95"/>
      <c r="I138" s="95"/>
      <c r="J138" s="95"/>
      <c r="K138" s="95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</row>
    <row r="139" spans="1:42" s="96" customFormat="1" ht="12.75" outlineLevel="1">
      <c r="A139" s="93"/>
      <c r="B139" s="106" t="s">
        <v>384</v>
      </c>
      <c r="C139" s="95"/>
      <c r="D139" s="95"/>
      <c r="E139" s="95">
        <v>-271</v>
      </c>
      <c r="F139" s="95"/>
      <c r="G139" s="95"/>
      <c r="H139" s="95"/>
      <c r="I139" s="95"/>
      <c r="J139" s="95"/>
      <c r="K139" s="95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</row>
    <row r="140" spans="1:42" s="96" customFormat="1" ht="12.75" outlineLevel="1">
      <c r="A140" s="93"/>
      <c r="B140" s="106" t="s">
        <v>515</v>
      </c>
      <c r="C140" s="95">
        <v>-138</v>
      </c>
      <c r="D140" s="95">
        <v>-124</v>
      </c>
      <c r="E140" s="95">
        <v>-124</v>
      </c>
      <c r="F140" s="95">
        <v>-124</v>
      </c>
      <c r="G140" s="95"/>
      <c r="H140" s="95"/>
      <c r="I140" s="95"/>
      <c r="J140" s="95"/>
      <c r="K140" s="95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</row>
    <row r="141" spans="1:42" s="96" customFormat="1" ht="12.75" outlineLevel="1">
      <c r="A141" s="93"/>
      <c r="B141" s="106" t="s">
        <v>384</v>
      </c>
      <c r="C141" s="95"/>
      <c r="D141" s="95">
        <v>-722</v>
      </c>
      <c r="E141" s="95"/>
      <c r="F141" s="95"/>
      <c r="G141" s="95"/>
      <c r="H141" s="95"/>
      <c r="I141" s="95"/>
      <c r="J141" s="95"/>
      <c r="K141" s="95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</row>
    <row r="142" spans="1:42" s="96" customFormat="1" ht="12.75" outlineLevel="1">
      <c r="A142" s="93"/>
      <c r="B142" s="106"/>
      <c r="C142" s="95"/>
      <c r="D142" s="95"/>
      <c r="E142" s="95"/>
      <c r="F142" s="95"/>
      <c r="G142" s="95"/>
      <c r="H142" s="95"/>
      <c r="I142" s="95"/>
      <c r="J142" s="95"/>
      <c r="K142" s="95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</row>
    <row r="143" spans="1:42" ht="15.75">
      <c r="A143" s="107"/>
      <c r="B143" s="97" t="s">
        <v>21</v>
      </c>
      <c r="C143" s="104">
        <f>C145+C160</f>
        <v>-465881</v>
      </c>
      <c r="D143" s="104">
        <f>D145+D160</f>
        <v>-544706</v>
      </c>
      <c r="E143" s="104">
        <f>E145+E160</f>
        <v>-402576</v>
      </c>
      <c r="F143" s="104">
        <f>F145+F160</f>
        <v>-399167</v>
      </c>
      <c r="G143" s="104"/>
      <c r="H143" s="104">
        <v>-410000</v>
      </c>
      <c r="I143" s="104">
        <f>H143</f>
        <v>-410000</v>
      </c>
      <c r="J143" s="104">
        <f>I143</f>
        <v>-410000</v>
      </c>
      <c r="K143" s="104">
        <f>J143</f>
        <v>-410000</v>
      </c>
      <c r="L143" s="108"/>
      <c r="M143" s="108"/>
      <c r="N143" s="109"/>
      <c r="O143" s="109"/>
      <c r="P143" s="109"/>
      <c r="Q143" s="109"/>
      <c r="R143" s="109"/>
      <c r="S143" s="109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</row>
    <row r="144" spans="1:42" s="96" customFormat="1" ht="12.75" outlineLevel="1">
      <c r="A144" s="93"/>
      <c r="B144" s="106"/>
      <c r="C144" s="95"/>
      <c r="D144" s="95"/>
      <c r="E144" s="95"/>
      <c r="F144" s="95"/>
      <c r="G144" s="95"/>
      <c r="H144" s="95"/>
      <c r="I144" s="95"/>
      <c r="J144" s="95"/>
      <c r="K144" s="95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</row>
    <row r="145" spans="1:42" s="96" customFormat="1" ht="12.75" outlineLevel="1">
      <c r="A145" s="93"/>
      <c r="B145" s="105" t="s">
        <v>182</v>
      </c>
      <c r="C145" s="91">
        <f>SUM(C146:C159)</f>
        <v>-395458</v>
      </c>
      <c r="D145" s="91">
        <f>SUM(D146:D159)</f>
        <v>-440357</v>
      </c>
      <c r="E145" s="91">
        <f>SUM(E146:E159)</f>
        <v>-317242</v>
      </c>
      <c r="F145" s="91">
        <f>SUM(F146:F159)</f>
        <v>-315916</v>
      </c>
      <c r="G145" s="91"/>
      <c r="H145" s="95"/>
      <c r="I145" s="95"/>
      <c r="J145" s="95"/>
      <c r="K145" s="95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</row>
    <row r="146" spans="1:42" s="96" customFormat="1" ht="12.75" outlineLevel="1">
      <c r="A146" s="93"/>
      <c r="B146" s="106" t="s">
        <v>516</v>
      </c>
      <c r="C146" s="95">
        <v>-93165</v>
      </c>
      <c r="D146" s="95">
        <v>-174258</v>
      </c>
      <c r="E146" s="95">
        <v>-158569</v>
      </c>
      <c r="F146" s="95">
        <v>-109056</v>
      </c>
      <c r="G146" s="95"/>
      <c r="H146" s="95"/>
      <c r="I146" s="95"/>
      <c r="J146" s="95"/>
      <c r="K146" s="95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</row>
    <row r="147" spans="1:42" s="96" customFormat="1" ht="12.75" outlineLevel="1">
      <c r="A147" s="93"/>
      <c r="B147" s="106" t="s">
        <v>517</v>
      </c>
      <c r="C147" s="95">
        <v>-116599</v>
      </c>
      <c r="D147" s="95">
        <v>-178838</v>
      </c>
      <c r="E147" s="95">
        <v>-85638</v>
      </c>
      <c r="F147" s="95">
        <v>-116156</v>
      </c>
      <c r="G147" s="95"/>
      <c r="H147" s="95"/>
      <c r="I147" s="95"/>
      <c r="J147" s="95"/>
      <c r="K147" s="95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</row>
    <row r="148" spans="1:42" s="96" customFormat="1" ht="12.75" outlineLevel="1">
      <c r="A148" s="93"/>
      <c r="B148" s="106" t="s">
        <v>385</v>
      </c>
      <c r="C148" s="95">
        <v>-31263</v>
      </c>
      <c r="D148" s="95">
        <v>-51316</v>
      </c>
      <c r="E148" s="95">
        <v>-53284</v>
      </c>
      <c r="F148" s="95">
        <v>-77411</v>
      </c>
      <c r="G148" s="95"/>
      <c r="H148" s="95"/>
      <c r="I148" s="95"/>
      <c r="J148" s="95"/>
      <c r="K148" s="95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</row>
    <row r="149" spans="1:42" s="96" customFormat="1" ht="12.75" outlineLevel="1">
      <c r="A149" s="93"/>
      <c r="B149" s="106" t="s">
        <v>518</v>
      </c>
      <c r="C149" s="95"/>
      <c r="D149" s="95">
        <v>-286</v>
      </c>
      <c r="E149" s="95"/>
      <c r="F149" s="95"/>
      <c r="G149" s="95"/>
      <c r="H149" s="95"/>
      <c r="I149" s="95"/>
      <c r="J149" s="95"/>
      <c r="K149" s="95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</row>
    <row r="150" spans="1:42" s="96" customFormat="1" ht="12.75" outlineLevel="1">
      <c r="A150" s="93"/>
      <c r="B150" s="106" t="s">
        <v>548</v>
      </c>
      <c r="C150" s="95">
        <v>-61000</v>
      </c>
      <c r="D150" s="95"/>
      <c r="E150" s="95"/>
      <c r="F150" s="95"/>
      <c r="G150" s="95"/>
      <c r="H150" s="95"/>
      <c r="I150" s="95"/>
      <c r="J150" s="95"/>
      <c r="K150" s="95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</row>
    <row r="151" spans="1:42" s="96" customFormat="1" ht="12.75" outlineLevel="1">
      <c r="A151" s="93"/>
      <c r="B151" s="106" t="s">
        <v>519</v>
      </c>
      <c r="C151" s="95">
        <v>-55113</v>
      </c>
      <c r="D151" s="95">
        <v>-18202</v>
      </c>
      <c r="E151" s="95"/>
      <c r="F151" s="95"/>
      <c r="G151" s="95"/>
      <c r="H151" s="95"/>
      <c r="I151" s="95"/>
      <c r="J151" s="95"/>
      <c r="K151" s="95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</row>
    <row r="152" spans="1:42" s="96" customFormat="1" ht="12.75" outlineLevel="1">
      <c r="A152" s="93"/>
      <c r="B152" s="106" t="s">
        <v>520</v>
      </c>
      <c r="C152" s="95">
        <v>-18585</v>
      </c>
      <c r="D152" s="95">
        <v>-10010</v>
      </c>
      <c r="E152" s="95"/>
      <c r="F152" s="95"/>
      <c r="G152" s="95"/>
      <c r="H152" s="95"/>
      <c r="I152" s="95"/>
      <c r="J152" s="95"/>
      <c r="K152" s="95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</row>
    <row r="153" spans="1:42" s="96" customFormat="1" ht="12.75" outlineLevel="1">
      <c r="A153" s="93"/>
      <c r="B153" s="106" t="s">
        <v>524</v>
      </c>
      <c r="C153" s="95">
        <v>581</v>
      </c>
      <c r="D153" s="95">
        <v>8935</v>
      </c>
      <c r="E153" s="95">
        <v>-65</v>
      </c>
      <c r="F153" s="95">
        <v>1906</v>
      </c>
      <c r="G153" s="95"/>
      <c r="H153" s="95"/>
      <c r="I153" s="95"/>
      <c r="J153" s="95"/>
      <c r="K153" s="95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</row>
    <row r="154" spans="1:42" s="96" customFormat="1" ht="12.75" outlineLevel="1">
      <c r="A154" s="93"/>
      <c r="B154" s="106" t="s">
        <v>521</v>
      </c>
      <c r="C154" s="95">
        <v>-3684</v>
      </c>
      <c r="D154" s="95">
        <v>-168</v>
      </c>
      <c r="E154" s="95"/>
      <c r="F154" s="95">
        <v>-43</v>
      </c>
      <c r="G154" s="95"/>
      <c r="H154" s="95"/>
      <c r="I154" s="95"/>
      <c r="J154" s="95"/>
      <c r="K154" s="95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</row>
    <row r="155" spans="1:42" s="96" customFormat="1" ht="12.75" outlineLevel="1">
      <c r="A155" s="93"/>
      <c r="B155" s="106" t="s">
        <v>440</v>
      </c>
      <c r="C155" s="95">
        <v>-8963</v>
      </c>
      <c r="D155" s="95"/>
      <c r="E155" s="95"/>
      <c r="F155" s="95">
        <v>-154</v>
      </c>
      <c r="G155" s="95"/>
      <c r="H155" s="95"/>
      <c r="I155" s="95"/>
      <c r="J155" s="95"/>
      <c r="K155" s="95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</row>
    <row r="156" spans="1:42" s="96" customFormat="1" ht="12.75" outlineLevel="1">
      <c r="A156" s="93"/>
      <c r="B156" s="106" t="s">
        <v>549</v>
      </c>
      <c r="C156" s="95">
        <v>-2700</v>
      </c>
      <c r="D156" s="95"/>
      <c r="E156" s="95"/>
      <c r="F156" s="95">
        <v>-2086</v>
      </c>
      <c r="G156" s="95"/>
      <c r="H156" s="95"/>
      <c r="I156" s="95"/>
      <c r="J156" s="95"/>
      <c r="K156" s="95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</row>
    <row r="157" spans="1:42" s="96" customFormat="1" ht="12.75" outlineLevel="1">
      <c r="A157" s="93"/>
      <c r="B157" s="106" t="s">
        <v>522</v>
      </c>
      <c r="C157" s="95">
        <v>-4967</v>
      </c>
      <c r="D157" s="95"/>
      <c r="E157" s="95">
        <v>-500</v>
      </c>
      <c r="F157" s="95"/>
      <c r="G157" s="95"/>
      <c r="H157" s="95"/>
      <c r="I157" s="95"/>
      <c r="J157" s="95"/>
      <c r="K157" s="95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</row>
    <row r="158" spans="1:42" s="96" customFormat="1" ht="12.75" outlineLevel="1">
      <c r="A158" s="93"/>
      <c r="B158" s="106" t="s">
        <v>392</v>
      </c>
      <c r="C158" s="95"/>
      <c r="D158" s="95">
        <v>-16214</v>
      </c>
      <c r="E158" s="95">
        <v>-19186</v>
      </c>
      <c r="F158" s="95">
        <v>-12916</v>
      </c>
      <c r="G158" s="95"/>
      <c r="H158" s="95"/>
      <c r="I158" s="95"/>
      <c r="J158" s="95"/>
      <c r="K158" s="95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</row>
    <row r="159" spans="1:42" s="96" customFormat="1" ht="12.75" outlineLevel="1">
      <c r="A159" s="93"/>
      <c r="B159" s="106"/>
      <c r="C159" s="95"/>
      <c r="D159" s="95"/>
      <c r="E159" s="95"/>
      <c r="F159" s="95"/>
      <c r="G159" s="95"/>
      <c r="H159" s="95"/>
      <c r="I159" s="95"/>
      <c r="J159" s="95"/>
      <c r="K159" s="95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</row>
    <row r="160" spans="1:42" s="96" customFormat="1" ht="12.75" outlineLevel="1">
      <c r="A160" s="93"/>
      <c r="B160" s="105" t="s">
        <v>19</v>
      </c>
      <c r="C160" s="91">
        <f>SUM(C161:C168)</f>
        <v>-70423</v>
      </c>
      <c r="D160" s="91">
        <f>SUM(D161:D168)</f>
        <v>-104349</v>
      </c>
      <c r="E160" s="91">
        <f>SUM(E161:E168)</f>
        <v>-85334</v>
      </c>
      <c r="F160" s="91">
        <f>SUM(F161:F168)</f>
        <v>-83251</v>
      </c>
      <c r="G160" s="91"/>
      <c r="H160" s="95"/>
      <c r="I160" s="95"/>
      <c r="J160" s="95"/>
      <c r="K160" s="95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</row>
    <row r="161" spans="1:42" s="96" customFormat="1" ht="12.75" outlineLevel="1">
      <c r="A161" s="93"/>
      <c r="B161" s="106" t="s">
        <v>396</v>
      </c>
      <c r="C161" s="95">
        <v>-48929</v>
      </c>
      <c r="D161" s="95">
        <v>-77834</v>
      </c>
      <c r="E161" s="95">
        <v>-59827</v>
      </c>
      <c r="F161" s="95">
        <v>-61755</v>
      </c>
      <c r="G161" s="95"/>
      <c r="H161" s="95"/>
      <c r="I161" s="95"/>
      <c r="J161" s="95"/>
      <c r="K161" s="95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</row>
    <row r="162" spans="1:42" s="96" customFormat="1" ht="12.75" outlineLevel="1">
      <c r="A162" s="93"/>
      <c r="B162" s="106" t="s">
        <v>404</v>
      </c>
      <c r="C162" s="95">
        <v>-8052</v>
      </c>
      <c r="D162" s="95">
        <v>-12763</v>
      </c>
      <c r="E162" s="95">
        <v>-9870</v>
      </c>
      <c r="F162" s="95">
        <v>-10544</v>
      </c>
      <c r="G162" s="95"/>
      <c r="H162" s="95"/>
      <c r="I162" s="95"/>
      <c r="J162" s="95"/>
      <c r="K162" s="95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</row>
    <row r="163" spans="1:42" s="96" customFormat="1" ht="12.75" outlineLevel="1">
      <c r="A163" s="93"/>
      <c r="B163" s="106" t="s">
        <v>405</v>
      </c>
      <c r="C163" s="95">
        <v>1335</v>
      </c>
      <c r="D163" s="95">
        <v>3008</v>
      </c>
      <c r="E163" s="95">
        <v>-798</v>
      </c>
      <c r="F163" s="95">
        <v>1134</v>
      </c>
      <c r="G163" s="95"/>
      <c r="H163" s="95"/>
      <c r="I163" s="95"/>
      <c r="J163" s="95"/>
      <c r="K163" s="95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</row>
    <row r="164" spans="1:42" s="96" customFormat="1" ht="12.75" outlineLevel="1">
      <c r="A164" s="93"/>
      <c r="B164" s="106" t="s">
        <v>523</v>
      </c>
      <c r="C164" s="95">
        <v>-8395</v>
      </c>
      <c r="D164" s="95">
        <v>-12306</v>
      </c>
      <c r="E164" s="95">
        <v>-9629</v>
      </c>
      <c r="F164" s="95">
        <v>-10200</v>
      </c>
      <c r="G164" s="95"/>
      <c r="H164" s="95"/>
      <c r="I164" s="95"/>
      <c r="J164" s="95"/>
      <c r="K164" s="95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</row>
    <row r="165" spans="1:42" s="96" customFormat="1" ht="12.75" outlineLevel="1">
      <c r="A165" s="93"/>
      <c r="B165" s="106" t="s">
        <v>408</v>
      </c>
      <c r="C165" s="95">
        <v>-1202</v>
      </c>
      <c r="D165" s="95">
        <v>-1106</v>
      </c>
      <c r="E165" s="95">
        <v>-1610</v>
      </c>
      <c r="F165" s="95">
        <v>-1886</v>
      </c>
      <c r="G165" s="95"/>
      <c r="H165" s="95"/>
      <c r="I165" s="95"/>
      <c r="J165" s="95"/>
      <c r="K165" s="95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</row>
    <row r="166" spans="1:42" s="96" customFormat="1" ht="12.75" outlineLevel="1">
      <c r="A166" s="93"/>
      <c r="B166" s="106" t="s">
        <v>527</v>
      </c>
      <c r="C166" s="95">
        <v>-5180</v>
      </c>
      <c r="D166" s="95">
        <v>-1192</v>
      </c>
      <c r="E166" s="95">
        <v>-3600</v>
      </c>
      <c r="F166" s="95"/>
      <c r="G166" s="95"/>
      <c r="H166" s="95"/>
      <c r="I166" s="95"/>
      <c r="J166" s="95"/>
      <c r="K166" s="95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</row>
    <row r="167" spans="1:42" s="96" customFormat="1" ht="12.75" outlineLevel="1">
      <c r="A167" s="93"/>
      <c r="B167" s="106" t="s">
        <v>528</v>
      </c>
      <c r="C167" s="95"/>
      <c r="D167" s="95">
        <v>-2156</v>
      </c>
      <c r="E167" s="95"/>
      <c r="F167" s="95"/>
      <c r="G167" s="95"/>
      <c r="H167" s="95"/>
      <c r="I167" s="95"/>
      <c r="J167" s="95"/>
      <c r="K167" s="95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</row>
    <row r="168" spans="1:42" s="96" customFormat="1" ht="12.75" outlineLevel="1">
      <c r="A168" s="9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</row>
    <row r="169" spans="1:42" ht="15.75">
      <c r="A169" s="83"/>
      <c r="B169" s="97" t="s">
        <v>20</v>
      </c>
      <c r="C169" s="89"/>
      <c r="D169" s="89"/>
      <c r="E169" s="89"/>
      <c r="F169" s="89"/>
      <c r="G169" s="89"/>
      <c r="H169" s="89"/>
      <c r="I169" s="89"/>
      <c r="J169" s="89"/>
      <c r="K169" s="89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</row>
    <row r="170" spans="1:42" ht="15.75">
      <c r="A170" s="83"/>
      <c r="B170" s="100" t="s">
        <v>24</v>
      </c>
      <c r="C170" s="110">
        <f t="shared" ref="C170:K170" si="22">C129+C131+C134+C143+C169</f>
        <v>1722</v>
      </c>
      <c r="D170" s="110">
        <f t="shared" si="22"/>
        <v>145928</v>
      </c>
      <c r="E170" s="110">
        <f t="shared" si="22"/>
        <v>172677</v>
      </c>
      <c r="F170" s="110">
        <f t="shared" si="22"/>
        <v>116235</v>
      </c>
      <c r="G170" s="277"/>
      <c r="H170" s="110">
        <f t="shared" si="22"/>
        <v>98316.349999999977</v>
      </c>
      <c r="I170" s="110">
        <f t="shared" si="22"/>
        <v>76049.695714285597</v>
      </c>
      <c r="J170" s="110">
        <f t="shared" si="22"/>
        <v>94245.495714285644</v>
      </c>
      <c r="K170" s="110">
        <f t="shared" si="22"/>
        <v>112824.93571428559</v>
      </c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</row>
    <row r="171" spans="1:42" ht="16.5" thickBot="1">
      <c r="A171" s="83"/>
      <c r="B171" s="101" t="s">
        <v>106</v>
      </c>
      <c r="C171" s="102">
        <f>C170/C20</f>
        <v>1.7495626093476631E-3</v>
      </c>
      <c r="D171" s="102">
        <f t="shared" ref="D171:K171" si="23">D170/D20</f>
        <v>8.453419531240948E-2</v>
      </c>
      <c r="E171" s="102">
        <f t="shared" si="23"/>
        <v>0.13316742385040076</v>
      </c>
      <c r="F171" s="102">
        <f t="shared" si="23"/>
        <v>8.5240647985861062E-2</v>
      </c>
      <c r="G171" s="276"/>
      <c r="H171" s="102">
        <f t="shared" si="23"/>
        <v>7.2094499217211797E-2</v>
      </c>
      <c r="I171" s="102">
        <f t="shared" si="23"/>
        <v>5.4673110796911832E-2</v>
      </c>
      <c r="J171" s="102">
        <f t="shared" si="23"/>
        <v>6.6425780858653735E-2</v>
      </c>
      <c r="K171" s="102">
        <f t="shared" si="23"/>
        <v>7.7961653633976016E-2</v>
      </c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</row>
    <row r="172" spans="1:42" ht="15.75">
      <c r="A172" s="83"/>
      <c r="B172" s="97" t="s">
        <v>183</v>
      </c>
      <c r="C172" s="89">
        <f>SUM(C173:C179)</f>
        <v>17098</v>
      </c>
      <c r="D172" s="89">
        <f>SUM(D173:D179)</f>
        <v>11916</v>
      </c>
      <c r="E172" s="89">
        <f>SUM(E173:E179)</f>
        <v>16859</v>
      </c>
      <c r="F172" s="89">
        <f>SUM(F173:F179)</f>
        <v>4727</v>
      </c>
      <c r="G172" s="89"/>
      <c r="H172" s="89">
        <v>10000</v>
      </c>
      <c r="I172" s="89">
        <v>10000</v>
      </c>
      <c r="J172" s="89">
        <v>10000</v>
      </c>
      <c r="K172" s="89">
        <v>10000</v>
      </c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</row>
    <row r="173" spans="1:42" s="96" customFormat="1" ht="12.75" outlineLevel="1">
      <c r="A173" s="93"/>
      <c r="B173" s="106" t="s">
        <v>453</v>
      </c>
      <c r="C173" s="95"/>
      <c r="D173" s="95">
        <v>205</v>
      </c>
      <c r="E173" s="95">
        <v>478</v>
      </c>
      <c r="F173" s="95"/>
      <c r="G173" s="95"/>
      <c r="H173" s="95"/>
      <c r="I173" s="95"/>
      <c r="J173" s="95"/>
      <c r="K173" s="95"/>
      <c r="L173" s="184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</row>
    <row r="174" spans="1:42" s="96" customFormat="1" ht="12.75" outlineLevel="1">
      <c r="A174" s="93"/>
      <c r="B174" s="106" t="s">
        <v>454</v>
      </c>
      <c r="C174" s="95">
        <v>4968</v>
      </c>
      <c r="D174" s="95">
        <v>5061</v>
      </c>
      <c r="E174" s="95">
        <v>4270</v>
      </c>
      <c r="F174" s="95"/>
      <c r="G174" s="95"/>
      <c r="H174" s="95"/>
      <c r="I174" s="95"/>
      <c r="J174" s="95"/>
      <c r="K174" s="95"/>
      <c r="L174" s="184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</row>
    <row r="175" spans="1:42" s="96" customFormat="1" ht="12.75" outlineLevel="1">
      <c r="A175" s="93"/>
      <c r="B175" s="106" t="s">
        <v>455</v>
      </c>
      <c r="C175" s="95">
        <v>718</v>
      </c>
      <c r="D175" s="95">
        <v>6650</v>
      </c>
      <c r="E175" s="95"/>
      <c r="F175" s="95">
        <v>2783</v>
      </c>
      <c r="G175" s="95"/>
      <c r="H175" s="95"/>
      <c r="I175" s="95"/>
      <c r="J175" s="95"/>
      <c r="K175" s="95"/>
      <c r="L175" s="184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</row>
    <row r="176" spans="1:42" s="96" customFormat="1" ht="12.75" outlineLevel="1">
      <c r="A176" s="93"/>
      <c r="B176" s="106" t="s">
        <v>848</v>
      </c>
      <c r="C176" s="95"/>
      <c r="D176" s="95"/>
      <c r="E176" s="95">
        <v>6667</v>
      </c>
      <c r="F176" s="95">
        <v>667</v>
      </c>
      <c r="G176" s="95"/>
      <c r="H176" s="95"/>
      <c r="I176" s="95"/>
      <c r="J176" s="95"/>
      <c r="K176" s="95"/>
      <c r="L176" s="184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</row>
    <row r="177" spans="1:42" s="96" customFormat="1" ht="12.75" outlineLevel="1">
      <c r="A177" s="93"/>
      <c r="B177" s="106" t="s">
        <v>440</v>
      </c>
      <c r="C177" s="95">
        <v>11412</v>
      </c>
      <c r="D177" s="95"/>
      <c r="E177" s="95"/>
      <c r="F177" s="95"/>
      <c r="G177" s="95"/>
      <c r="H177" s="95"/>
      <c r="I177" s="95"/>
      <c r="J177" s="95"/>
      <c r="K177" s="95"/>
      <c r="L177" s="184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</row>
    <row r="178" spans="1:42" s="96" customFormat="1" ht="12.75" outlineLevel="1">
      <c r="A178" s="93"/>
      <c r="B178" s="106" t="s">
        <v>299</v>
      </c>
      <c r="C178" s="95"/>
      <c r="D178" s="95"/>
      <c r="E178" s="95">
        <v>5444</v>
      </c>
      <c r="F178" s="95">
        <v>1277</v>
      </c>
      <c r="G178" s="95"/>
      <c r="H178" s="95"/>
      <c r="I178" s="95"/>
      <c r="J178" s="95"/>
      <c r="K178" s="95"/>
      <c r="L178" s="184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</row>
    <row r="179" spans="1:42" s="96" customFormat="1" ht="12.75" outlineLevel="1">
      <c r="A179" s="93"/>
      <c r="B179" s="106"/>
      <c r="C179" s="95"/>
      <c r="D179" s="95"/>
      <c r="E179" s="95"/>
      <c r="F179" s="95"/>
      <c r="G179" s="95"/>
      <c r="H179" s="95"/>
      <c r="I179" s="95"/>
      <c r="J179" s="95"/>
      <c r="K179" s="95"/>
      <c r="L179" s="184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</row>
    <row r="180" spans="1:42" ht="15.75">
      <c r="A180" s="83"/>
      <c r="B180" s="97" t="s">
        <v>12</v>
      </c>
      <c r="C180" s="89">
        <f>C181</f>
        <v>904</v>
      </c>
      <c r="D180" s="89">
        <f>D181</f>
        <v>401</v>
      </c>
      <c r="E180" s="89">
        <f>E181</f>
        <v>437</v>
      </c>
      <c r="F180" s="89">
        <f>F181</f>
        <v>243</v>
      </c>
      <c r="G180" s="89"/>
      <c r="H180" s="89"/>
      <c r="I180" s="89"/>
      <c r="J180" s="89"/>
      <c r="K180" s="89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</row>
    <row r="181" spans="1:42" s="96" customFormat="1" ht="12.75" outlineLevel="1">
      <c r="A181" s="93"/>
      <c r="B181" s="106" t="s">
        <v>456</v>
      </c>
      <c r="C181" s="95">
        <v>904</v>
      </c>
      <c r="D181" s="95">
        <v>401</v>
      </c>
      <c r="E181" s="95">
        <v>437</v>
      </c>
      <c r="F181" s="95">
        <v>243</v>
      </c>
      <c r="G181" s="95"/>
      <c r="H181" s="95"/>
      <c r="I181" s="95"/>
      <c r="J181" s="95"/>
      <c r="K181" s="95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</row>
    <row r="182" spans="1:42" s="96" customFormat="1" ht="12.75" outlineLevel="1">
      <c r="A182" s="93"/>
      <c r="B182" s="106"/>
      <c r="C182" s="95"/>
      <c r="D182" s="95"/>
      <c r="E182" s="95"/>
      <c r="F182" s="95"/>
      <c r="G182" s="95"/>
      <c r="H182" s="95"/>
      <c r="I182" s="95"/>
      <c r="J182" s="95"/>
      <c r="K182" s="95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</row>
    <row r="183" spans="1:42" ht="15.75">
      <c r="A183" s="83"/>
      <c r="B183" s="97" t="s">
        <v>184</v>
      </c>
      <c r="C183" s="89">
        <f>SUM(C184:C187)</f>
        <v>-20371</v>
      </c>
      <c r="D183" s="89">
        <f>SUM(D184:D187)</f>
        <v>-26013</v>
      </c>
      <c r="E183" s="89">
        <f>SUM(E184:E187)</f>
        <v>-16028</v>
      </c>
      <c r="F183" s="89">
        <f>SUM(F184:F187)</f>
        <v>-16585</v>
      </c>
      <c r="G183" s="89"/>
      <c r="H183" s="89">
        <v>-15000</v>
      </c>
      <c r="I183" s="89">
        <v>-15000</v>
      </c>
      <c r="J183" s="89">
        <v>-15000</v>
      </c>
      <c r="K183" s="89">
        <v>-15000</v>
      </c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</row>
    <row r="184" spans="1:42" s="96" customFormat="1" ht="12.75" outlineLevel="1">
      <c r="A184" s="93"/>
      <c r="B184" s="106" t="s">
        <v>409</v>
      </c>
      <c r="C184" s="95">
        <v>-2060</v>
      </c>
      <c r="D184" s="95">
        <v>-2918</v>
      </c>
      <c r="E184" s="95">
        <v>-1912</v>
      </c>
      <c r="F184" s="95">
        <v>-483</v>
      </c>
      <c r="G184" s="95"/>
      <c r="H184" s="95"/>
      <c r="I184" s="95"/>
      <c r="J184" s="95"/>
      <c r="K184" s="95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</row>
    <row r="185" spans="1:42" s="96" customFormat="1" ht="12.75" outlineLevel="1">
      <c r="A185" s="93"/>
      <c r="B185" s="106" t="s">
        <v>410</v>
      </c>
      <c r="C185" s="95">
        <v>-17628</v>
      </c>
      <c r="D185" s="95">
        <v>-23095</v>
      </c>
      <c r="E185" s="95">
        <v>-14116</v>
      </c>
      <c r="F185" s="95">
        <v>-16102</v>
      </c>
      <c r="G185" s="95"/>
      <c r="H185" s="95"/>
      <c r="I185" s="95"/>
      <c r="J185" s="95"/>
      <c r="K185" s="95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</row>
    <row r="186" spans="1:42" s="96" customFormat="1" ht="12.75" outlineLevel="1">
      <c r="A186" s="93"/>
      <c r="B186" s="106" t="s">
        <v>550</v>
      </c>
      <c r="C186" s="95">
        <v>-683</v>
      </c>
      <c r="D186" s="95"/>
      <c r="E186" s="95"/>
      <c r="F186" s="95"/>
      <c r="G186" s="95"/>
      <c r="H186" s="95"/>
      <c r="I186" s="95"/>
      <c r="J186" s="95"/>
      <c r="K186" s="95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</row>
    <row r="187" spans="1:42" s="96" customFormat="1" ht="12.75" outlineLevel="1">
      <c r="A187" s="93"/>
      <c r="B187" s="106"/>
      <c r="C187" s="95"/>
      <c r="D187" s="95"/>
      <c r="E187" s="95"/>
      <c r="F187" s="95"/>
      <c r="G187" s="95"/>
      <c r="H187" s="95"/>
      <c r="I187" s="95"/>
      <c r="J187" s="95"/>
      <c r="K187" s="95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</row>
    <row r="188" spans="1:42" ht="15.75">
      <c r="A188" s="83"/>
      <c r="B188" s="97" t="s">
        <v>23</v>
      </c>
      <c r="C188" s="89">
        <f>SUM(C189:C191)</f>
        <v>-223</v>
      </c>
      <c r="D188" s="89">
        <f>SUM(D189:D191)</f>
        <v>-1879</v>
      </c>
      <c r="E188" s="89">
        <f>SUM(E189:E191)</f>
        <v>-2680</v>
      </c>
      <c r="F188" s="89">
        <f>SUM(F189:F191)</f>
        <v>-398</v>
      </c>
      <c r="G188" s="89"/>
      <c r="H188" s="89"/>
      <c r="I188" s="89"/>
      <c r="J188" s="89"/>
      <c r="K188" s="89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</row>
    <row r="189" spans="1:42" s="96" customFormat="1" ht="12.75" outlineLevel="1">
      <c r="A189" s="93"/>
      <c r="B189" s="106" t="s">
        <v>529</v>
      </c>
      <c r="C189" s="95"/>
      <c r="D189" s="95">
        <v>-1658</v>
      </c>
      <c r="E189" s="95">
        <v>-820</v>
      </c>
      <c r="F189" s="95"/>
      <c r="G189" s="95"/>
      <c r="H189" s="95"/>
      <c r="I189" s="95"/>
      <c r="J189" s="95"/>
      <c r="K189" s="95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</row>
    <row r="190" spans="1:42" s="96" customFormat="1" ht="12.75" outlineLevel="1">
      <c r="A190" s="93"/>
      <c r="B190" s="106" t="s">
        <v>530</v>
      </c>
      <c r="C190" s="95">
        <v>-223</v>
      </c>
      <c r="D190" s="95">
        <v>-221</v>
      </c>
      <c r="E190" s="95">
        <v>-1860</v>
      </c>
      <c r="F190" s="95">
        <v>-398</v>
      </c>
      <c r="G190" s="95"/>
      <c r="H190" s="95"/>
      <c r="I190" s="95"/>
      <c r="J190" s="95"/>
      <c r="K190" s="95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</row>
    <row r="191" spans="1:42" s="96" customFormat="1" ht="12.75" outlineLevel="1">
      <c r="A191" s="93"/>
      <c r="B191" s="106"/>
      <c r="C191" s="95"/>
      <c r="D191" s="95"/>
      <c r="E191" s="95"/>
      <c r="F191" s="95"/>
      <c r="G191" s="95"/>
      <c r="H191" s="95"/>
      <c r="I191" s="95"/>
      <c r="J191" s="95"/>
      <c r="K191" s="95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</row>
    <row r="192" spans="1:42" ht="15.75">
      <c r="A192" s="83"/>
      <c r="B192" s="100" t="s">
        <v>26</v>
      </c>
      <c r="C192" s="110">
        <f t="shared" ref="C192:K192" si="24">C170+C172+C180+C188+C183</f>
        <v>-870</v>
      </c>
      <c r="D192" s="110">
        <f t="shared" si="24"/>
        <v>130353</v>
      </c>
      <c r="E192" s="110">
        <f t="shared" si="24"/>
        <v>171265</v>
      </c>
      <c r="F192" s="110">
        <f t="shared" si="24"/>
        <v>104222</v>
      </c>
      <c r="G192" s="277"/>
      <c r="H192" s="110">
        <f t="shared" si="24"/>
        <v>93316.349999999977</v>
      </c>
      <c r="I192" s="110">
        <f t="shared" si="24"/>
        <v>71049.695714285597</v>
      </c>
      <c r="J192" s="110">
        <f t="shared" si="24"/>
        <v>89245.495714285644</v>
      </c>
      <c r="K192" s="110">
        <f t="shared" si="24"/>
        <v>107824.93571428559</v>
      </c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</row>
    <row r="193" spans="1:43" ht="16.5" thickBot="1">
      <c r="A193" s="83"/>
      <c r="B193" s="101" t="s">
        <v>106</v>
      </c>
      <c r="C193" s="102">
        <f>C192/C20</f>
        <v>-8.8392536012338384E-4</v>
      </c>
      <c r="D193" s="102">
        <f t="shared" ref="D193:K193" si="25">D192/D20</f>
        <v>7.5511800076465879E-2</v>
      </c>
      <c r="E193" s="102">
        <f t="shared" si="25"/>
        <v>0.13207849826982682</v>
      </c>
      <c r="F193" s="102">
        <f t="shared" si="25"/>
        <v>7.6430944331590409E-2</v>
      </c>
      <c r="G193" s="276"/>
      <c r="H193" s="102">
        <f t="shared" si="25"/>
        <v>6.8428043982796977E-2</v>
      </c>
      <c r="I193" s="102">
        <f t="shared" si="25"/>
        <v>5.1078546066349623E-2</v>
      </c>
      <c r="J193" s="102">
        <f t="shared" si="25"/>
        <v>6.2901698335918119E-2</v>
      </c>
      <c r="K193" s="102">
        <f t="shared" si="25"/>
        <v>7.4506670338820247E-2</v>
      </c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</row>
    <row r="194" spans="1:43" s="111" customFormat="1" ht="15.75">
      <c r="A194" s="83"/>
      <c r="B194" s="97" t="s">
        <v>29</v>
      </c>
      <c r="C194" s="89">
        <f t="shared" ref="C194:F194" si="26">C195+C200</f>
        <v>-1014</v>
      </c>
      <c r="D194" s="89">
        <f t="shared" si="26"/>
        <v>747</v>
      </c>
      <c r="E194" s="89">
        <f t="shared" si="26"/>
        <v>3693</v>
      </c>
      <c r="F194" s="89">
        <f t="shared" si="26"/>
        <v>11566</v>
      </c>
      <c r="G194" s="89"/>
      <c r="H194" s="89">
        <v>7000</v>
      </c>
      <c r="I194" s="89">
        <v>7000</v>
      </c>
      <c r="J194" s="89">
        <v>7000</v>
      </c>
      <c r="K194" s="89">
        <v>7000</v>
      </c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</row>
    <row r="195" spans="1:43" ht="15.75" outlineLevel="1">
      <c r="A195" s="83"/>
      <c r="B195" s="105" t="s">
        <v>27</v>
      </c>
      <c r="C195" s="91">
        <f>SUM(C196:C199)</f>
        <v>133</v>
      </c>
      <c r="D195" s="91">
        <f>SUM(D196:D199)</f>
        <v>1147</v>
      </c>
      <c r="E195" s="91">
        <f>SUM(E196:E199)</f>
        <v>3751</v>
      </c>
      <c r="F195" s="91">
        <f>SUM(F196:F199)</f>
        <v>11568</v>
      </c>
      <c r="G195" s="91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s="96" customFormat="1" ht="12.75" outlineLevel="2">
      <c r="A196" s="93"/>
      <c r="B196" s="106" t="s">
        <v>531</v>
      </c>
      <c r="C196" s="95"/>
      <c r="D196" s="95">
        <v>863</v>
      </c>
      <c r="E196" s="95">
        <v>3127</v>
      </c>
      <c r="F196" s="95">
        <v>10479</v>
      </c>
      <c r="G196" s="95"/>
      <c r="H196" s="95"/>
      <c r="I196" s="95"/>
      <c r="J196" s="95"/>
      <c r="K196" s="95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</row>
    <row r="197" spans="1:43" s="96" customFormat="1" ht="12.75" outlineLevel="2">
      <c r="A197" s="93"/>
      <c r="B197" s="106" t="s">
        <v>532</v>
      </c>
      <c r="C197" s="95"/>
      <c r="D197" s="95"/>
      <c r="E197" s="95">
        <v>366</v>
      </c>
      <c r="F197" s="95">
        <v>762</v>
      </c>
      <c r="G197" s="95"/>
      <c r="H197" s="95"/>
      <c r="I197" s="95"/>
      <c r="J197" s="95"/>
      <c r="K197" s="95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</row>
    <row r="198" spans="1:43" s="96" customFormat="1" ht="12.75" outlineLevel="2">
      <c r="A198" s="93"/>
      <c r="B198" s="106" t="s">
        <v>533</v>
      </c>
      <c r="C198" s="95">
        <v>133</v>
      </c>
      <c r="D198" s="95">
        <v>284</v>
      </c>
      <c r="E198" s="95">
        <v>258</v>
      </c>
      <c r="F198" s="95">
        <v>327</v>
      </c>
      <c r="G198" s="95"/>
      <c r="H198" s="95"/>
      <c r="I198" s="95"/>
      <c r="J198" s="95"/>
      <c r="K198" s="95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</row>
    <row r="199" spans="1:43" s="96" customFormat="1" ht="12.75" outlineLevel="2">
      <c r="A199" s="93"/>
      <c r="B199" s="106"/>
      <c r="C199" s="95"/>
      <c r="D199" s="95"/>
      <c r="E199" s="95"/>
      <c r="F199" s="95"/>
      <c r="G199" s="95"/>
      <c r="H199" s="95"/>
      <c r="I199" s="95"/>
      <c r="J199" s="95"/>
      <c r="K199" s="95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</row>
    <row r="200" spans="1:43" ht="15.75" outlineLevel="1">
      <c r="A200" s="83"/>
      <c r="B200" s="105" t="s">
        <v>185</v>
      </c>
      <c r="C200" s="91">
        <f>SUM(C201:C204)</f>
        <v>-1147</v>
      </c>
      <c r="D200" s="91">
        <f>SUM(D201:D204)</f>
        <v>-400</v>
      </c>
      <c r="E200" s="91">
        <f>SUM(E201:E204)</f>
        <v>-58</v>
      </c>
      <c r="F200" s="91">
        <f>SUM(F201:F204)</f>
        <v>-2</v>
      </c>
      <c r="G200" s="91"/>
      <c r="H200" s="95"/>
      <c r="I200" s="95"/>
      <c r="J200" s="95"/>
      <c r="K200" s="95"/>
      <c r="L200" s="95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s="96" customFormat="1" ht="12.75" outlineLevel="2">
      <c r="A201" s="93"/>
      <c r="B201" s="106" t="s">
        <v>534</v>
      </c>
      <c r="C201" s="95">
        <v>-351</v>
      </c>
      <c r="D201" s="95">
        <v>-259</v>
      </c>
      <c r="E201" s="95">
        <v>-24</v>
      </c>
      <c r="F201" s="95"/>
      <c r="G201" s="95"/>
      <c r="H201" s="95"/>
      <c r="I201" s="95"/>
      <c r="J201" s="95"/>
      <c r="K201" s="95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</row>
    <row r="202" spans="1:43" s="96" customFormat="1" ht="12.75" outlineLevel="2">
      <c r="A202" s="93"/>
      <c r="B202" s="106" t="s">
        <v>531</v>
      </c>
      <c r="C202" s="95">
        <v>-796</v>
      </c>
      <c r="D202" s="95"/>
      <c r="E202" s="95"/>
      <c r="F202" s="95"/>
      <c r="G202" s="95"/>
      <c r="H202" s="95"/>
      <c r="I202" s="95"/>
      <c r="J202" s="95"/>
      <c r="K202" s="95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</row>
    <row r="203" spans="1:43" s="96" customFormat="1" ht="12.75" outlineLevel="2">
      <c r="A203" s="93"/>
      <c r="B203" s="106" t="s">
        <v>417</v>
      </c>
      <c r="C203" s="95"/>
      <c r="D203" s="95">
        <v>-141</v>
      </c>
      <c r="E203" s="95">
        <v>-34</v>
      </c>
      <c r="F203" s="95">
        <v>-2</v>
      </c>
      <c r="G203" s="95"/>
      <c r="H203" s="95"/>
      <c r="I203" s="95"/>
      <c r="J203" s="95"/>
      <c r="K203" s="95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</row>
    <row r="204" spans="1:43" s="96" customFormat="1" ht="12.75" outlineLevel="1">
      <c r="A204" s="93"/>
      <c r="B204" s="106"/>
      <c r="C204" s="95"/>
      <c r="D204" s="95"/>
      <c r="E204" s="95"/>
      <c r="F204" s="95"/>
      <c r="G204" s="95"/>
      <c r="H204" s="95"/>
      <c r="I204" s="95"/>
      <c r="J204" s="95"/>
      <c r="K204" s="95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</row>
    <row r="205" spans="1:43" s="96" customFormat="1" ht="15.75">
      <c r="A205" s="93"/>
      <c r="B205" s="100" t="s">
        <v>264</v>
      </c>
      <c r="C205" s="110">
        <f t="shared" ref="C205:K205" si="27">+C192+C194</f>
        <v>-1884</v>
      </c>
      <c r="D205" s="110">
        <f t="shared" si="27"/>
        <v>131100</v>
      </c>
      <c r="E205" s="110">
        <f t="shared" si="27"/>
        <v>174958</v>
      </c>
      <c r="F205" s="110">
        <f t="shared" si="27"/>
        <v>115788</v>
      </c>
      <c r="G205" s="277"/>
      <c r="H205" s="110">
        <f t="shared" si="27"/>
        <v>100316.34999999998</v>
      </c>
      <c r="I205" s="110">
        <f t="shared" si="27"/>
        <v>78049.695714285597</v>
      </c>
      <c r="J205" s="110">
        <f t="shared" si="27"/>
        <v>96245.495714285644</v>
      </c>
      <c r="K205" s="110">
        <f t="shared" si="27"/>
        <v>114824.93571428559</v>
      </c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</row>
    <row r="206" spans="1:43" s="96" customFormat="1" ht="16.5" thickBot="1">
      <c r="A206" s="93"/>
      <c r="B206" s="101" t="s">
        <v>106</v>
      </c>
      <c r="C206" s="102">
        <f>+C205/C20</f>
        <v>-1.9141556074396035E-3</v>
      </c>
      <c r="D206" s="102">
        <f t="shared" ref="D206:K206" si="28">+D205/D20</f>
        <v>7.5944527475583057E-2</v>
      </c>
      <c r="E206" s="102">
        <f t="shared" si="28"/>
        <v>0.13492651680315509</v>
      </c>
      <c r="F206" s="102">
        <f t="shared" si="28"/>
        <v>8.491284164827187E-2</v>
      </c>
      <c r="G206" s="276"/>
      <c r="H206" s="102">
        <f t="shared" si="28"/>
        <v>7.3561081310977716E-2</v>
      </c>
      <c r="I206" s="102">
        <f t="shared" si="28"/>
        <v>5.611093668913672E-2</v>
      </c>
      <c r="J206" s="102">
        <f t="shared" si="28"/>
        <v>6.7835413867747982E-2</v>
      </c>
      <c r="K206" s="102">
        <f t="shared" si="28"/>
        <v>7.9343646952038327E-2</v>
      </c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</row>
    <row r="207" spans="1:43" ht="15.75">
      <c r="A207" s="83"/>
      <c r="B207" s="97" t="s">
        <v>30</v>
      </c>
      <c r="C207" s="89">
        <f t="shared" ref="C207:K207" si="29">C208+C211</f>
        <v>0</v>
      </c>
      <c r="D207" s="89">
        <f t="shared" si="29"/>
        <v>2548</v>
      </c>
      <c r="E207" s="89">
        <f t="shared" si="29"/>
        <v>-877</v>
      </c>
      <c r="F207" s="89">
        <f t="shared" si="29"/>
        <v>0</v>
      </c>
      <c r="G207" s="89"/>
      <c r="H207" s="89">
        <f t="shared" si="29"/>
        <v>0</v>
      </c>
      <c r="I207" s="89">
        <f t="shared" si="29"/>
        <v>0</v>
      </c>
      <c r="J207" s="89">
        <f t="shared" si="29"/>
        <v>0</v>
      </c>
      <c r="K207" s="89">
        <f t="shared" si="29"/>
        <v>0</v>
      </c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</row>
    <row r="208" spans="1:43" ht="15.75" outlineLevel="1">
      <c r="A208" s="83"/>
      <c r="B208" s="105" t="s">
        <v>186</v>
      </c>
      <c r="C208" s="91">
        <f>C209</f>
        <v>0</v>
      </c>
      <c r="D208" s="91">
        <f>D209</f>
        <v>2548</v>
      </c>
      <c r="E208" s="91">
        <f>E209</f>
        <v>0</v>
      </c>
      <c r="F208" s="91">
        <f>F209</f>
        <v>0</v>
      </c>
      <c r="G208" s="91"/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s="96" customFormat="1" ht="12.75" outlineLevel="2">
      <c r="A209" s="93"/>
      <c r="B209" s="106" t="s">
        <v>535</v>
      </c>
      <c r="C209" s="95"/>
      <c r="D209" s="95">
        <v>2548</v>
      </c>
      <c r="E209" s="95"/>
      <c r="F209" s="95"/>
      <c r="G209" s="95"/>
      <c r="H209" s="95"/>
      <c r="I209" s="95"/>
      <c r="J209" s="95"/>
      <c r="K209" s="95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</row>
    <row r="210" spans="1:43" s="96" customFormat="1" ht="12.75" outlineLevel="2">
      <c r="A210" s="93"/>
      <c r="B210" s="106"/>
      <c r="C210" s="95"/>
      <c r="D210" s="95"/>
      <c r="E210" s="95"/>
      <c r="F210" s="95"/>
      <c r="G210" s="95"/>
      <c r="H210" s="95"/>
      <c r="I210" s="95"/>
      <c r="J210" s="95"/>
      <c r="K210" s="95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</row>
    <row r="211" spans="1:43" ht="15.75" outlineLevel="1">
      <c r="A211" s="83"/>
      <c r="B211" s="105" t="s">
        <v>187</v>
      </c>
      <c r="C211" s="91">
        <f>C212</f>
        <v>0</v>
      </c>
      <c r="D211" s="91">
        <f>D212</f>
        <v>0</v>
      </c>
      <c r="E211" s="91">
        <f>E212</f>
        <v>-877</v>
      </c>
      <c r="F211" s="91">
        <f>F212</f>
        <v>0</v>
      </c>
      <c r="G211" s="91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s="96" customFormat="1" ht="12.75" outlineLevel="2">
      <c r="A212" s="93"/>
      <c r="B212" s="106" t="s">
        <v>536</v>
      </c>
      <c r="C212" s="95"/>
      <c r="D212" s="95"/>
      <c r="E212" s="95">
        <v>-877</v>
      </c>
      <c r="F212" s="95"/>
      <c r="G212" s="95"/>
      <c r="H212" s="95"/>
      <c r="I212" s="95"/>
      <c r="J212" s="95"/>
      <c r="K212" s="95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</row>
    <row r="213" spans="1:43" s="96" customFormat="1" ht="12.75" outlineLevel="1">
      <c r="A213" s="93"/>
      <c r="B213" s="106"/>
      <c r="C213" s="95"/>
      <c r="D213" s="95"/>
      <c r="E213" s="95"/>
      <c r="F213" s="95"/>
      <c r="G213" s="95"/>
      <c r="H213" s="95"/>
      <c r="I213" s="95"/>
      <c r="J213" s="95"/>
      <c r="K213" s="95"/>
      <c r="L213" s="93"/>
      <c r="M213" s="95"/>
      <c r="N213" s="95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</row>
    <row r="214" spans="1:43" ht="15.75">
      <c r="A214" s="83"/>
      <c r="B214" s="83" t="s">
        <v>259</v>
      </c>
      <c r="C214" s="89">
        <f>SUM(C215:C217)</f>
        <v>0</v>
      </c>
      <c r="D214" s="89">
        <f>SUM(D215:D217)</f>
        <v>-28374</v>
      </c>
      <c r="E214" s="89">
        <f>SUM(E215:E217)</f>
        <v>-43013</v>
      </c>
      <c r="F214" s="89">
        <f>SUM(F215:F217)</f>
        <v>-24801</v>
      </c>
      <c r="G214" s="89"/>
      <c r="H214" s="89">
        <f>-0.15*42500-0.25*(H205-42500)</f>
        <v>-20829.087499999994</v>
      </c>
      <c r="I214" s="89">
        <f>-0.15*42500-0.25*(I205-42500)</f>
        <v>-15262.423928571399</v>
      </c>
      <c r="J214" s="89">
        <f>-0.15*42500-0.25*(J205-42500)</f>
        <v>-19811.373928571411</v>
      </c>
      <c r="K214" s="89">
        <f>-0.15*42500-0.25*(K205-42500)</f>
        <v>-24456.233928571397</v>
      </c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</row>
    <row r="215" spans="1:43" ht="15.75" outlineLevel="1">
      <c r="A215" s="83"/>
      <c r="B215" s="183" t="s">
        <v>258</v>
      </c>
      <c r="C215" s="95"/>
      <c r="D215" s="95">
        <v>-28374</v>
      </c>
      <c r="E215" s="95">
        <v>-43913</v>
      </c>
      <c r="F215" s="95">
        <v>-24801</v>
      </c>
      <c r="G215" s="95"/>
      <c r="H215" s="95"/>
      <c r="I215" s="95"/>
      <c r="J215" s="95"/>
      <c r="K215" s="95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</row>
    <row r="216" spans="1:43" ht="15.75" outlineLevel="1">
      <c r="A216" s="83"/>
      <c r="B216" s="183" t="s">
        <v>537</v>
      </c>
      <c r="C216" s="95"/>
      <c r="D216" s="95"/>
      <c r="E216" s="95">
        <v>900</v>
      </c>
      <c r="F216" s="95"/>
      <c r="G216" s="95"/>
      <c r="H216" s="95"/>
      <c r="I216" s="95"/>
      <c r="J216" s="95"/>
      <c r="K216" s="95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</row>
    <row r="217" spans="1:43" ht="15.75" outlineLevel="1">
      <c r="A217" s="83"/>
      <c r="B217" s="83"/>
      <c r="C217" s="89"/>
      <c r="D217" s="89"/>
      <c r="E217" s="89"/>
      <c r="F217" s="89"/>
      <c r="G217" s="89"/>
      <c r="H217" s="89"/>
      <c r="I217" s="89"/>
      <c r="J217" s="89"/>
      <c r="K217" s="89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</row>
    <row r="218" spans="1:43" ht="15.75" outlineLevel="1">
      <c r="A218" s="83"/>
      <c r="B218" s="212" t="s">
        <v>265</v>
      </c>
      <c r="C218" s="89">
        <v>-4</v>
      </c>
      <c r="D218" s="89">
        <v>-1</v>
      </c>
      <c r="E218" s="89">
        <v>-3</v>
      </c>
      <c r="F218" s="89">
        <v>12</v>
      </c>
      <c r="G218" s="89"/>
      <c r="H218" s="89"/>
      <c r="I218" s="89"/>
      <c r="J218" s="89"/>
      <c r="K218" s="89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</row>
    <row r="219" spans="1:43" ht="15.75" outlineLevel="1">
      <c r="A219" s="83"/>
      <c r="B219" s="83"/>
      <c r="C219" s="89"/>
      <c r="D219" s="89"/>
      <c r="E219" s="89"/>
      <c r="F219" s="89"/>
      <c r="G219" s="89"/>
      <c r="H219" s="89"/>
      <c r="I219" s="89"/>
      <c r="J219" s="89"/>
      <c r="K219" s="89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</row>
    <row r="220" spans="1:43" ht="15.75">
      <c r="A220" s="83"/>
      <c r="B220" s="100" t="s">
        <v>32</v>
      </c>
      <c r="C220" s="110">
        <f t="shared" ref="C220:K220" si="30">C192+C194+C207+C214+C218</f>
        <v>-1888</v>
      </c>
      <c r="D220" s="110">
        <f t="shared" si="30"/>
        <v>105273</v>
      </c>
      <c r="E220" s="110">
        <f t="shared" si="30"/>
        <v>131065</v>
      </c>
      <c r="F220" s="110">
        <f t="shared" si="30"/>
        <v>90999</v>
      </c>
      <c r="G220" s="277"/>
      <c r="H220" s="110">
        <f t="shared" si="30"/>
        <v>79487.262499999983</v>
      </c>
      <c r="I220" s="110">
        <f t="shared" si="30"/>
        <v>62787.271785714198</v>
      </c>
      <c r="J220" s="110">
        <f t="shared" si="30"/>
        <v>76434.121785714233</v>
      </c>
      <c r="K220" s="110">
        <f t="shared" si="30"/>
        <v>90368.701785714191</v>
      </c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</row>
    <row r="221" spans="1:43" ht="16.5" thickBot="1">
      <c r="A221" s="83"/>
      <c r="B221" s="101" t="s">
        <v>106</v>
      </c>
      <c r="C221" s="102">
        <f>C220/C20</f>
        <v>-1.9182196320838489E-3</v>
      </c>
      <c r="D221" s="102">
        <f t="shared" ref="D221:K221" si="31">D220/D20</f>
        <v>6.0983281776789126E-2</v>
      </c>
      <c r="E221" s="102">
        <f t="shared" si="31"/>
        <v>0.10107650936113538</v>
      </c>
      <c r="F221" s="102">
        <f t="shared" si="31"/>
        <v>6.6733890188543643E-2</v>
      </c>
      <c r="G221" s="276"/>
      <c r="H221" s="102">
        <f t="shared" si="31"/>
        <v>5.8287297932485882E-2</v>
      </c>
      <c r="I221" s="102">
        <f t="shared" si="31"/>
        <v>4.5138582537830423E-2</v>
      </c>
      <c r="J221" s="102">
        <f t="shared" si="31"/>
        <v>5.3872030545136264E-2</v>
      </c>
      <c r="K221" s="102">
        <f t="shared" si="31"/>
        <v>6.244447101491115E-2</v>
      </c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</row>
    <row r="222" spans="1:43" ht="15.7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</row>
    <row r="223" spans="1:43" ht="15.75">
      <c r="A223" s="83"/>
      <c r="B223" s="112" t="s">
        <v>189</v>
      </c>
      <c r="C223" s="113"/>
      <c r="D223" s="113"/>
      <c r="E223" s="113"/>
      <c r="F223" s="113"/>
      <c r="G223" s="278"/>
      <c r="H223" s="113"/>
      <c r="I223" s="113"/>
      <c r="J223" s="113"/>
      <c r="K223" s="11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</row>
    <row r="224" spans="1:43" ht="15.75">
      <c r="A224" s="83"/>
      <c r="B224" s="114" t="s">
        <v>34</v>
      </c>
      <c r="C224" s="115" t="str">
        <f>IFERROR(C15/#REF!-1,"na ")</f>
        <v xml:space="preserve">na </v>
      </c>
      <c r="D224" s="115">
        <f>IFERROR(D15/C15-1,"na ")</f>
        <v>0.71705530555784036</v>
      </c>
      <c r="E224" s="115">
        <f>IFERROR(E15/D15-1,"na ")</f>
        <v>-0.22756230688385837</v>
      </c>
      <c r="F224" s="115">
        <f>IFERROR(F15/E15-1,"na ")</f>
        <v>6.2879858176196901E-3</v>
      </c>
      <c r="G224" s="279"/>
      <c r="H224" s="115">
        <f>IFERROR(H15/F15-1,"na ")</f>
        <v>2.4950432838939385E-2</v>
      </c>
      <c r="I224" s="115">
        <f>IFERROR(I15/H15-1,"na ")</f>
        <v>1.9999780012685875E-2</v>
      </c>
      <c r="J224" s="115">
        <f>IFERROR(J15/I15-1,"na ")</f>
        <v>2.0000158160848214E-2</v>
      </c>
      <c r="K224" s="115">
        <f>IFERROR(K15/J15-1,"na ")</f>
        <v>1.9999873133029089E-2</v>
      </c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</row>
    <row r="225" spans="1:42" ht="15.75">
      <c r="A225" s="83"/>
      <c r="B225" s="114" t="s">
        <v>16</v>
      </c>
      <c r="C225" s="115">
        <f t="shared" ref="C225:F225" si="32">C35/C15</f>
        <v>0.75297673382833552</v>
      </c>
      <c r="D225" s="115">
        <f t="shared" si="32"/>
        <v>0.71349670420960332</v>
      </c>
      <c r="E225" s="115">
        <f t="shared" si="32"/>
        <v>0.65078989323886482</v>
      </c>
      <c r="F225" s="115">
        <f t="shared" si="32"/>
        <v>0.70727491097452266</v>
      </c>
      <c r="G225" s="279"/>
      <c r="H225" s="115">
        <f>H35/H15</f>
        <v>0.69</v>
      </c>
      <c r="I225" s="115">
        <f>I35/I15</f>
        <v>0.69</v>
      </c>
      <c r="J225" s="115">
        <f>J35/J15</f>
        <v>0.69</v>
      </c>
      <c r="K225" s="115">
        <f>K35/K15</f>
        <v>0.69</v>
      </c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</row>
    <row r="226" spans="1:42" ht="15.75">
      <c r="A226" s="83"/>
      <c r="B226" s="114" t="s">
        <v>24</v>
      </c>
      <c r="C226" s="115">
        <f t="shared" ref="C226:F226" si="33">C170/C15</f>
        <v>1.7273582653390819E-3</v>
      </c>
      <c r="D226" s="115">
        <f t="shared" si="33"/>
        <v>8.5251812640902855E-2</v>
      </c>
      <c r="E226" s="115">
        <f t="shared" si="33"/>
        <v>0.13059785025608756</v>
      </c>
      <c r="F226" s="115">
        <f t="shared" si="33"/>
        <v>8.7360712143691399E-2</v>
      </c>
      <c r="G226" s="279"/>
      <c r="H226" s="115">
        <f>H170/H15</f>
        <v>7.2094499217211797E-2</v>
      </c>
      <c r="I226" s="115">
        <f>I170/I15</f>
        <v>5.4673110796911832E-2</v>
      </c>
      <c r="J226" s="115">
        <f>J170/J15</f>
        <v>6.6425780858653735E-2</v>
      </c>
      <c r="K226" s="115">
        <f>K170/K15</f>
        <v>7.7961653633976016E-2</v>
      </c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</row>
    <row r="227" spans="1:42" ht="15.75">
      <c r="A227" s="83"/>
      <c r="B227" s="114" t="s">
        <v>26</v>
      </c>
      <c r="C227" s="115">
        <f t="shared" ref="C227:F227" si="34">C192/C15</f>
        <v>-8.7270713754065109E-4</v>
      </c>
      <c r="D227" s="115">
        <f t="shared" si="34"/>
        <v>7.6152825593303608E-2</v>
      </c>
      <c r="E227" s="115">
        <f t="shared" si="34"/>
        <v>0.12952993637895513</v>
      </c>
      <c r="F227" s="115">
        <f t="shared" si="34"/>
        <v>7.8331897802209366E-2</v>
      </c>
      <c r="G227" s="279"/>
      <c r="H227" s="115">
        <f>H192/H15</f>
        <v>6.8428043982796977E-2</v>
      </c>
      <c r="I227" s="115">
        <f>I192/I15</f>
        <v>5.1078546066349623E-2</v>
      </c>
      <c r="J227" s="115">
        <f>J192/J15</f>
        <v>6.2901698335918119E-2</v>
      </c>
      <c r="K227" s="115">
        <f>K192/K15</f>
        <v>7.4506670338820247E-2</v>
      </c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</row>
    <row r="228" spans="1:42" ht="15.75">
      <c r="A228" s="83"/>
      <c r="B228" s="116" t="s">
        <v>35</v>
      </c>
      <c r="C228" s="117">
        <f t="shared" ref="C228:F228" si="35">C220/C15</f>
        <v>-1.8938747996284475E-3</v>
      </c>
      <c r="D228" s="117">
        <f t="shared" si="35"/>
        <v>6.1500973577008976E-2</v>
      </c>
      <c r="E228" s="117">
        <f t="shared" si="35"/>
        <v>9.9126156024335124E-2</v>
      </c>
      <c r="F228" s="117">
        <f t="shared" si="35"/>
        <v>6.8393663219888795E-2</v>
      </c>
      <c r="G228" s="279"/>
      <c r="H228" s="117">
        <f>H220/H15</f>
        <v>5.8287297932485882E-2</v>
      </c>
      <c r="I228" s="117">
        <f>I220/I15</f>
        <v>4.5138582537830423E-2</v>
      </c>
      <c r="J228" s="117">
        <f>J220/J15</f>
        <v>5.3872030545136264E-2</v>
      </c>
      <c r="K228" s="117">
        <f>K220/K15</f>
        <v>6.244447101491115E-2</v>
      </c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</row>
    <row r="229" spans="1:42" ht="15.75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</row>
    <row r="230" spans="1:42" ht="15.7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</row>
    <row r="231" spans="1:42" ht="15.75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</row>
    <row r="232" spans="1:42" ht="15.75">
      <c r="A232" s="107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9"/>
      <c r="O232" s="109"/>
      <c r="P232" s="109"/>
      <c r="Q232" s="109"/>
      <c r="R232" s="109"/>
      <c r="S232" s="109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</row>
    <row r="233" spans="1:42" ht="15.75">
      <c r="A233" s="107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9"/>
      <c r="O233" s="109"/>
      <c r="P233" s="109"/>
      <c r="Q233" s="109"/>
      <c r="R233" s="109"/>
      <c r="S233" s="109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</row>
    <row r="234" spans="1:42" ht="15.75">
      <c r="A234" s="107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9"/>
      <c r="O234" s="109"/>
      <c r="P234" s="109"/>
      <c r="Q234" s="109"/>
      <c r="R234" s="109"/>
      <c r="S234" s="109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</row>
    <row r="235" spans="1:42" ht="15.75">
      <c r="A235" s="107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9"/>
      <c r="O235" s="109"/>
      <c r="P235" s="109"/>
      <c r="Q235" s="109"/>
      <c r="R235" s="109"/>
      <c r="S235" s="109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</row>
    <row r="236" spans="1:42" ht="15.75">
      <c r="A236" s="107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9"/>
      <c r="O236" s="109"/>
      <c r="P236" s="109"/>
      <c r="Q236" s="109"/>
      <c r="R236" s="109"/>
      <c r="S236" s="109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</row>
    <row r="237" spans="1:42" ht="15.75">
      <c r="A237" s="107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9"/>
      <c r="O237" s="109"/>
      <c r="P237" s="109"/>
      <c r="Q237" s="109"/>
      <c r="R237" s="109"/>
      <c r="S237" s="109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</row>
    <row r="238" spans="1:42" ht="15.75">
      <c r="A238" s="107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9"/>
      <c r="O238" s="109"/>
      <c r="P238" s="109"/>
      <c r="Q238" s="109"/>
      <c r="R238" s="109"/>
      <c r="S238" s="109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</row>
    <row r="239" spans="1:42" ht="15.75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</row>
    <row r="240" spans="1:42" ht="15.75">
      <c r="A240" s="107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9"/>
      <c r="O240" s="109"/>
      <c r="P240" s="109"/>
      <c r="Q240" s="109"/>
      <c r="R240" s="109"/>
      <c r="S240" s="109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</row>
    <row r="241" spans="1:42" ht="15.75">
      <c r="A241" s="107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9"/>
      <c r="O241" s="109"/>
      <c r="P241" s="109"/>
      <c r="Q241" s="109"/>
      <c r="R241" s="109"/>
      <c r="S241" s="109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</row>
    <row r="242" spans="1:42" ht="15.75">
      <c r="A242" s="107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9"/>
      <c r="O242" s="109"/>
      <c r="P242" s="109"/>
      <c r="Q242" s="109"/>
      <c r="R242" s="109"/>
      <c r="S242" s="109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</row>
    <row r="243" spans="1:42" ht="15.75">
      <c r="A243" s="107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9"/>
      <c r="O243" s="109"/>
      <c r="P243" s="109"/>
      <c r="Q243" s="109"/>
      <c r="R243" s="109"/>
      <c r="S243" s="109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</row>
    <row r="244" spans="1:42" ht="15.75">
      <c r="A244" s="107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9"/>
      <c r="O244" s="109"/>
      <c r="P244" s="109"/>
      <c r="Q244" s="109"/>
      <c r="R244" s="109"/>
      <c r="S244" s="109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</row>
    <row r="245" spans="1:42" ht="15.7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</row>
    <row r="246" spans="1:42" ht="15.75">
      <c r="A246" s="107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9"/>
      <c r="O246" s="109"/>
      <c r="P246" s="109"/>
      <c r="Q246" s="109"/>
      <c r="R246" s="109"/>
      <c r="S246" s="109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</row>
    <row r="247" spans="1:42" ht="15.75">
      <c r="A247" s="107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9"/>
      <c r="O247" s="109"/>
      <c r="P247" s="109"/>
      <c r="Q247" s="109"/>
      <c r="R247" s="109"/>
      <c r="S247" s="109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</row>
    <row r="248" spans="1:42" ht="15.7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</row>
    <row r="249" spans="1:42" ht="15.75">
      <c r="A249" s="107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9"/>
      <c r="O249" s="109"/>
      <c r="P249" s="109"/>
      <c r="Q249" s="109"/>
      <c r="R249" s="109"/>
      <c r="S249" s="109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</row>
    <row r="250" spans="1:42" ht="15.75">
      <c r="A250" s="107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9"/>
      <c r="O250" s="109"/>
      <c r="P250" s="109"/>
      <c r="Q250" s="109"/>
      <c r="R250" s="109"/>
      <c r="S250" s="109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</row>
    <row r="251" spans="1:42" ht="15.75">
      <c r="A251" s="107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9"/>
      <c r="O251" s="109"/>
      <c r="P251" s="109"/>
      <c r="Q251" s="109"/>
      <c r="R251" s="109"/>
      <c r="S251" s="109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</row>
    <row r="252" spans="1:42" ht="15.75">
      <c r="A252" s="107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9"/>
      <c r="O252" s="109"/>
      <c r="P252" s="109"/>
      <c r="Q252" s="109"/>
      <c r="R252" s="109"/>
      <c r="S252" s="109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</row>
    <row r="253" spans="1:42" ht="15.75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</row>
    <row r="254" spans="1:42" ht="15.75">
      <c r="A254" s="107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9"/>
      <c r="O254" s="109"/>
      <c r="P254" s="109"/>
      <c r="Q254" s="109"/>
      <c r="R254" s="109"/>
      <c r="S254" s="109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</row>
    <row r="255" spans="1:42" ht="15.75">
      <c r="A255" s="107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9"/>
      <c r="O255" s="109"/>
      <c r="P255" s="109"/>
      <c r="Q255" s="109"/>
      <c r="R255" s="109"/>
      <c r="S255" s="109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</row>
    <row r="256" spans="1:42" ht="15.75">
      <c r="A256" s="107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9"/>
      <c r="O256" s="109"/>
      <c r="P256" s="109"/>
      <c r="Q256" s="109"/>
      <c r="R256" s="109"/>
      <c r="S256" s="109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</row>
    <row r="257" spans="1:42" ht="15.75">
      <c r="A257" s="107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9"/>
      <c r="O257" s="109"/>
      <c r="P257" s="109"/>
      <c r="Q257" s="109"/>
      <c r="R257" s="109"/>
      <c r="S257" s="109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</row>
    <row r="258" spans="1:42" ht="15.75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</row>
    <row r="259" spans="1:42" ht="15.75">
      <c r="A259" s="107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9"/>
      <c r="O259" s="109"/>
      <c r="P259" s="109"/>
      <c r="Q259" s="109"/>
      <c r="R259" s="109"/>
      <c r="S259" s="109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</row>
    <row r="260" spans="1:42" ht="15.75">
      <c r="A260" s="107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9"/>
      <c r="O260" s="109"/>
      <c r="P260" s="109"/>
      <c r="Q260" s="109"/>
      <c r="R260" s="109"/>
      <c r="S260" s="109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</row>
    <row r="261" spans="1:42" ht="15.75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</row>
    <row r="262" spans="1:42" ht="15.75">
      <c r="A262" s="107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9"/>
      <c r="O262" s="109"/>
      <c r="P262" s="109"/>
      <c r="Q262" s="109"/>
      <c r="R262" s="109"/>
      <c r="S262" s="109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</row>
    <row r="263" spans="1:42" ht="15.75">
      <c r="A263" s="107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9"/>
      <c r="O263" s="109"/>
      <c r="P263" s="109"/>
      <c r="Q263" s="109"/>
      <c r="R263" s="109"/>
      <c r="S263" s="109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</row>
    <row r="264" spans="1:42" ht="15.75">
      <c r="A264" s="107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9"/>
      <c r="O264" s="109"/>
      <c r="P264" s="109"/>
      <c r="Q264" s="109"/>
      <c r="R264" s="109"/>
      <c r="S264" s="109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</row>
    <row r="265" spans="1:42" ht="15.75">
      <c r="A265" s="107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9"/>
      <c r="O265" s="109"/>
      <c r="P265" s="109"/>
      <c r="Q265" s="109"/>
      <c r="R265" s="109"/>
      <c r="S265" s="109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</row>
    <row r="266" spans="1:42" ht="15.75">
      <c r="A266" s="107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9"/>
      <c r="O266" s="109"/>
      <c r="P266" s="109"/>
      <c r="Q266" s="109"/>
      <c r="R266" s="109"/>
      <c r="S266" s="109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</row>
    <row r="267" spans="1:42" ht="15.75">
      <c r="A267" s="107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9"/>
      <c r="O267" s="109"/>
      <c r="P267" s="109"/>
      <c r="Q267" s="109"/>
      <c r="R267" s="109"/>
      <c r="S267" s="109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</row>
    <row r="268" spans="1:42" ht="15.75">
      <c r="A268" s="107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9"/>
      <c r="O268" s="109"/>
      <c r="P268" s="109"/>
      <c r="Q268" s="109"/>
      <c r="R268" s="109"/>
      <c r="S268" s="109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</row>
    <row r="269" spans="1:42" ht="15.75">
      <c r="A269" s="107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9"/>
      <c r="O269" s="109"/>
      <c r="P269" s="109"/>
      <c r="Q269" s="109"/>
      <c r="R269" s="109"/>
      <c r="S269" s="109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</row>
    <row r="270" spans="1:42" ht="15.75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</row>
    <row r="271" spans="1:42" ht="15.75">
      <c r="A271" s="107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9"/>
      <c r="O271" s="109"/>
      <c r="P271" s="109"/>
      <c r="Q271" s="109"/>
      <c r="R271" s="109"/>
      <c r="S271" s="109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</row>
    <row r="272" spans="1:42" ht="15.75">
      <c r="A272" s="107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9"/>
      <c r="O272" s="109"/>
      <c r="P272" s="109"/>
      <c r="Q272" s="109"/>
      <c r="R272" s="109"/>
      <c r="S272" s="109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</row>
    <row r="273" spans="1:42" ht="15.75">
      <c r="A273" s="107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9"/>
      <c r="O273" s="109"/>
      <c r="P273" s="109"/>
      <c r="Q273" s="109"/>
      <c r="R273" s="109"/>
      <c r="S273" s="109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</row>
    <row r="274" spans="1:42" ht="15.75">
      <c r="A274" s="107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9"/>
      <c r="O274" s="109"/>
      <c r="P274" s="109"/>
      <c r="Q274" s="109"/>
      <c r="R274" s="109"/>
      <c r="S274" s="109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</row>
    <row r="275" spans="1:42" ht="15.7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</row>
    <row r="276" spans="1:42" ht="15.75">
      <c r="A276" s="107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9"/>
      <c r="O276" s="109"/>
      <c r="P276" s="109"/>
      <c r="Q276" s="109"/>
      <c r="R276" s="109"/>
      <c r="S276" s="109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</row>
    <row r="277" spans="1:42" ht="15.75">
      <c r="A277" s="107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9"/>
      <c r="O277" s="109"/>
      <c r="P277" s="109"/>
      <c r="Q277" s="109"/>
      <c r="R277" s="109"/>
      <c r="S277" s="109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</row>
    <row r="278" spans="1:42" ht="15.75">
      <c r="A278" s="107"/>
      <c r="B278" s="118"/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</row>
    <row r="279" spans="1:42" ht="15.75">
      <c r="A279" s="107"/>
      <c r="B279" s="118"/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</row>
    <row r="280" spans="1:42" ht="15.75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3"/>
      <c r="AK280" s="83"/>
      <c r="AL280" s="83"/>
      <c r="AM280" s="83"/>
      <c r="AN280" s="83"/>
      <c r="AO280" s="83"/>
      <c r="AP280" s="83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39355-CC57-5947-A840-F92863EBD261}">
  <sheetPr codeName="Feuil41">
    <tabColor theme="9" tint="0.79998168889431442"/>
  </sheetPr>
  <dimension ref="B2:P75"/>
  <sheetViews>
    <sheetView zoomScale="85" zoomScaleNormal="85" workbookViewId="0">
      <pane xSplit="2" ySplit="5" topLeftCell="C30" activePane="bottomRight" state="frozen"/>
      <selection pane="topRight" activeCell="C1" sqref="C1"/>
      <selection pane="bottomLeft" activeCell="A6" sqref="A6"/>
      <selection pane="bottomRight" activeCell="E13" sqref="E13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3" width="15.7109375" style="122" customWidth="1"/>
    <col min="14" max="16384" width="10.7109375" style="122"/>
  </cols>
  <sheetData>
    <row r="2" spans="2:12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/>
    </row>
    <row r="3" spans="2:12" ht="18" customHeight="1">
      <c r="B3" s="343"/>
      <c r="C3" s="248">
        <v>44286</v>
      </c>
      <c r="D3" s="248">
        <v>44804</v>
      </c>
      <c r="E3" s="248">
        <v>45169</v>
      </c>
      <c r="F3" s="248">
        <v>45535</v>
      </c>
      <c r="G3" s="248"/>
      <c r="H3" s="248">
        <v>45900</v>
      </c>
      <c r="I3" s="248">
        <v>46265</v>
      </c>
      <c r="J3" s="248">
        <v>46630</v>
      </c>
      <c r="K3" s="248">
        <v>46996</v>
      </c>
      <c r="L3" s="121"/>
    </row>
    <row r="4" spans="2:12" ht="20.100000000000001" customHeight="1">
      <c r="B4" s="343"/>
      <c r="C4" s="124" t="s">
        <v>3</v>
      </c>
      <c r="D4" s="124" t="s">
        <v>663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218"/>
    </row>
    <row r="5" spans="2:12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</row>
    <row r="6" spans="2:12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</row>
    <row r="7" spans="2:12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219"/>
    </row>
    <row r="8" spans="2:12">
      <c r="B8" s="151" t="s">
        <v>26</v>
      </c>
      <c r="C8" s="152"/>
      <c r="D8" s="152">
        <f>'SAS EMB - P&amp;L'!D192</f>
        <v>130353</v>
      </c>
      <c r="E8" s="152">
        <f>'SAS EMB - P&amp;L'!E192</f>
        <v>171265</v>
      </c>
      <c r="F8" s="152">
        <f>'SAS EMB - P&amp;L'!F192</f>
        <v>104222</v>
      </c>
      <c r="G8" s="152"/>
      <c r="H8" s="152">
        <f>'SAS EMB - P&amp;L (2)'!H192</f>
        <v>93316.349999999977</v>
      </c>
      <c r="I8" s="152">
        <f>'SAS EMB - P&amp;L (2)'!I192</f>
        <v>71049.695714285597</v>
      </c>
      <c r="J8" s="152">
        <f>'SAS EMB - P&amp;L (2)'!J192</f>
        <v>89245.495714285644</v>
      </c>
      <c r="K8" s="152">
        <f>'SAS EMB - P&amp;L (2)'!K192</f>
        <v>107824.93571428559</v>
      </c>
      <c r="L8" s="152"/>
    </row>
    <row r="9" spans="2:12">
      <c r="B9" s="148" t="s">
        <v>225</v>
      </c>
      <c r="C9" s="152"/>
      <c r="D9" s="152">
        <f>'SAS EMB - P&amp;L'!D211</f>
        <v>0</v>
      </c>
      <c r="E9" s="152">
        <f>'SAS EMB - P&amp;L'!E211</f>
        <v>-877</v>
      </c>
      <c r="F9" s="152">
        <f>'SAS EMB - P&amp;L'!F211</f>
        <v>0</v>
      </c>
      <c r="G9" s="152"/>
      <c r="H9" s="152">
        <f>'SAS EMB - P&amp;L (2)'!H211</f>
        <v>0</v>
      </c>
      <c r="I9" s="152">
        <f>'SAS EMB - P&amp;L (2)'!I211</f>
        <v>0</v>
      </c>
      <c r="J9" s="152">
        <f>'SAS EMB - P&amp;L (2)'!J211</f>
        <v>0</v>
      </c>
      <c r="K9" s="152">
        <f>'SAS EMB - P&amp;L (2)'!K211</f>
        <v>0</v>
      </c>
      <c r="L9" s="152"/>
    </row>
    <row r="10" spans="2:12">
      <c r="B10" s="148" t="s">
        <v>226</v>
      </c>
      <c r="C10" s="152"/>
      <c r="D10" s="152">
        <f>'SAS EMB - P&amp;L'!D208</f>
        <v>2548</v>
      </c>
      <c r="E10" s="152">
        <f>'SAS EMB - P&amp;L'!E208</f>
        <v>0</v>
      </c>
      <c r="F10" s="152">
        <f>'SAS EMB - P&amp;L'!F208</f>
        <v>0</v>
      </c>
      <c r="G10" s="152"/>
      <c r="H10" s="152">
        <f>'SAS EMB - P&amp;L (2)'!H208</f>
        <v>0</v>
      </c>
      <c r="I10" s="152">
        <f>'SAS EMB - P&amp;L (2)'!I208</f>
        <v>0</v>
      </c>
      <c r="J10" s="152">
        <f>'SAS EMB - P&amp;L (2)'!J208</f>
        <v>0</v>
      </c>
      <c r="K10" s="152">
        <f>'SAS EMB - P&amp;L (2)'!K208</f>
        <v>0</v>
      </c>
      <c r="L10" s="152"/>
    </row>
    <row r="11" spans="2:12">
      <c r="B11" s="148" t="s">
        <v>227</v>
      </c>
      <c r="C11" s="152"/>
      <c r="D11" s="152">
        <f>'SAS EMB - P&amp;L'!D214</f>
        <v>-28374</v>
      </c>
      <c r="E11" s="152">
        <f>'SAS EMB - P&amp;L'!E214</f>
        <v>-43013</v>
      </c>
      <c r="F11" s="152">
        <f>'SAS EMB - P&amp;L'!F214</f>
        <v>-24801</v>
      </c>
      <c r="G11" s="152"/>
      <c r="H11" s="152">
        <f>'SAS EMB - P&amp;L (2)'!H214</f>
        <v>-20829.087499999994</v>
      </c>
      <c r="I11" s="152">
        <f>'SAS EMB - P&amp;L (2)'!I214</f>
        <v>-15262.423928571399</v>
      </c>
      <c r="J11" s="152">
        <f>'SAS EMB - P&amp;L (2)'!J214</f>
        <v>-19811.373928571411</v>
      </c>
      <c r="K11" s="152">
        <f>'SAS EMB - P&amp;L (2)'!K214</f>
        <v>-24456.233928571397</v>
      </c>
      <c r="L11" s="152"/>
    </row>
    <row r="12" spans="2:12">
      <c r="B12" s="153" t="s">
        <v>228</v>
      </c>
      <c r="C12" s="154">
        <f t="shared" ref="C12" si="0">SUM(C8:C11)</f>
        <v>0</v>
      </c>
      <c r="D12" s="154">
        <f>SUM(D8:D11)</f>
        <v>104527</v>
      </c>
      <c r="E12" s="154">
        <f>SUM(E8:E11)</f>
        <v>127375</v>
      </c>
      <c r="F12" s="154">
        <f>SUM(F8:F11)</f>
        <v>79421</v>
      </c>
      <c r="G12" s="154"/>
      <c r="H12" s="154">
        <f>SUM(H8:H11)</f>
        <v>72487.262499999983</v>
      </c>
      <c r="I12" s="154">
        <f>SUM(I8:I11)</f>
        <v>55787.271785714198</v>
      </c>
      <c r="J12" s="154">
        <f>SUM(J8:J11)</f>
        <v>69434.121785714233</v>
      </c>
      <c r="K12" s="154">
        <f>SUM(K8:K11)</f>
        <v>83368.701785714191</v>
      </c>
      <c r="L12" s="154"/>
    </row>
    <row r="13" spans="2:12">
      <c r="B13" s="148" t="s">
        <v>229</v>
      </c>
      <c r="C13" s="152"/>
      <c r="D13" s="152">
        <f>-'SAS EMB - P&amp;L'!D183</f>
        <v>26013</v>
      </c>
      <c r="E13" s="152">
        <f>-'SAS EMB - P&amp;L'!E183</f>
        <v>16028</v>
      </c>
      <c r="F13" s="152">
        <f>-'SAS EMB - P&amp;L'!F183</f>
        <v>16585</v>
      </c>
      <c r="G13" s="152"/>
      <c r="H13" s="152">
        <f>-'SAS EMB - P&amp;L (2)'!H183</f>
        <v>15000</v>
      </c>
      <c r="I13" s="152">
        <f>-'SAS EMB - P&amp;L (2)'!I183</f>
        <v>15000</v>
      </c>
      <c r="J13" s="152">
        <f>-'SAS EMB - P&amp;L (2)'!J183</f>
        <v>15000</v>
      </c>
      <c r="K13" s="152">
        <f>-'SAS EMB - P&amp;L (2)'!K183</f>
        <v>15000</v>
      </c>
      <c r="L13" s="152"/>
    </row>
    <row r="14" spans="2:12">
      <c r="B14" s="148" t="s">
        <v>230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</row>
    <row r="15" spans="2:12">
      <c r="B15" s="153" t="s">
        <v>231</v>
      </c>
      <c r="C15" s="154">
        <f t="shared" ref="C15:F15" si="1">SUM(C16:C26)</f>
        <v>0</v>
      </c>
      <c r="D15" s="154">
        <f t="shared" si="1"/>
        <v>-151573</v>
      </c>
      <c r="E15" s="154">
        <f t="shared" si="1"/>
        <v>182803</v>
      </c>
      <c r="F15" s="154">
        <f t="shared" si="1"/>
        <v>-172806</v>
      </c>
      <c r="G15" s="154"/>
      <c r="H15" s="154">
        <f>SUM(H16:H27)</f>
        <v>-3577</v>
      </c>
      <c r="I15" s="154">
        <f>SUM(I16:I27)</f>
        <v>-9691</v>
      </c>
      <c r="J15" s="154">
        <f>SUM(J16:J27)</f>
        <v>5000</v>
      </c>
      <c r="K15" s="154">
        <f>SUM(K16:K27)</f>
        <v>0</v>
      </c>
      <c r="L15" s="154"/>
    </row>
    <row r="16" spans="2:12" s="145" customFormat="1" ht="15" outlineLevel="1">
      <c r="B16" s="155" t="s">
        <v>232</v>
      </c>
      <c r="C16" s="156"/>
      <c r="D16" s="156">
        <f>-('SAS EMB - Bilan'!D14-'SAS EMB - Bilan'!C14)</f>
        <v>-48984</v>
      </c>
      <c r="E16" s="156">
        <f>-('SAS EMB - Bilan'!E14-'SAS EMB - Bilan'!D14)</f>
        <v>106555</v>
      </c>
      <c r="F16" s="156">
        <f>-('SAS EMB - Bilan'!F14-'SAS EMB - Bilan'!E14)</f>
        <v>-70376</v>
      </c>
      <c r="G16" s="156"/>
      <c r="H16" s="156">
        <f>-('SAS EMB - Bilan (2)'!H14-'SAS EMB - Bilan (2)'!F14)</f>
        <v>-3980</v>
      </c>
      <c r="I16" s="156">
        <f>-('SAS EMB - Bilan (2)'!I14-'SAS EMB - Bilan (2)'!H14)</f>
        <v>-10000</v>
      </c>
      <c r="J16" s="156">
        <f>-('SAS EMB - Bilan (2)'!J14-'SAS EMB - Bilan (2)'!I14)</f>
        <v>0</v>
      </c>
      <c r="K16" s="156">
        <f>-('SAS EMB - Bilan (2)'!K14-'SAS EMB - Bilan (2)'!J14)</f>
        <v>-5000</v>
      </c>
      <c r="L16" s="156"/>
    </row>
    <row r="17" spans="2:12" s="145" customFormat="1" ht="15" outlineLevel="1">
      <c r="B17" s="155" t="s">
        <v>233</v>
      </c>
      <c r="C17" s="156"/>
      <c r="D17" s="156">
        <f>-('SAS EMB - Bilan'!D15-'SAS EMB - Bilan'!C15)</f>
        <v>0</v>
      </c>
      <c r="E17" s="156">
        <f>-('SAS EMB - Bilan'!E15-'SAS EMB - Bilan'!D15)</f>
        <v>0</v>
      </c>
      <c r="F17" s="156">
        <f>-('SAS EMB - Bilan'!F15-'SAS EMB - Bilan'!E15)</f>
        <v>0</v>
      </c>
      <c r="G17" s="156"/>
      <c r="H17" s="156">
        <f>-('SAS EMB - Bilan (2)'!H15-'SAS EMB - Bilan (2)'!F15)</f>
        <v>0</v>
      </c>
      <c r="I17" s="156">
        <f>-('SAS EMB - Bilan (2)'!I15-'SAS EMB - Bilan (2)'!H15)</f>
        <v>0</v>
      </c>
      <c r="J17" s="156">
        <f>-('SAS EMB - Bilan (2)'!J15-'SAS EMB - Bilan (2)'!I15)</f>
        <v>0</v>
      </c>
      <c r="K17" s="156">
        <f>-('SAS EMB - Bilan (2)'!K15-'SAS EMB - Bilan (2)'!J15)</f>
        <v>0</v>
      </c>
      <c r="L17" s="156"/>
    </row>
    <row r="18" spans="2:12" s="145" customFormat="1" ht="15" outlineLevel="1">
      <c r="B18" s="155" t="s">
        <v>234</v>
      </c>
      <c r="C18" s="156"/>
      <c r="D18" s="156">
        <f>-('SAS EMB - Bilan'!D16-'SAS EMB - Bilan'!C16)</f>
        <v>-24737</v>
      </c>
      <c r="E18" s="156">
        <f>-('SAS EMB - Bilan'!E16-'SAS EMB - Bilan'!D16)</f>
        <v>-2162</v>
      </c>
      <c r="F18" s="156">
        <f>-('SAS EMB - Bilan'!F16-'SAS EMB - Bilan'!E16)</f>
        <v>52208</v>
      </c>
      <c r="G18" s="156"/>
      <c r="H18" s="156">
        <f>-('SAS EMB - Bilan (2)'!H16-'SAS EMB - Bilan (2)'!F16)</f>
        <v>403</v>
      </c>
      <c r="I18" s="156">
        <f>-('SAS EMB - Bilan (2)'!I16-'SAS EMB - Bilan (2)'!H16)</f>
        <v>10000</v>
      </c>
      <c r="J18" s="156">
        <f>-('SAS EMB - Bilan (2)'!J16-'SAS EMB - Bilan (2)'!I16)</f>
        <v>0</v>
      </c>
      <c r="K18" s="156">
        <f>-('SAS EMB - Bilan (2)'!K16-'SAS EMB - Bilan (2)'!J16)</f>
        <v>0</v>
      </c>
      <c r="L18" s="156"/>
    </row>
    <row r="19" spans="2:12" s="145" customFormat="1" ht="15" outlineLevel="1">
      <c r="B19" s="155" t="s">
        <v>235</v>
      </c>
      <c r="C19" s="156"/>
      <c r="D19" s="156">
        <f>-('SAS EMB - Bilan'!D17-'SAS EMB - Bilan'!C17)</f>
        <v>-109050</v>
      </c>
      <c r="E19" s="156">
        <f>-('SAS EMB - Bilan'!E17-'SAS EMB - Bilan'!D17)</f>
        <v>70410</v>
      </c>
      <c r="F19" s="156">
        <f>-('SAS EMB - Bilan'!F17-'SAS EMB - Bilan'!E17)</f>
        <v>-175017</v>
      </c>
      <c r="G19" s="156"/>
      <c r="H19" s="156">
        <f>-('SAS EMB - Bilan (2)'!H17-'SAS EMB - Bilan (2)'!F17)</f>
        <v>0</v>
      </c>
      <c r="I19" s="156">
        <f>-('SAS EMB - Bilan (2)'!I17-'SAS EMB - Bilan (2)'!H17)</f>
        <v>0</v>
      </c>
      <c r="J19" s="156">
        <f>-('SAS EMB - Bilan (2)'!J17-'SAS EMB - Bilan (2)'!I17)</f>
        <v>0</v>
      </c>
      <c r="K19" s="156">
        <f>-('SAS EMB - Bilan (2)'!K17-'SAS EMB - Bilan (2)'!J17)</f>
        <v>0</v>
      </c>
      <c r="L19" s="156"/>
    </row>
    <row r="20" spans="2:12" s="145" customFormat="1" ht="15" outlineLevel="1">
      <c r="B20" s="155" t="s">
        <v>236</v>
      </c>
      <c r="C20" s="156"/>
      <c r="D20" s="156">
        <f>-('SAS EMB - Bilan'!D19-'SAS EMB - Bilan'!C19)</f>
        <v>-2042</v>
      </c>
      <c r="E20" s="156">
        <f>-('SAS EMB - Bilan'!E19-'SAS EMB - Bilan'!D19)</f>
        <v>1022</v>
      </c>
      <c r="F20" s="156">
        <f>-('SAS EMB - Bilan'!F19-'SAS EMB - Bilan'!E19)</f>
        <v>1424</v>
      </c>
      <c r="G20" s="156"/>
      <c r="H20" s="156">
        <f>-('SAS EMB - Bilan (2)'!H19-'SAS EMB - Bilan (2)'!F19)</f>
        <v>0</v>
      </c>
      <c r="I20" s="156">
        <f>-('SAS EMB - Bilan (2)'!I19-'SAS EMB - Bilan (2)'!H19)</f>
        <v>0</v>
      </c>
      <c r="J20" s="156">
        <f>-('SAS EMB - Bilan (2)'!J19-'SAS EMB - Bilan (2)'!I19)</f>
        <v>0</v>
      </c>
      <c r="K20" s="156">
        <f>-('SAS EMB - Bilan (2)'!K19-'SAS EMB - Bilan (2)'!J19)</f>
        <v>0</v>
      </c>
      <c r="L20" s="156"/>
    </row>
    <row r="21" spans="2:12" s="145" customFormat="1" ht="15" outlineLevel="1">
      <c r="B21" s="155" t="s">
        <v>237</v>
      </c>
      <c r="C21" s="156"/>
      <c r="D21" s="156">
        <f>'SAS EMB - Bilan'!D46-'SAS EMB - Bilan'!C46</f>
        <v>0</v>
      </c>
      <c r="E21" s="156">
        <f>'SAS EMB - Bilan'!E46-'SAS EMB - Bilan'!D46</f>
        <v>0</v>
      </c>
      <c r="F21" s="156">
        <f>'SAS EMB - Bilan'!F46-'SAS EMB - Bilan'!E46</f>
        <v>0</v>
      </c>
      <c r="G21" s="156"/>
      <c r="H21" s="156">
        <f>'SAS EMB - Bilan (2)'!H46-'SAS EMB - Bilan (2)'!F46</f>
        <v>0</v>
      </c>
      <c r="I21" s="156">
        <f>'SAS EMB - Bilan (2)'!I46-'SAS EMB - Bilan (2)'!H46</f>
        <v>0</v>
      </c>
      <c r="J21" s="156">
        <f>'SAS EMB - Bilan (2)'!J46-'SAS EMB - Bilan (2)'!I46</f>
        <v>0</v>
      </c>
      <c r="K21" s="156">
        <f>'SAS EMB - Bilan (2)'!K46-'SAS EMB - Bilan (2)'!J46</f>
        <v>0</v>
      </c>
      <c r="L21" s="156"/>
    </row>
    <row r="22" spans="2:12" s="145" customFormat="1" ht="15" outlineLevel="1">
      <c r="B22" s="155" t="s">
        <v>238</v>
      </c>
      <c r="C22" s="156"/>
      <c r="D22" s="156">
        <f>'SAS EMB - Bilan'!D47-'SAS EMB - Bilan'!C47</f>
        <v>50566</v>
      </c>
      <c r="E22" s="156">
        <f>'SAS EMB - Bilan'!E47-'SAS EMB - Bilan'!D47</f>
        <v>-14090</v>
      </c>
      <c r="F22" s="156">
        <f>'SAS EMB - Bilan'!F47-'SAS EMB - Bilan'!E47</f>
        <v>68924</v>
      </c>
      <c r="G22" s="156"/>
      <c r="H22" s="156">
        <f>'SAS EMB - Bilan (2)'!H47-'SAS EMB - Bilan (2)'!F47</f>
        <v>0</v>
      </c>
      <c r="I22" s="156">
        <f>'SAS EMB - Bilan (2)'!I47-'SAS EMB - Bilan (2)'!H47</f>
        <v>-9691</v>
      </c>
      <c r="J22" s="156">
        <f>'SAS EMB - Bilan (2)'!J47-'SAS EMB - Bilan (2)'!I47</f>
        <v>5000</v>
      </c>
      <c r="K22" s="156">
        <f>'SAS EMB - Bilan (2)'!K47-'SAS EMB - Bilan (2)'!J47</f>
        <v>5000</v>
      </c>
      <c r="L22" s="156"/>
    </row>
    <row r="23" spans="2:12" s="145" customFormat="1" ht="15" outlineLevel="1">
      <c r="B23" s="155" t="s">
        <v>239</v>
      </c>
      <c r="C23" s="156"/>
      <c r="D23" s="156">
        <f>'SAS EMB - Bilan'!D48-'SAS EMB - Bilan'!C48</f>
        <v>-5751</v>
      </c>
      <c r="E23" s="156">
        <f>'SAS EMB - Bilan'!E48-'SAS EMB - Bilan'!D48</f>
        <v>21920</v>
      </c>
      <c r="F23" s="156">
        <f>'SAS EMB - Bilan'!F48-'SAS EMB - Bilan'!E48</f>
        <v>-49969</v>
      </c>
      <c r="G23" s="156"/>
      <c r="H23" s="156">
        <f>'SAS EMB - Bilan (2)'!H48-'SAS EMB - Bilan (2)'!F48</f>
        <v>0</v>
      </c>
      <c r="I23" s="156">
        <f>'SAS EMB - Bilan (2)'!I48-'SAS EMB - Bilan (2)'!H48</f>
        <v>0</v>
      </c>
      <c r="J23" s="156">
        <f>'SAS EMB - Bilan (2)'!J48-'SAS EMB - Bilan (2)'!I48</f>
        <v>0</v>
      </c>
      <c r="K23" s="156">
        <f>'SAS EMB - Bilan (2)'!K48-'SAS EMB - Bilan (2)'!J48</f>
        <v>0</v>
      </c>
      <c r="L23" s="156"/>
    </row>
    <row r="24" spans="2:12" s="145" customFormat="1" ht="15" outlineLevel="1">
      <c r="B24" s="155" t="s">
        <v>251</v>
      </c>
      <c r="C24" s="156"/>
      <c r="D24" s="156">
        <f>'SAS EMB - Bilan'!D49-'SAS EMB - Bilan'!C49</f>
        <v>0</v>
      </c>
      <c r="E24" s="156">
        <f>'SAS EMB - Bilan'!E49-'SAS EMB - Bilan'!D49</f>
        <v>0</v>
      </c>
      <c r="F24" s="156">
        <f>'SAS EMB - Bilan'!F49-'SAS EMB - Bilan'!E49</f>
        <v>0</v>
      </c>
      <c r="G24" s="156"/>
      <c r="H24" s="156">
        <f>'SAS EMB - Bilan (2)'!H49-'SAS EMB - Bilan (2)'!F49</f>
        <v>0</v>
      </c>
      <c r="I24" s="156">
        <f>'SAS EMB - Bilan (2)'!I49-'SAS EMB - Bilan (2)'!H49</f>
        <v>0</v>
      </c>
      <c r="J24" s="156">
        <f>'SAS EMB - Bilan (2)'!J49-'SAS EMB - Bilan (2)'!I49</f>
        <v>0</v>
      </c>
      <c r="K24" s="156">
        <f>'SAS EMB - Bilan (2)'!K49-'SAS EMB - Bilan (2)'!J49</f>
        <v>0</v>
      </c>
      <c r="L24" s="156"/>
    </row>
    <row r="25" spans="2:12" s="145" customFormat="1" ht="15" outlineLevel="1">
      <c r="B25" s="155" t="s">
        <v>240</v>
      </c>
      <c r="C25" s="156"/>
      <c r="D25" s="156">
        <f>'SAS EMB - Bilan'!D50-'SAS EMB - Bilan'!C50</f>
        <v>-4925</v>
      </c>
      <c r="E25" s="156">
        <f>'SAS EMB - Bilan'!E50-'SAS EMB - Bilan'!D50</f>
        <v>-852</v>
      </c>
      <c r="F25" s="156">
        <f>'SAS EMB - Bilan'!F50-'SAS EMB - Bilan'!E50</f>
        <v>0</v>
      </c>
      <c r="G25" s="156"/>
      <c r="H25" s="156">
        <f>'SAS EMB - Bilan (2)'!H50-'SAS EMB - Bilan (2)'!F50</f>
        <v>0</v>
      </c>
      <c r="I25" s="156">
        <f>'SAS EMB - Bilan (2)'!I50-'SAS EMB - Bilan (2)'!H50</f>
        <v>0</v>
      </c>
      <c r="J25" s="156">
        <f>'SAS EMB - Bilan (2)'!J50-'SAS EMB - Bilan (2)'!I50</f>
        <v>0</v>
      </c>
      <c r="K25" s="156">
        <f>'SAS EMB - Bilan (2)'!K50-'SAS EMB - Bilan (2)'!J50</f>
        <v>0</v>
      </c>
      <c r="L25" s="156"/>
    </row>
    <row r="26" spans="2:12" s="145" customFormat="1" ht="15" outlineLevel="1">
      <c r="B26" s="157" t="s">
        <v>241</v>
      </c>
      <c r="C26" s="156"/>
      <c r="D26" s="156">
        <f>'SAS EMB - Bilan'!D51-'SAS EMB - Bilan'!C51</f>
        <v>-6650</v>
      </c>
      <c r="E26" s="156">
        <f>'SAS EMB - Bilan'!E51-'SAS EMB - Bilan'!D51</f>
        <v>0</v>
      </c>
      <c r="F26" s="156">
        <f>'SAS EMB - Bilan'!F51-'SAS EMB - Bilan'!E51</f>
        <v>0</v>
      </c>
      <c r="G26" s="156"/>
      <c r="H26" s="156">
        <f>'SAS EMB - Bilan (2)'!H51-'SAS EMB - Bilan (2)'!F51</f>
        <v>0</v>
      </c>
      <c r="I26" s="156">
        <f>'SAS EMB - Bilan (2)'!I51-'SAS EMB - Bilan (2)'!H51</f>
        <v>0</v>
      </c>
      <c r="J26" s="156">
        <f>'SAS EMB - Bilan (2)'!J51-'SAS EMB - Bilan (2)'!I51</f>
        <v>0</v>
      </c>
      <c r="K26" s="156">
        <f>'SAS EMB - Bilan (2)'!K51-'SAS EMB - Bilan (2)'!J51</f>
        <v>0</v>
      </c>
      <c r="L26" s="156"/>
    </row>
    <row r="27" spans="2:12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</row>
    <row r="28" spans="2:12">
      <c r="B28" s="159" t="s">
        <v>242</v>
      </c>
      <c r="C28" s="160">
        <f t="shared" ref="C28" si="2">SUM(C12:C15)</f>
        <v>0</v>
      </c>
      <c r="D28" s="160">
        <f t="shared" ref="D28:K28" si="3">SUM(D12:D15)</f>
        <v>-21033</v>
      </c>
      <c r="E28" s="160">
        <f t="shared" si="3"/>
        <v>326206</v>
      </c>
      <c r="F28" s="160">
        <f t="shared" si="3"/>
        <v>-76800</v>
      </c>
      <c r="G28" s="160"/>
      <c r="H28" s="160">
        <f t="shared" si="3"/>
        <v>83910.262499999983</v>
      </c>
      <c r="I28" s="160">
        <f t="shared" si="3"/>
        <v>61096.271785714198</v>
      </c>
      <c r="J28" s="160">
        <f t="shared" si="3"/>
        <v>89434.121785714233</v>
      </c>
      <c r="K28" s="160">
        <f t="shared" si="3"/>
        <v>98368.701785714191</v>
      </c>
      <c r="L28" s="160"/>
    </row>
    <row r="29" spans="2:12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2:12">
      <c r="B30" s="149" t="s">
        <v>243</v>
      </c>
      <c r="C30" s="150"/>
      <c r="D30" s="150"/>
      <c r="E30" s="150"/>
      <c r="F30" s="150"/>
      <c r="G30" s="219"/>
      <c r="H30" s="150"/>
      <c r="I30" s="149"/>
      <c r="J30" s="149"/>
      <c r="K30" s="149"/>
      <c r="L30" s="220"/>
    </row>
    <row r="31" spans="2:12">
      <c r="B31" s="151" t="s">
        <v>195</v>
      </c>
      <c r="C31" s="158"/>
      <c r="D31" s="158">
        <f>-('SAS EMB - Bilan'!D9-'SAS EMB - Bilan'!C9-'SAS EMB - P&amp;L'!D184)</f>
        <v>0</v>
      </c>
      <c r="E31" s="158">
        <f>-('SAS EMB - Bilan'!E9-'SAS EMB - Bilan'!D9-'SAS EMB - P&amp;L'!E184)</f>
        <v>0</v>
      </c>
      <c r="F31" s="158">
        <f>-('SAS EMB - Bilan'!F9-'SAS EMB - Bilan'!E9-'SAS EMB - P&amp;L'!F184)</f>
        <v>0</v>
      </c>
      <c r="G31" s="158"/>
      <c r="H31" s="158"/>
      <c r="I31" s="158"/>
      <c r="J31" s="158"/>
      <c r="K31" s="158"/>
      <c r="L31" s="158"/>
    </row>
    <row r="32" spans="2:12">
      <c r="B32" s="151" t="s">
        <v>196</v>
      </c>
      <c r="C32" s="158"/>
      <c r="D32" s="158">
        <f>-('SAS EMB - Bilan'!D10-'SAS EMB - Bilan'!C10-'SAS EMB - P&amp;L'!D185)</f>
        <v>-8668</v>
      </c>
      <c r="E32" s="158">
        <f>-('SAS EMB - Bilan'!E10-'SAS EMB - Bilan'!D10-'SAS EMB - P&amp;L'!E185)</f>
        <v>-26020</v>
      </c>
      <c r="F32" s="158">
        <f>-('SAS EMB - Bilan'!F10-'SAS EMB - Bilan'!E10-'SAS EMB - P&amp;L'!F185)</f>
        <v>-16071</v>
      </c>
      <c r="G32" s="158"/>
      <c r="H32" s="158">
        <v>-15000</v>
      </c>
      <c r="I32" s="158">
        <v>-15000</v>
      </c>
      <c r="J32" s="158">
        <v>-15000</v>
      </c>
      <c r="K32" s="158">
        <v>-15000</v>
      </c>
      <c r="L32" s="158"/>
    </row>
    <row r="33" spans="2:16">
      <c r="B33" s="151" t="s">
        <v>197</v>
      </c>
      <c r="C33" s="158"/>
      <c r="D33" s="158">
        <f>-('SAS EMB - Bilan'!D11-'SAS EMB - Bilan'!C11-'SAS EMB - P&amp;L'!D186)</f>
        <v>0</v>
      </c>
      <c r="E33" s="158">
        <f>-('SAS EMB - Bilan'!E11-'SAS EMB - Bilan'!D11-'SAS EMB - P&amp;L'!E186)</f>
        <v>621</v>
      </c>
      <c r="F33" s="158">
        <f>-('SAS EMB - Bilan'!F11-'SAS EMB - Bilan'!E11-'SAS EMB - P&amp;L'!F186)</f>
        <v>0</v>
      </c>
      <c r="G33" s="158"/>
      <c r="H33" s="158"/>
      <c r="I33" s="158"/>
      <c r="J33" s="158"/>
      <c r="K33" s="158"/>
      <c r="L33" s="158"/>
    </row>
    <row r="34" spans="2:16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</row>
    <row r="35" spans="2:16">
      <c r="B35" s="159" t="s">
        <v>244</v>
      </c>
      <c r="C35" s="160">
        <f t="shared" ref="C35:F35" si="4">SUM(C31:C33)</f>
        <v>0</v>
      </c>
      <c r="D35" s="160">
        <f t="shared" si="4"/>
        <v>-8668</v>
      </c>
      <c r="E35" s="160">
        <f t="shared" si="4"/>
        <v>-25399</v>
      </c>
      <c r="F35" s="160">
        <f t="shared" si="4"/>
        <v>-16071</v>
      </c>
      <c r="G35" s="160"/>
      <c r="H35" s="160">
        <f t="shared" ref="H35:K35" si="5">SUM(H31:H33)</f>
        <v>-15000</v>
      </c>
      <c r="I35" s="160">
        <f t="shared" si="5"/>
        <v>-15000</v>
      </c>
      <c r="J35" s="160">
        <f t="shared" si="5"/>
        <v>-15000</v>
      </c>
      <c r="K35" s="160">
        <f t="shared" si="5"/>
        <v>-15000</v>
      </c>
      <c r="L35" s="160"/>
    </row>
    <row r="36" spans="2:16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</row>
    <row r="37" spans="2:16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220"/>
    </row>
    <row r="38" spans="2:16">
      <c r="B38" s="161" t="s">
        <v>27</v>
      </c>
      <c r="C38" s="134"/>
      <c r="D38" s="134">
        <f>SUM(D39:D42)</f>
        <v>1147</v>
      </c>
      <c r="E38" s="134">
        <f t="shared" ref="E38:F38" si="6">SUM(E39:E42)</f>
        <v>3751</v>
      </c>
      <c r="F38" s="134">
        <f t="shared" si="6"/>
        <v>11568</v>
      </c>
      <c r="G38" s="134"/>
      <c r="H38" s="134">
        <f>'SAS EMB - P&amp;L (2)'!H194</f>
        <v>7000</v>
      </c>
      <c r="I38" s="134">
        <f>'SAS EMB - P&amp;L (2)'!I194</f>
        <v>7000</v>
      </c>
      <c r="J38" s="134">
        <f>'SAS EMB - P&amp;L (2)'!J194</f>
        <v>7000</v>
      </c>
      <c r="K38" s="134">
        <f>'SAS EMB - P&amp;L (2)'!K194</f>
        <v>7000</v>
      </c>
      <c r="L38" s="134"/>
      <c r="M38" s="134"/>
      <c r="N38" s="134"/>
      <c r="O38" s="134"/>
      <c r="P38" s="134"/>
    </row>
    <row r="39" spans="2:16" s="137" customFormat="1" ht="12.75" outlineLevel="1">
      <c r="B39" s="164" t="str">
        <f>'SAS EMB - P&amp;L'!B196</f>
        <v>Intérêt C/C</v>
      </c>
      <c r="C39" s="133"/>
      <c r="D39" s="133">
        <f>'SAS EMB - P&amp;L'!D196</f>
        <v>863</v>
      </c>
      <c r="E39" s="133">
        <f>'SAS EMB - P&amp;L'!E196</f>
        <v>3127</v>
      </c>
      <c r="F39" s="133">
        <f>'SAS EMB - P&amp;L'!F196</f>
        <v>10479</v>
      </c>
      <c r="G39" s="133"/>
      <c r="H39" s="133"/>
      <c r="I39" s="133"/>
      <c r="J39" s="133"/>
      <c r="K39" s="133"/>
      <c r="L39" s="133"/>
      <c r="M39" s="138"/>
      <c r="N39" s="138"/>
      <c r="O39" s="138"/>
      <c r="P39" s="138"/>
    </row>
    <row r="40" spans="2:16" s="137" customFormat="1" ht="12.75" outlineLevel="1">
      <c r="B40" s="164" t="str">
        <f>'SAS EMB - P&amp;L'!B197</f>
        <v>Escompte obtenu</v>
      </c>
      <c r="C40" s="133"/>
      <c r="D40" s="133">
        <f>'SAS EMB - P&amp;L'!D197</f>
        <v>0</v>
      </c>
      <c r="E40" s="133">
        <f>'SAS EMB - P&amp;L'!E197</f>
        <v>366</v>
      </c>
      <c r="F40" s="133">
        <f>'SAS EMB - P&amp;L'!F197</f>
        <v>762</v>
      </c>
      <c r="G40" s="133"/>
      <c r="H40" s="133"/>
      <c r="I40" s="133"/>
      <c r="J40" s="133"/>
      <c r="K40" s="133"/>
      <c r="L40" s="133"/>
      <c r="M40" s="138"/>
      <c r="N40" s="138"/>
      <c r="O40" s="138"/>
      <c r="P40" s="138"/>
    </row>
    <row r="41" spans="2:16" s="137" customFormat="1" ht="12.75" outlineLevel="1">
      <c r="B41" s="164" t="str">
        <f>'SAS EMB - P&amp;L'!B198</f>
        <v>Autre produit financier</v>
      </c>
      <c r="C41" s="133"/>
      <c r="D41" s="133">
        <f>'SAS EMB - P&amp;L'!D198</f>
        <v>284</v>
      </c>
      <c r="E41" s="133">
        <f>'SAS EMB - P&amp;L'!E198</f>
        <v>258</v>
      </c>
      <c r="F41" s="133">
        <f>'SAS EMB - P&amp;L'!F198</f>
        <v>327</v>
      </c>
      <c r="G41" s="133"/>
      <c r="H41" s="133"/>
      <c r="I41" s="133"/>
      <c r="J41" s="133"/>
      <c r="K41" s="133"/>
      <c r="L41" s="133"/>
      <c r="M41" s="138"/>
      <c r="N41" s="138"/>
      <c r="O41" s="138"/>
      <c r="P41" s="138"/>
    </row>
    <row r="42" spans="2:16" s="137" customFormat="1" ht="12.75" outlineLevel="1">
      <c r="B42" s="164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8"/>
      <c r="N42" s="138"/>
      <c r="O42" s="138"/>
      <c r="P42" s="138"/>
    </row>
    <row r="43" spans="2:16">
      <c r="B43" s="161" t="s">
        <v>28</v>
      </c>
      <c r="C43" s="134"/>
      <c r="D43" s="134">
        <f>SUM(D44:D47)</f>
        <v>-400</v>
      </c>
      <c r="E43" s="134">
        <f t="shared" ref="E43:K43" si="7">SUM(E44:E47)</f>
        <v>-58</v>
      </c>
      <c r="F43" s="134">
        <f t="shared" si="7"/>
        <v>-2</v>
      </c>
      <c r="G43" s="134"/>
      <c r="H43" s="134">
        <v>0</v>
      </c>
      <c r="I43" s="134">
        <f t="shared" si="7"/>
        <v>0</v>
      </c>
      <c r="J43" s="134">
        <f t="shared" si="7"/>
        <v>0</v>
      </c>
      <c r="K43" s="134">
        <f t="shared" si="7"/>
        <v>0</v>
      </c>
      <c r="L43" s="134"/>
      <c r="M43" s="134"/>
      <c r="N43" s="134"/>
      <c r="O43" s="134"/>
      <c r="P43" s="134"/>
    </row>
    <row r="44" spans="2:16" s="137" customFormat="1" ht="12.75" outlineLevel="1">
      <c r="B44" s="164" t="str">
        <f>'SAS EMB - P&amp;L'!B201</f>
        <v>Intérêt d'emprunt</v>
      </c>
      <c r="C44" s="133"/>
      <c r="D44" s="133">
        <f>'SAS EMB - P&amp;L'!D201</f>
        <v>-259</v>
      </c>
      <c r="E44" s="133">
        <f>'SAS EMB - P&amp;L'!E201</f>
        <v>-24</v>
      </c>
      <c r="F44" s="133">
        <f>'SAS EMB - P&amp;L'!F201</f>
        <v>0</v>
      </c>
      <c r="G44" s="133"/>
      <c r="H44" s="133"/>
      <c r="I44" s="133"/>
      <c r="J44" s="133"/>
      <c r="K44" s="133"/>
      <c r="L44" s="133"/>
      <c r="M44" s="138"/>
      <c r="N44" s="138"/>
      <c r="O44" s="138"/>
      <c r="P44" s="138"/>
    </row>
    <row r="45" spans="2:16" s="137" customFormat="1" ht="12.75" outlineLevel="1">
      <c r="B45" s="164" t="str">
        <f>'SAS EMB - P&amp;L'!B202</f>
        <v>Intérêt C/C</v>
      </c>
      <c r="C45" s="133"/>
      <c r="D45" s="133">
        <f>'SAS EMB - P&amp;L'!D202</f>
        <v>0</v>
      </c>
      <c r="E45" s="133">
        <f>'SAS EMB - P&amp;L'!E202</f>
        <v>0</v>
      </c>
      <c r="F45" s="133">
        <f>'SAS EMB - P&amp;L'!F202</f>
        <v>0</v>
      </c>
      <c r="G45" s="133"/>
      <c r="H45" s="133"/>
      <c r="I45" s="133"/>
      <c r="J45" s="133"/>
      <c r="K45" s="133"/>
      <c r="L45" s="133"/>
      <c r="M45" s="138"/>
      <c r="N45" s="138"/>
      <c r="O45" s="138"/>
      <c r="P45" s="138"/>
    </row>
    <row r="46" spans="2:16" s="137" customFormat="1" ht="12.75" outlineLevel="1">
      <c r="B46" s="164" t="str">
        <f>'SAS EMB - P&amp;L'!B203</f>
        <v>Escompte accordé</v>
      </c>
      <c r="C46" s="133"/>
      <c r="D46" s="133">
        <f>'SAS EMB - P&amp;L'!D203</f>
        <v>-141</v>
      </c>
      <c r="E46" s="133">
        <f>'SAS EMB - P&amp;L'!E203</f>
        <v>-34</v>
      </c>
      <c r="F46" s="133">
        <f>'SAS EMB - P&amp;L'!F203</f>
        <v>-2</v>
      </c>
      <c r="G46" s="133"/>
      <c r="H46" s="133"/>
      <c r="I46" s="133"/>
      <c r="J46" s="133"/>
      <c r="K46" s="133"/>
      <c r="L46" s="133"/>
      <c r="M46" s="138"/>
      <c r="N46" s="138"/>
      <c r="O46" s="138"/>
      <c r="P46" s="138"/>
    </row>
    <row r="47" spans="2:16" s="137" customFormat="1" ht="12.75" outlineLevel="1">
      <c r="B47" s="164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8"/>
      <c r="N47" s="138"/>
      <c r="O47" s="138"/>
      <c r="P47" s="138"/>
    </row>
    <row r="48" spans="2:16">
      <c r="B48" s="161" t="s">
        <v>213</v>
      </c>
      <c r="C48" s="152"/>
      <c r="D48" s="152">
        <f>SUM(D49:D51)</f>
        <v>-11577</v>
      </c>
      <c r="E48" s="152">
        <f t="shared" ref="E48:K48" si="8">SUM(E49:E51)</f>
        <v>-4850</v>
      </c>
      <c r="F48" s="152">
        <f t="shared" si="8"/>
        <v>0</v>
      </c>
      <c r="G48" s="152"/>
      <c r="H48" s="152">
        <v>0</v>
      </c>
      <c r="I48" s="152">
        <f t="shared" si="8"/>
        <v>0</v>
      </c>
      <c r="J48" s="152">
        <f t="shared" si="8"/>
        <v>0</v>
      </c>
      <c r="K48" s="152">
        <f t="shared" si="8"/>
        <v>0</v>
      </c>
      <c r="L48" s="134"/>
      <c r="M48" s="134"/>
      <c r="N48" s="134"/>
      <c r="O48" s="134"/>
      <c r="P48" s="134"/>
    </row>
    <row r="49" spans="2:16" s="137" customFormat="1" ht="12.75" outlineLevel="1">
      <c r="B49" s="164" t="str">
        <f>'SAS EMB - Bilan'!B39</f>
        <v>Emprunt NUGER 19-101</v>
      </c>
      <c r="C49" s="133"/>
      <c r="D49" s="133">
        <f>'SAS EMB - Bilan'!D39-'SAS EMB - Bilan'!C39</f>
        <v>-11568</v>
      </c>
      <c r="E49" s="133">
        <f>'SAS EMB - Bilan'!E39-'SAS EMB - Bilan'!D39</f>
        <v>-4846</v>
      </c>
      <c r="F49" s="133">
        <f>'SAS EMB - Bilan'!F39-'SAS EMB - Bilan'!E39</f>
        <v>0</v>
      </c>
      <c r="G49" s="133"/>
      <c r="H49" s="133"/>
      <c r="I49" s="133"/>
      <c r="J49" s="133"/>
      <c r="K49" s="133"/>
      <c r="L49" s="133"/>
      <c r="M49" s="138"/>
      <c r="N49" s="138"/>
      <c r="O49" s="138"/>
      <c r="P49" s="138"/>
    </row>
    <row r="50" spans="2:16" s="137" customFormat="1" ht="12.75" outlineLevel="1">
      <c r="B50" s="164" t="str">
        <f>'SAS EMB - Bilan'!B40</f>
        <v>Intérêt courus sur emprunt</v>
      </c>
      <c r="C50" s="133"/>
      <c r="D50" s="133">
        <f>'SAS EMB - Bilan'!D40-'SAS EMB - Bilan'!C40</f>
        <v>-9</v>
      </c>
      <c r="E50" s="133">
        <f>'SAS EMB - Bilan'!E40-'SAS EMB - Bilan'!D40</f>
        <v>-4</v>
      </c>
      <c r="F50" s="133">
        <f>'SAS EMB - Bilan'!F40-'SAS EMB - Bilan'!E40</f>
        <v>0</v>
      </c>
      <c r="G50" s="133"/>
      <c r="H50" s="133"/>
      <c r="I50" s="133"/>
      <c r="J50" s="133"/>
      <c r="K50" s="133"/>
      <c r="L50" s="133"/>
      <c r="M50" s="138"/>
      <c r="N50" s="138"/>
      <c r="O50" s="138"/>
      <c r="P50" s="138"/>
    </row>
    <row r="51" spans="2:16" s="137" customFormat="1" ht="12.75" outlineLevel="1">
      <c r="B51" s="164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8"/>
      <c r="N51" s="138"/>
      <c r="O51" s="138"/>
      <c r="P51" s="138"/>
    </row>
    <row r="52" spans="2:16">
      <c r="B52" s="161" t="s">
        <v>214</v>
      </c>
      <c r="C52" s="152"/>
      <c r="D52" s="152">
        <f>D53</f>
        <v>-30205</v>
      </c>
      <c r="E52" s="152">
        <f t="shared" ref="E52:K52" si="9">E53</f>
        <v>-40389</v>
      </c>
      <c r="F52" s="152">
        <f t="shared" si="9"/>
        <v>0</v>
      </c>
      <c r="G52" s="152"/>
      <c r="H52" s="152">
        <v>0</v>
      </c>
      <c r="I52" s="152">
        <f t="shared" si="9"/>
        <v>0</v>
      </c>
      <c r="J52" s="152">
        <f t="shared" si="9"/>
        <v>0</v>
      </c>
      <c r="K52" s="152">
        <f t="shared" si="9"/>
        <v>0</v>
      </c>
      <c r="L52" s="134"/>
      <c r="M52" s="134"/>
      <c r="N52" s="134"/>
      <c r="O52" s="134"/>
      <c r="P52" s="134"/>
    </row>
    <row r="53" spans="2:16" s="137" customFormat="1" ht="12.75" outlineLevel="1">
      <c r="B53" s="164" t="str">
        <f>'SAS EMB - Bilan'!B43</f>
        <v>C/C SC SEBALI</v>
      </c>
      <c r="C53" s="133"/>
      <c r="D53" s="133">
        <f>'SAS EMB - Bilan'!D43-'SAS EMB - Bilan'!C43</f>
        <v>-30205</v>
      </c>
      <c r="E53" s="133">
        <f>'SAS EMB - Bilan'!E43-'SAS EMB - Bilan'!D43</f>
        <v>-40389</v>
      </c>
      <c r="F53" s="133">
        <f>'SAS EMB - Bilan'!F43-'SAS EMB - Bilan'!E43</f>
        <v>0</v>
      </c>
      <c r="G53" s="133"/>
      <c r="H53" s="133"/>
      <c r="I53" s="133"/>
      <c r="J53" s="133"/>
      <c r="K53" s="133"/>
      <c r="L53" s="133"/>
      <c r="M53" s="138"/>
      <c r="N53" s="138"/>
      <c r="O53" s="138"/>
      <c r="P53" s="138"/>
    </row>
    <row r="54" spans="2:16" s="137" customFormat="1" ht="12.75" outlineLevel="1">
      <c r="B54" s="165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</row>
    <row r="55" spans="2:16">
      <c r="B55" s="161" t="s">
        <v>162</v>
      </c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</row>
    <row r="56" spans="2:16" s="137" customFormat="1" ht="12.75" outlineLevel="1">
      <c r="B56" s="162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</row>
    <row r="57" spans="2:16" s="137" customFormat="1">
      <c r="B57" s="161" t="s">
        <v>263</v>
      </c>
      <c r="C57" s="134"/>
      <c r="D57" s="134">
        <f>-('SAS EMB - Bilan'!C28+'SAS EMB - Bilan'!C29-'SAS EMB - Bilan'!D28)</f>
        <v>0</v>
      </c>
      <c r="E57" s="134">
        <f>-('SAS EMB - Bilan'!D28+'SAS EMB - Bilan'!D29-'SAS EMB - Bilan'!E28)</f>
        <v>-120000</v>
      </c>
      <c r="F57" s="134">
        <f>-('SAS EMB - Bilan'!E28+'SAS EMB - Bilan'!E29-'SAS EMB - Bilan'!F28)</f>
        <v>0</v>
      </c>
      <c r="G57" s="134"/>
      <c r="H57" s="134"/>
      <c r="I57" s="134"/>
      <c r="J57" s="134"/>
      <c r="K57" s="134"/>
      <c r="L57" s="138"/>
      <c r="M57" s="138"/>
      <c r="N57" s="138"/>
      <c r="O57" s="138"/>
      <c r="P57" s="138"/>
    </row>
    <row r="58" spans="2:16" s="137" customFormat="1" ht="12.75" outlineLevel="1">
      <c r="B58" s="162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</row>
    <row r="59" spans="2:16">
      <c r="B59" s="161" t="s">
        <v>252</v>
      </c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</row>
    <row r="60" spans="2:16" s="137" customFormat="1" ht="12.75" outlineLevel="1">
      <c r="B60" s="166" t="s">
        <v>101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</row>
    <row r="61" spans="2:16" s="137" customFormat="1" ht="12.75" outlineLevel="1">
      <c r="B61" s="166" t="s">
        <v>253</v>
      </c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</row>
    <row r="62" spans="2:16" s="137" customFormat="1" ht="12.75">
      <c r="B62" s="162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</row>
    <row r="63" spans="2:16">
      <c r="B63" s="159" t="s">
        <v>246</v>
      </c>
      <c r="C63" s="221"/>
      <c r="D63" s="221">
        <f t="shared" ref="D63:K63" si="10">D38+D43+D48+D52+D55+D57+D59</f>
        <v>-41035</v>
      </c>
      <c r="E63" s="221">
        <f t="shared" si="10"/>
        <v>-161546</v>
      </c>
      <c r="F63" s="221">
        <f t="shared" si="10"/>
        <v>11566</v>
      </c>
      <c r="G63" s="221"/>
      <c r="H63" s="221">
        <f t="shared" si="10"/>
        <v>7000</v>
      </c>
      <c r="I63" s="221">
        <f t="shared" si="10"/>
        <v>7000</v>
      </c>
      <c r="J63" s="221">
        <f t="shared" si="10"/>
        <v>7000</v>
      </c>
      <c r="K63" s="221">
        <f t="shared" si="10"/>
        <v>7000</v>
      </c>
      <c r="L63" s="221"/>
    </row>
    <row r="64" spans="2:16">
      <c r="B64" s="163"/>
      <c r="C64" s="163"/>
      <c r="D64" s="163"/>
      <c r="E64" s="163"/>
      <c r="F64" s="163"/>
      <c r="G64" s="151"/>
      <c r="H64" s="163"/>
      <c r="I64" s="163"/>
      <c r="J64" s="163"/>
      <c r="K64" s="163"/>
      <c r="L64" s="151"/>
    </row>
    <row r="65" spans="2:12">
      <c r="B65" s="162" t="s">
        <v>247</v>
      </c>
      <c r="C65" s="138"/>
      <c r="D65" s="138">
        <v>1</v>
      </c>
      <c r="E65" s="138">
        <v>-2</v>
      </c>
      <c r="F65" s="138">
        <v>11</v>
      </c>
      <c r="G65" s="138"/>
      <c r="H65" s="138"/>
      <c r="I65" s="138"/>
      <c r="J65" s="138"/>
      <c r="K65" s="138"/>
      <c r="L65" s="138"/>
    </row>
    <row r="66" spans="2:12">
      <c r="B66" s="159" t="s">
        <v>248</v>
      </c>
      <c r="C66" s="160"/>
      <c r="D66" s="160">
        <f t="shared" ref="D66:K66" si="11">D63+D65+D35+D28</f>
        <v>-70735</v>
      </c>
      <c r="E66" s="160">
        <f t="shared" si="11"/>
        <v>139259</v>
      </c>
      <c r="F66" s="160">
        <f t="shared" si="11"/>
        <v>-81294</v>
      </c>
      <c r="G66" s="160"/>
      <c r="H66" s="160">
        <f t="shared" si="11"/>
        <v>75910.262499999983</v>
      </c>
      <c r="I66" s="160">
        <f t="shared" si="11"/>
        <v>53096.271785714198</v>
      </c>
      <c r="J66" s="160">
        <f t="shared" si="11"/>
        <v>81434.121785714233</v>
      </c>
      <c r="K66" s="160">
        <f t="shared" si="11"/>
        <v>90368.701785714191</v>
      </c>
      <c r="L66" s="160"/>
    </row>
    <row r="67" spans="2:12">
      <c r="B67" s="151"/>
      <c r="C67" s="151"/>
      <c r="D67" s="151"/>
      <c r="E67" s="151"/>
      <c r="F67" s="151"/>
      <c r="G67" s="151"/>
      <c r="H67" s="151"/>
      <c r="I67" s="151"/>
      <c r="J67" s="151"/>
      <c r="K67" s="151"/>
      <c r="L67" s="151"/>
    </row>
    <row r="68" spans="2:12">
      <c r="B68" s="151" t="s">
        <v>249</v>
      </c>
      <c r="C68" s="152"/>
      <c r="D68" s="152">
        <f>C69</f>
        <v>125296</v>
      </c>
      <c r="E68" s="152">
        <f>D69</f>
        <v>54561</v>
      </c>
      <c r="F68" s="152">
        <f>E69</f>
        <v>193820</v>
      </c>
      <c r="G68" s="152"/>
      <c r="H68" s="152">
        <f>F69</f>
        <v>112526</v>
      </c>
      <c r="I68" s="152">
        <f t="shared" ref="I68:K68" si="12">H69</f>
        <v>188436.26249999998</v>
      </c>
      <c r="J68" s="152">
        <f t="shared" si="12"/>
        <v>241532.53428571418</v>
      </c>
      <c r="K68" s="152">
        <f t="shared" si="12"/>
        <v>322966.65607142844</v>
      </c>
      <c r="L68" s="152"/>
    </row>
    <row r="69" spans="2:12">
      <c r="B69" s="159" t="s">
        <v>250</v>
      </c>
      <c r="C69" s="160">
        <f>'SAS EMB - Bilan'!C18</f>
        <v>125296</v>
      </c>
      <c r="D69" s="160">
        <f t="shared" ref="D69:F69" si="13">D66+D68</f>
        <v>54561</v>
      </c>
      <c r="E69" s="160">
        <f t="shared" si="13"/>
        <v>193820</v>
      </c>
      <c r="F69" s="160">
        <f t="shared" si="13"/>
        <v>112526</v>
      </c>
      <c r="G69" s="160"/>
      <c r="H69" s="160">
        <f t="shared" ref="H69:K69" si="14">H66+H68</f>
        <v>188436.26249999998</v>
      </c>
      <c r="I69" s="160">
        <f t="shared" si="14"/>
        <v>241532.53428571418</v>
      </c>
      <c r="J69" s="160">
        <f t="shared" si="14"/>
        <v>322966.65607142844</v>
      </c>
      <c r="K69" s="160">
        <f t="shared" si="14"/>
        <v>413335.35785714263</v>
      </c>
      <c r="L69" s="160"/>
    </row>
    <row r="70" spans="2:12">
      <c r="B70" s="159"/>
      <c r="C70" s="134"/>
      <c r="D70" s="134"/>
      <c r="E70" s="134"/>
      <c r="F70" s="134"/>
      <c r="G70" s="134"/>
      <c r="H70" s="134"/>
      <c r="I70" s="134"/>
      <c r="J70" s="134"/>
      <c r="K70" s="134"/>
      <c r="L70" s="134"/>
    </row>
    <row r="71" spans="2:12">
      <c r="B71" s="168" t="s">
        <v>221</v>
      </c>
      <c r="C71" s="167"/>
      <c r="D71" s="167" t="str">
        <f>IF(ABS(D69-'SAS EMB - Bilan'!D18)&lt;0.1,"Validé","Erreur")</f>
        <v>Validé</v>
      </c>
      <c r="E71" s="167" t="str">
        <f>IF(ABS(E69-'SAS EMB - Bilan'!E18)&lt;0.1,"Validé","Erreur")</f>
        <v>Validé</v>
      </c>
      <c r="F71" s="167" t="str">
        <f>IF(ABS(F69-'SAS EMB - Bilan'!F18)&lt;0.1,"Validé","Erreur")</f>
        <v>Validé</v>
      </c>
      <c r="G71" s="167"/>
      <c r="H71" s="167" t="str">
        <f>IF(ABS(H69-'SAS EMB - Bilan (2)'!H18)&lt;0.1,"Validé","Erreur")</f>
        <v>Validé</v>
      </c>
      <c r="I71" s="167" t="str">
        <f>IF(ABS(I69-'SAS EMB - Bilan (2)'!I18)&lt;0.1,"Validé","Erreur")</f>
        <v>Validé</v>
      </c>
      <c r="J71" s="167" t="str">
        <f>IF(ABS(J69-'SAS EMB - Bilan (2)'!J18)&lt;0.1,"Validé","Erreur")</f>
        <v>Validé</v>
      </c>
      <c r="K71" s="167" t="str">
        <f>IF(ABS(K69-'SAS EMB - Bilan (2)'!K18)&lt;0.1,"Validé","Erreur")</f>
        <v>Validé</v>
      </c>
      <c r="L71" s="136"/>
    </row>
    <row r="72" spans="2:12">
      <c r="C72" s="151"/>
      <c r="D72" s="151"/>
      <c r="E72" s="151"/>
      <c r="F72" s="151"/>
      <c r="G72" s="151"/>
    </row>
    <row r="73" spans="2:12">
      <c r="C73" s="134"/>
      <c r="D73" s="134"/>
      <c r="E73" s="134"/>
      <c r="F73" s="134"/>
      <c r="G73" s="134"/>
      <c r="H73" s="134"/>
      <c r="I73" s="134"/>
      <c r="J73" s="134"/>
      <c r="K73" s="134"/>
    </row>
    <row r="74" spans="2:12">
      <c r="C74" s="136"/>
      <c r="D74" s="136"/>
      <c r="E74" s="136"/>
      <c r="F74" s="136"/>
      <c r="G74" s="136"/>
    </row>
    <row r="75" spans="2:12">
      <c r="C75" s="134"/>
      <c r="D75" s="134"/>
      <c r="E75" s="134"/>
      <c r="F75" s="134"/>
      <c r="G75" s="134"/>
      <c r="H75" s="134"/>
      <c r="I75" s="134"/>
      <c r="J75" s="134"/>
      <c r="K75" s="134"/>
    </row>
  </sheetData>
  <mergeCells count="1">
    <mergeCell ref="B2:B4"/>
  </mergeCells>
  <conditionalFormatting sqref="C71:K71">
    <cfRule type="containsText" dxfId="93" priority="1" operator="containsText" text="Validé">
      <formula>NOT(ISERROR(SEARCH("Validé",C71)))</formula>
    </cfRule>
    <cfRule type="containsText" dxfId="92" priority="2" operator="containsText" text="Erreur">
      <formula>NOT(ISERROR(SEARCH("Erreur",C71)))</formula>
    </cfRule>
  </conditionalFormatting>
  <conditionalFormatting sqref="C68:L68">
    <cfRule type="containsText" dxfId="91" priority="3" operator="containsText" text="Equilibré">
      <formula>NOT(ISERROR(SEARCH("Equilibré",C68)))</formula>
    </cfRule>
    <cfRule type="containsText" dxfId="90" priority="4" operator="containsText" text="Erreur">
      <formula>NOT(ISERROR(SEARCH("Erreur",C68)))</formula>
    </cfRule>
    <cfRule type="containsText" dxfId="89" priority="5" operator="containsText" text="Validé">
      <formula>NOT(ISERROR(SEARCH("Validé",C68)))</formula>
    </cfRule>
    <cfRule type="containsText" dxfId="88" priority="6" operator="containsText" text="Erreur">
      <formula>NOT(ISERROR(SEARCH("Erreur",C68)))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F11A9-B9EC-E744-A158-50981BCB16E2}">
  <sheetPr codeName="Feuil42">
    <tabColor theme="9" tint="0.79998168889431442"/>
  </sheetPr>
  <dimension ref="A2:XFC69"/>
  <sheetViews>
    <sheetView zoomScale="85" zoomScaleNormal="85" workbookViewId="0">
      <pane xSplit="2" ySplit="4" topLeftCell="C23" activePane="bottomRight" state="frozen"/>
      <selection pane="topRight" activeCell="C1" sqref="C1"/>
      <selection pane="bottomLeft" activeCell="A5" sqref="A5"/>
      <selection pane="bottomRight" activeCell="I63" sqref="I63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1" width="15.7109375" style="145" customWidth="1"/>
    <col min="12" max="12" width="13.140625" style="122" bestFit="1" customWidth="1"/>
    <col min="13" max="13" width="13.42578125" style="122" bestFit="1" customWidth="1"/>
    <col min="14" max="16384" width="10.7109375" style="122"/>
  </cols>
  <sheetData>
    <row r="2" spans="2:13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</row>
    <row r="3" spans="2:13" s="214" customFormat="1" ht="42" customHeight="1">
      <c r="B3" s="344"/>
      <c r="C3" s="248">
        <v>44286</v>
      </c>
      <c r="D3" s="248">
        <v>44804</v>
      </c>
      <c r="E3" s="248">
        <v>45169</v>
      </c>
      <c r="F3" s="248">
        <v>45535</v>
      </c>
      <c r="G3" s="248"/>
      <c r="H3" s="248">
        <v>45900</v>
      </c>
      <c r="I3" s="248">
        <v>46265</v>
      </c>
      <c r="J3" s="248">
        <v>46630</v>
      </c>
      <c r="K3" s="248">
        <v>46996</v>
      </c>
    </row>
    <row r="4" spans="2:13" ht="15" customHeight="1">
      <c r="B4" s="344"/>
      <c r="C4" s="124" t="s">
        <v>3</v>
      </c>
      <c r="D4" s="124" t="s">
        <v>663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</row>
    <row r="5" spans="2:13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</row>
    <row r="6" spans="2:13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</row>
    <row r="7" spans="2:13">
      <c r="B7" s="127"/>
      <c r="C7" s="129"/>
      <c r="D7" s="129"/>
      <c r="E7" s="129"/>
      <c r="F7" s="129"/>
      <c r="G7" s="129"/>
      <c r="H7" s="129"/>
      <c r="I7" s="129"/>
      <c r="J7" s="129"/>
      <c r="K7" s="129"/>
    </row>
    <row r="8" spans="2:13">
      <c r="B8" s="130" t="s">
        <v>194</v>
      </c>
      <c r="C8" s="128">
        <f t="shared" ref="C8:D8" si="0">SUM(C9:C11)</f>
        <v>123835</v>
      </c>
      <c r="D8" s="128">
        <f t="shared" si="0"/>
        <v>106490</v>
      </c>
      <c r="E8" s="128">
        <f>SUM(E9:E11)</f>
        <v>115861</v>
      </c>
      <c r="F8" s="128">
        <f>SUM(F9:F11)</f>
        <v>115347</v>
      </c>
      <c r="G8" s="128"/>
      <c r="H8" s="128">
        <f>SUM(H9:H12)</f>
        <v>115347</v>
      </c>
      <c r="I8" s="128">
        <f t="shared" ref="I8:K8" si="1">SUM(I9:I12)</f>
        <v>115347</v>
      </c>
      <c r="J8" s="128">
        <f t="shared" si="1"/>
        <v>115347</v>
      </c>
      <c r="K8" s="128">
        <f t="shared" si="1"/>
        <v>115347</v>
      </c>
    </row>
    <row r="9" spans="2:13">
      <c r="B9" s="131" t="s">
        <v>195</v>
      </c>
      <c r="C9" s="132">
        <f>45735+5313</f>
        <v>51048</v>
      </c>
      <c r="D9" s="132">
        <f>45735+2395</f>
        <v>48130</v>
      </c>
      <c r="E9" s="132">
        <f>45735+483</f>
        <v>46218</v>
      </c>
      <c r="F9" s="132">
        <v>45735</v>
      </c>
      <c r="G9" s="132"/>
      <c r="H9" s="132">
        <f>F9</f>
        <v>45735</v>
      </c>
      <c r="I9" s="132">
        <f>H9</f>
        <v>45735</v>
      </c>
      <c r="J9" s="132">
        <f>I9</f>
        <v>45735</v>
      </c>
      <c r="K9" s="132">
        <f>J9</f>
        <v>45735</v>
      </c>
      <c r="L9" s="211"/>
    </row>
    <row r="10" spans="2:13">
      <c r="B10" s="131" t="s">
        <v>196</v>
      </c>
      <c r="C10" s="132">
        <f>27912+31130</f>
        <v>59042</v>
      </c>
      <c r="D10" s="132">
        <f>15786+28829</f>
        <v>44615</v>
      </c>
      <c r="E10" s="132">
        <f>13156+43363</f>
        <v>56519</v>
      </c>
      <c r="F10" s="132">
        <f>9680+46808</f>
        <v>56488</v>
      </c>
      <c r="G10" s="132"/>
      <c r="H10" s="132">
        <f>F10+'SAS EMB - P&amp;L (2)'!H183-'SAS EMB - CF (2)'!H32</f>
        <v>56488</v>
      </c>
      <c r="I10" s="132">
        <f>H10+'SAS EMB - P&amp;L (2)'!I183-'SAS EMB - CF (2)'!I32</f>
        <v>56488</v>
      </c>
      <c r="J10" s="132">
        <f>I10+'SAS EMB - P&amp;L (2)'!J183-'SAS EMB - CF (2)'!J32</f>
        <v>56488</v>
      </c>
      <c r="K10" s="132">
        <f>J10+'SAS EMB - P&amp;L (2)'!K183-'SAS EMB - CF (2)'!K32</f>
        <v>56488</v>
      </c>
      <c r="L10" s="188"/>
      <c r="M10" s="188"/>
    </row>
    <row r="11" spans="2:13">
      <c r="B11" s="131" t="s">
        <v>197</v>
      </c>
      <c r="C11" s="132">
        <f>10708+3037</f>
        <v>13745</v>
      </c>
      <c r="D11" s="132">
        <f>10708+3037</f>
        <v>13745</v>
      </c>
      <c r="E11" s="132">
        <f>10964+2160</f>
        <v>13124</v>
      </c>
      <c r="F11" s="132">
        <f>10964+2160</f>
        <v>13124</v>
      </c>
      <c r="G11" s="132"/>
      <c r="H11" s="132">
        <f>F11</f>
        <v>13124</v>
      </c>
      <c r="I11" s="132">
        <f>H11</f>
        <v>13124</v>
      </c>
      <c r="J11" s="132">
        <f>I11</f>
        <v>13124</v>
      </c>
      <c r="K11" s="132">
        <f>J11</f>
        <v>13124</v>
      </c>
      <c r="L11" s="134"/>
      <c r="M11" s="134"/>
    </row>
    <row r="12" spans="2:13">
      <c r="B12" s="127"/>
      <c r="C12" s="129"/>
      <c r="D12" s="129"/>
      <c r="E12" s="129"/>
      <c r="F12" s="129"/>
      <c r="G12" s="129"/>
      <c r="H12" s="129"/>
      <c r="I12" s="129"/>
      <c r="J12" s="129"/>
      <c r="K12" s="129"/>
    </row>
    <row r="13" spans="2:13">
      <c r="B13" s="130" t="s">
        <v>198</v>
      </c>
      <c r="C13" s="128">
        <f t="shared" ref="C13:D13" si="2">SUM(C14:C16,C17:C19)</f>
        <v>550116</v>
      </c>
      <c r="D13" s="128">
        <f t="shared" si="2"/>
        <v>664194</v>
      </c>
      <c r="E13" s="128">
        <f>SUM(E14:E16,E17:E19)</f>
        <v>627628</v>
      </c>
      <c r="F13" s="128">
        <f>SUM(F14:F16,F17:F19)</f>
        <v>738095</v>
      </c>
      <c r="G13" s="128"/>
      <c r="H13" s="128">
        <f>SUM(H14:H20)</f>
        <v>817582.26249999995</v>
      </c>
      <c r="I13" s="128">
        <f>SUM(I14:I20)</f>
        <v>870678.53428571415</v>
      </c>
      <c r="J13" s="128">
        <f>SUM(J14:J20)</f>
        <v>952112.65607142844</v>
      </c>
      <c r="K13" s="128">
        <f>SUM(K14:K20)</f>
        <v>1047481.3578571426</v>
      </c>
      <c r="L13" s="186"/>
      <c r="M13" s="186"/>
    </row>
    <row r="14" spans="2:13">
      <c r="B14" s="131" t="s">
        <v>199</v>
      </c>
      <c r="C14" s="132">
        <f>75473+17742</f>
        <v>93215</v>
      </c>
      <c r="D14" s="132">
        <f>109926+32273</f>
        <v>142199</v>
      </c>
      <c r="E14" s="132">
        <f>28884+6760</f>
        <v>35644</v>
      </c>
      <c r="F14" s="132">
        <f>66168+39852</f>
        <v>106020</v>
      </c>
      <c r="G14" s="132"/>
      <c r="H14" s="132">
        <v>110000</v>
      </c>
      <c r="I14" s="132">
        <v>120000</v>
      </c>
      <c r="J14" s="132">
        <v>120000</v>
      </c>
      <c r="K14" s="132">
        <v>125000</v>
      </c>
      <c r="L14" s="132"/>
      <c r="M14" s="136"/>
    </row>
    <row r="15" spans="2:13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6"/>
      <c r="M15" s="136"/>
    </row>
    <row r="16" spans="2:13">
      <c r="B16" s="131" t="s">
        <v>201</v>
      </c>
      <c r="C16" s="132">
        <f>305224+488</f>
        <v>305712</v>
      </c>
      <c r="D16" s="132">
        <f>330107+342</f>
        <v>330449</v>
      </c>
      <c r="E16" s="132">
        <v>332611</v>
      </c>
      <c r="F16" s="132">
        <v>280403</v>
      </c>
      <c r="G16" s="132"/>
      <c r="H16" s="132">
        <v>280000</v>
      </c>
      <c r="I16" s="132">
        <v>270000</v>
      </c>
      <c r="J16" s="132">
        <f>I16</f>
        <v>270000</v>
      </c>
      <c r="K16" s="132">
        <f>J16</f>
        <v>270000</v>
      </c>
      <c r="L16" s="136"/>
      <c r="M16" s="136"/>
    </row>
    <row r="17" spans="2:13 16383:16383">
      <c r="B17" s="131" t="s">
        <v>202</v>
      </c>
      <c r="C17" s="132">
        <f>2774+11952+1792</f>
        <v>16518</v>
      </c>
      <c r="D17" s="132">
        <f>150+2662+925+120039+1792</f>
        <v>125568</v>
      </c>
      <c r="E17" s="132">
        <f>1603+2389+51166</f>
        <v>55158</v>
      </c>
      <c r="F17" s="132">
        <f>8556+221619</f>
        <v>230175</v>
      </c>
      <c r="G17" s="132"/>
      <c r="H17" s="132">
        <f>F17</f>
        <v>230175</v>
      </c>
      <c r="I17" s="132">
        <f>H17</f>
        <v>230175</v>
      </c>
      <c r="J17" s="132">
        <f>I17</f>
        <v>230175</v>
      </c>
      <c r="K17" s="132">
        <f>J17</f>
        <v>230175</v>
      </c>
      <c r="L17" s="136"/>
      <c r="M17" s="136"/>
    </row>
    <row r="18" spans="2:13 16383:16383">
      <c r="B18" s="131" t="s">
        <v>203</v>
      </c>
      <c r="C18" s="132">
        <v>125296</v>
      </c>
      <c r="D18" s="132">
        <v>54561</v>
      </c>
      <c r="E18" s="132">
        <v>193820</v>
      </c>
      <c r="F18" s="132">
        <v>112526</v>
      </c>
      <c r="G18" s="132"/>
      <c r="H18" s="132">
        <f>'SAS EMB - CF (2)'!H69</f>
        <v>188436.26249999998</v>
      </c>
      <c r="I18" s="132">
        <f>'SAS EMB - CF (2)'!I69</f>
        <v>241532.53428571418</v>
      </c>
      <c r="J18" s="132">
        <f>'SAS EMB - CF (2)'!J69</f>
        <v>322966.65607142844</v>
      </c>
      <c r="K18" s="132">
        <f>'SAS EMB - CF (2)'!K69</f>
        <v>413335.35785714263</v>
      </c>
      <c r="L18" s="136"/>
      <c r="M18" s="136"/>
    </row>
    <row r="19" spans="2:13 16383:16383">
      <c r="B19" s="131" t="s">
        <v>204</v>
      </c>
      <c r="C19" s="132">
        <v>9375</v>
      </c>
      <c r="D19" s="132">
        <v>11417</v>
      </c>
      <c r="E19" s="132">
        <v>10395</v>
      </c>
      <c r="F19" s="132">
        <v>8971</v>
      </c>
      <c r="G19" s="132"/>
      <c r="H19" s="132">
        <f>F19</f>
        <v>8971</v>
      </c>
      <c r="I19" s="132">
        <f>H19</f>
        <v>8971</v>
      </c>
      <c r="J19" s="132">
        <f>I19</f>
        <v>8971</v>
      </c>
      <c r="K19" s="132">
        <f>J19</f>
        <v>8971</v>
      </c>
      <c r="L19" s="136"/>
      <c r="M19" s="136"/>
      <c r="XFC19" s="132"/>
    </row>
    <row r="20" spans="2:13 16383:16383">
      <c r="B20" s="131"/>
      <c r="C20" s="132"/>
      <c r="D20" s="132"/>
      <c r="E20" s="132"/>
      <c r="F20" s="132"/>
      <c r="G20" s="132"/>
      <c r="H20" s="132"/>
      <c r="I20" s="132"/>
      <c r="J20" s="132"/>
      <c r="K20" s="132"/>
    </row>
    <row r="21" spans="2:13 16383:16383">
      <c r="B21" s="130" t="s">
        <v>188</v>
      </c>
      <c r="C21" s="132"/>
      <c r="D21" s="132">
        <v>-1</v>
      </c>
      <c r="E21" s="132">
        <v>-1</v>
      </c>
      <c r="F21" s="132">
        <v>-1</v>
      </c>
      <c r="G21" s="132"/>
      <c r="H21" s="132">
        <f>F21</f>
        <v>-1</v>
      </c>
      <c r="I21" s="132">
        <f>H21</f>
        <v>-1</v>
      </c>
      <c r="J21" s="132">
        <f>I21</f>
        <v>-1</v>
      </c>
      <c r="K21" s="132">
        <f>J21</f>
        <v>-1</v>
      </c>
    </row>
    <row r="22" spans="2:13 16383:16383">
      <c r="B22" s="131"/>
      <c r="C22" s="135"/>
      <c r="D22" s="135"/>
      <c r="E22" s="135"/>
      <c r="F22" s="135"/>
      <c r="G22" s="135"/>
      <c r="H22" s="135"/>
      <c r="I22" s="135"/>
      <c r="J22" s="135"/>
      <c r="K22" s="135"/>
    </row>
    <row r="23" spans="2:13 16383:16383">
      <c r="B23" s="139" t="s">
        <v>205</v>
      </c>
      <c r="C23" s="140">
        <f>+C6+C8+C13+C21</f>
        <v>673951</v>
      </c>
      <c r="D23" s="140">
        <f t="shared" ref="D23:K23" si="3">+D6+D8+D13+D21</f>
        <v>770683</v>
      </c>
      <c r="E23" s="140">
        <f t="shared" si="3"/>
        <v>743488</v>
      </c>
      <c r="F23" s="140">
        <f t="shared" si="3"/>
        <v>853441</v>
      </c>
      <c r="G23" s="271"/>
      <c r="H23" s="140">
        <f t="shared" si="3"/>
        <v>932928.26249999995</v>
      </c>
      <c r="I23" s="140">
        <f t="shared" si="3"/>
        <v>986024.53428571415</v>
      </c>
      <c r="J23" s="140">
        <f t="shared" si="3"/>
        <v>1067458.6560714284</v>
      </c>
      <c r="K23" s="140">
        <f t="shared" si="3"/>
        <v>1162827.3578571426</v>
      </c>
    </row>
    <row r="24" spans="2:13 16383:16383">
      <c r="B24" s="141"/>
      <c r="C24" s="135"/>
      <c r="D24" s="135"/>
      <c r="E24" s="135"/>
      <c r="F24" s="135"/>
      <c r="G24" s="135"/>
      <c r="H24" s="135"/>
      <c r="I24" s="135"/>
      <c r="J24" s="135"/>
      <c r="K24" s="135"/>
    </row>
    <row r="25" spans="2:13 16383:16383">
      <c r="B25" s="130" t="s">
        <v>111</v>
      </c>
      <c r="C25" s="128">
        <f t="shared" ref="C25:K25" si="4">SUM(C26:C31)</f>
        <v>385994</v>
      </c>
      <c r="D25" s="128">
        <f t="shared" si="4"/>
        <v>491267</v>
      </c>
      <c r="E25" s="128">
        <f t="shared" si="4"/>
        <v>502332</v>
      </c>
      <c r="F25" s="128">
        <f t="shared" si="4"/>
        <v>593331</v>
      </c>
      <c r="G25" s="128"/>
      <c r="H25" s="128">
        <f t="shared" si="4"/>
        <v>672818.26249999995</v>
      </c>
      <c r="I25" s="128">
        <f t="shared" si="4"/>
        <v>735605.53428571415</v>
      </c>
      <c r="J25" s="128">
        <f t="shared" si="4"/>
        <v>812039.65607142844</v>
      </c>
      <c r="K25" s="128">
        <f t="shared" si="4"/>
        <v>902408.35785714258</v>
      </c>
    </row>
    <row r="26" spans="2:13 16383:16383">
      <c r="B26" s="131" t="s">
        <v>206</v>
      </c>
      <c r="C26" s="132">
        <v>110000</v>
      </c>
      <c r="D26" s="132">
        <v>110000</v>
      </c>
      <c r="E26" s="132">
        <v>110000</v>
      </c>
      <c r="F26" s="132">
        <f>E26</f>
        <v>110000</v>
      </c>
      <c r="G26" s="132"/>
      <c r="H26" s="132">
        <f>F26</f>
        <v>110000</v>
      </c>
      <c r="I26" s="132">
        <f>H26</f>
        <v>110000</v>
      </c>
      <c r="J26" s="132">
        <f>I26</f>
        <v>110000</v>
      </c>
      <c r="K26" s="132">
        <f>J26</f>
        <v>110000</v>
      </c>
    </row>
    <row r="27" spans="2:13 16383:16383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</row>
    <row r="28" spans="2:13 16383:16383">
      <c r="B28" s="131" t="s">
        <v>65</v>
      </c>
      <c r="C28" s="132">
        <f>11000+266882</f>
        <v>277882</v>
      </c>
      <c r="D28" s="132">
        <f>C28+C29</f>
        <v>275994</v>
      </c>
      <c r="E28" s="132">
        <f>11000+250267</f>
        <v>261267</v>
      </c>
      <c r="F28" s="132">
        <f>E28+E29</f>
        <v>392332</v>
      </c>
      <c r="G28" s="132"/>
      <c r="H28" s="132">
        <f>F28+F29</f>
        <v>483331</v>
      </c>
      <c r="I28" s="132">
        <f>H28+H29</f>
        <v>562818.26249999995</v>
      </c>
      <c r="J28" s="132">
        <f>I28+I29</f>
        <v>625605.53428571415</v>
      </c>
      <c r="K28" s="132">
        <f>J28+J29</f>
        <v>702039.65607142844</v>
      </c>
      <c r="M28" s="134"/>
    </row>
    <row r="29" spans="2:13 16383:16383">
      <c r="B29" s="131" t="s">
        <v>32</v>
      </c>
      <c r="C29" s="132">
        <f>'SAS EMB - P&amp;L'!C220</f>
        <v>-1888</v>
      </c>
      <c r="D29" s="132">
        <f>'SAS EMB - P&amp;L'!D220</f>
        <v>105273</v>
      </c>
      <c r="E29" s="132">
        <f>'SAS EMB - P&amp;L'!E220</f>
        <v>131065</v>
      </c>
      <c r="F29" s="132">
        <f>'SAS EMB - P&amp;L'!F220</f>
        <v>90999</v>
      </c>
      <c r="G29" s="132"/>
      <c r="H29" s="132">
        <f>'SAS EMB - P&amp;L (2)'!H220</f>
        <v>79487.262499999983</v>
      </c>
      <c r="I29" s="132">
        <f>'SAS EMB - P&amp;L (2)'!I220</f>
        <v>62787.271785714198</v>
      </c>
      <c r="J29" s="132">
        <f>'SAS EMB - P&amp;L (2)'!J220</f>
        <v>76434.121785714233</v>
      </c>
      <c r="K29" s="132">
        <f>'SAS EMB - P&amp;L (2)'!K220</f>
        <v>90368.701785714191</v>
      </c>
    </row>
    <row r="30" spans="2:13 16383:16383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</row>
    <row r="31" spans="2:13 16383:16383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</row>
    <row r="32" spans="2:13 16383:16383">
      <c r="B32" s="141"/>
      <c r="C32" s="132"/>
      <c r="D32" s="132"/>
      <c r="E32" s="132"/>
      <c r="F32" s="132"/>
      <c r="G32" s="132"/>
      <c r="H32" s="132"/>
      <c r="I32" s="132"/>
      <c r="J32" s="132"/>
      <c r="K32" s="132"/>
    </row>
    <row r="33" spans="2:16">
      <c r="B33" s="130" t="s">
        <v>51</v>
      </c>
      <c r="C33" s="128">
        <f t="shared" ref="C33:K33" si="5">SUM(C34:C36)</f>
        <v>0</v>
      </c>
      <c r="D33" s="128">
        <f t="shared" si="5"/>
        <v>0</v>
      </c>
      <c r="E33" s="128">
        <f t="shared" si="5"/>
        <v>0</v>
      </c>
      <c r="F33" s="128">
        <f t="shared" si="5"/>
        <v>0</v>
      </c>
      <c r="G33" s="128"/>
      <c r="H33" s="128">
        <v>0</v>
      </c>
      <c r="I33" s="128">
        <f t="shared" si="5"/>
        <v>0</v>
      </c>
      <c r="J33" s="128">
        <f t="shared" si="5"/>
        <v>0</v>
      </c>
      <c r="K33" s="128">
        <f t="shared" si="5"/>
        <v>0</v>
      </c>
    </row>
    <row r="34" spans="2:16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</row>
    <row r="35" spans="2:16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</row>
    <row r="36" spans="2:16">
      <c r="B36" s="141"/>
      <c r="C36" s="135"/>
      <c r="D36" s="135"/>
      <c r="E36" s="135"/>
      <c r="F36" s="135"/>
      <c r="G36" s="135"/>
      <c r="H36" s="135"/>
      <c r="I36" s="135"/>
      <c r="J36" s="135"/>
      <c r="K36" s="135"/>
    </row>
    <row r="37" spans="2:16">
      <c r="B37" s="130" t="s">
        <v>212</v>
      </c>
      <c r="C37" s="185">
        <f t="shared" ref="C37:K37" si="6">+C38+C42</f>
        <v>87021</v>
      </c>
      <c r="D37" s="185">
        <f t="shared" si="6"/>
        <v>45239</v>
      </c>
      <c r="E37" s="185">
        <f t="shared" si="6"/>
        <v>0</v>
      </c>
      <c r="F37" s="185">
        <f t="shared" si="6"/>
        <v>0</v>
      </c>
      <c r="G37" s="185"/>
      <c r="H37" s="185">
        <v>0</v>
      </c>
      <c r="I37" s="185">
        <f t="shared" si="6"/>
        <v>0</v>
      </c>
      <c r="J37" s="185">
        <f t="shared" si="6"/>
        <v>0</v>
      </c>
      <c r="K37" s="185">
        <f t="shared" si="6"/>
        <v>0</v>
      </c>
      <c r="L37" s="190"/>
      <c r="M37" s="190"/>
    </row>
    <row r="38" spans="2:16">
      <c r="B38" s="131" t="s">
        <v>213</v>
      </c>
      <c r="C38" s="132">
        <f>SUM(C39:C41)</f>
        <v>16427</v>
      </c>
      <c r="D38" s="132">
        <f>SUM(D39:D41)</f>
        <v>4850</v>
      </c>
      <c r="E38" s="132">
        <f>SUM(E39:E41)</f>
        <v>0</v>
      </c>
      <c r="F38" s="132">
        <f>SUM(F39:F41)</f>
        <v>0</v>
      </c>
      <c r="G38" s="132"/>
      <c r="H38" s="132">
        <f>F38</f>
        <v>0</v>
      </c>
      <c r="I38" s="132">
        <f>H38</f>
        <v>0</v>
      </c>
      <c r="J38" s="132">
        <f>I38</f>
        <v>0</v>
      </c>
      <c r="K38" s="132">
        <f>J38</f>
        <v>0</v>
      </c>
      <c r="L38" s="189"/>
      <c r="M38" s="189"/>
      <c r="O38" s="134"/>
    </row>
    <row r="39" spans="2:16" s="192" customFormat="1" ht="12.75" hidden="1" outlineLevel="1">
      <c r="B39" s="147" t="s">
        <v>551</v>
      </c>
      <c r="C39" s="133">
        <v>16414</v>
      </c>
      <c r="D39" s="133">
        <v>4846</v>
      </c>
      <c r="E39" s="133"/>
      <c r="F39" s="133"/>
      <c r="G39" s="133"/>
      <c r="H39" s="133"/>
      <c r="I39" s="133"/>
      <c r="J39" s="133"/>
      <c r="K39" s="133"/>
      <c r="L39" s="133"/>
      <c r="M39" s="216"/>
      <c r="N39" s="216"/>
      <c r="P39" s="217"/>
    </row>
    <row r="40" spans="2:16" s="192" customFormat="1" ht="12.75" hidden="1" outlineLevel="1">
      <c r="B40" s="147" t="s">
        <v>552</v>
      </c>
      <c r="C40" s="133">
        <v>13</v>
      </c>
      <c r="D40" s="133">
        <v>4</v>
      </c>
      <c r="E40" s="133"/>
      <c r="F40" s="133"/>
      <c r="G40" s="133"/>
      <c r="H40" s="133"/>
      <c r="I40" s="133"/>
      <c r="J40" s="133"/>
      <c r="K40" s="133"/>
      <c r="L40" s="133"/>
      <c r="M40" s="216"/>
      <c r="N40" s="216"/>
      <c r="P40" s="217"/>
    </row>
    <row r="41" spans="2:16" s="192" customFormat="1" ht="12.75" hidden="1" outlineLevel="1">
      <c r="B41" s="147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P41" s="217"/>
    </row>
    <row r="42" spans="2:16" collapsed="1">
      <c r="B42" s="131" t="s">
        <v>214</v>
      </c>
      <c r="C42" s="132">
        <f>C43</f>
        <v>70594</v>
      </c>
      <c r="D42" s="132">
        <f>D43</f>
        <v>40389</v>
      </c>
      <c r="E42" s="132">
        <f>E43</f>
        <v>0</v>
      </c>
      <c r="F42" s="132">
        <f>F43</f>
        <v>0</v>
      </c>
      <c r="G42" s="132"/>
      <c r="H42" s="132">
        <f>F42</f>
        <v>0</v>
      </c>
      <c r="I42" s="132">
        <f>H42</f>
        <v>0</v>
      </c>
      <c r="J42" s="132">
        <f>I42</f>
        <v>0</v>
      </c>
      <c r="K42" s="132">
        <f>J42</f>
        <v>0</v>
      </c>
      <c r="L42" s="189"/>
      <c r="M42" s="189"/>
    </row>
    <row r="43" spans="2:16" s="192" customFormat="1" ht="12.75" hidden="1" outlineLevel="1">
      <c r="B43" s="147" t="s">
        <v>553</v>
      </c>
      <c r="C43" s="133">
        <v>70594</v>
      </c>
      <c r="D43" s="133">
        <v>40389</v>
      </c>
      <c r="E43" s="133"/>
      <c r="F43" s="133"/>
      <c r="G43" s="133"/>
      <c r="H43" s="133"/>
      <c r="I43" s="133"/>
      <c r="J43" s="133"/>
      <c r="K43" s="133"/>
      <c r="L43" s="133"/>
      <c r="M43" s="216"/>
      <c r="N43" s="216"/>
      <c r="P43" s="217"/>
    </row>
    <row r="44" spans="2:16" collapsed="1">
      <c r="B44" s="147"/>
      <c r="C44" s="133"/>
      <c r="D44" s="133"/>
      <c r="E44" s="133"/>
      <c r="F44" s="133"/>
      <c r="G44" s="133"/>
      <c r="H44" s="133"/>
      <c r="I44" s="133"/>
      <c r="J44" s="133"/>
      <c r="K44" s="133"/>
      <c r="L44" s="211"/>
    </row>
    <row r="45" spans="2:16">
      <c r="B45" s="130" t="s">
        <v>215</v>
      </c>
      <c r="C45" s="128">
        <f t="shared" ref="C45:K45" si="7">SUM(C46:C52)</f>
        <v>200937</v>
      </c>
      <c r="D45" s="128">
        <f t="shared" si="7"/>
        <v>234177</v>
      </c>
      <c r="E45" s="128">
        <f t="shared" si="7"/>
        <v>241155</v>
      </c>
      <c r="F45" s="128">
        <f t="shared" si="7"/>
        <v>260110</v>
      </c>
      <c r="G45" s="128"/>
      <c r="H45" s="128">
        <f t="shared" si="7"/>
        <v>260110</v>
      </c>
      <c r="I45" s="128">
        <f t="shared" si="7"/>
        <v>250419</v>
      </c>
      <c r="J45" s="128">
        <f t="shared" si="7"/>
        <v>255419</v>
      </c>
      <c r="K45" s="128">
        <f t="shared" si="7"/>
        <v>260419</v>
      </c>
      <c r="L45" s="187"/>
      <c r="M45" s="187"/>
    </row>
    <row r="46" spans="2:16">
      <c r="B46" s="131" t="s">
        <v>216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4"/>
      <c r="M46" s="134"/>
    </row>
    <row r="47" spans="2:16">
      <c r="B47" s="131" t="s">
        <v>44</v>
      </c>
      <c r="C47" s="132">
        <f>72695+1596</f>
        <v>74291</v>
      </c>
      <c r="D47" s="132">
        <f>113805+11052</f>
        <v>124857</v>
      </c>
      <c r="E47" s="132">
        <f>101588+9179</f>
        <v>110767</v>
      </c>
      <c r="F47" s="132">
        <f>177239+2452</f>
        <v>179691</v>
      </c>
      <c r="G47" s="132"/>
      <c r="H47" s="132">
        <f>F47</f>
        <v>179691</v>
      </c>
      <c r="I47" s="132">
        <v>170000</v>
      </c>
      <c r="J47" s="132">
        <v>175000</v>
      </c>
      <c r="K47" s="132">
        <v>180000</v>
      </c>
      <c r="L47" s="134"/>
      <c r="M47" s="134"/>
    </row>
    <row r="48" spans="2:16">
      <c r="B48" s="131" t="s">
        <v>217</v>
      </c>
      <c r="C48" s="132">
        <v>114219</v>
      </c>
      <c r="D48" s="132">
        <v>108468</v>
      </c>
      <c r="E48" s="132">
        <v>130388</v>
      </c>
      <c r="F48" s="132">
        <v>80419</v>
      </c>
      <c r="G48" s="132"/>
      <c r="H48" s="132">
        <f>F48</f>
        <v>80419</v>
      </c>
      <c r="I48" s="132">
        <f>H48</f>
        <v>80419</v>
      </c>
      <c r="J48" s="132">
        <f>I48</f>
        <v>80419</v>
      </c>
      <c r="K48" s="132">
        <f>J48</f>
        <v>80419</v>
      </c>
      <c r="L48" s="134"/>
      <c r="M48" s="134"/>
    </row>
    <row r="49" spans="1:40">
      <c r="B49" s="131" t="s">
        <v>222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4"/>
      <c r="M49" s="134"/>
    </row>
    <row r="50" spans="1:40">
      <c r="B50" s="131" t="s">
        <v>218</v>
      </c>
      <c r="C50" s="132">
        <v>5777</v>
      </c>
      <c r="D50" s="132">
        <v>852</v>
      </c>
      <c r="E50" s="132"/>
      <c r="F50" s="132"/>
      <c r="G50" s="132"/>
      <c r="H50" s="132"/>
      <c r="I50" s="132"/>
      <c r="J50" s="132"/>
      <c r="K50" s="132"/>
      <c r="L50" s="134"/>
      <c r="M50" s="134"/>
    </row>
    <row r="51" spans="1:40">
      <c r="B51" s="131" t="s">
        <v>219</v>
      </c>
      <c r="C51" s="132">
        <v>6650</v>
      </c>
      <c r="D51" s="132"/>
      <c r="E51" s="132"/>
      <c r="F51" s="132"/>
      <c r="G51" s="132"/>
      <c r="H51" s="132"/>
      <c r="I51" s="132"/>
      <c r="J51" s="132"/>
      <c r="K51" s="132"/>
      <c r="L51" s="134"/>
      <c r="M51" s="134"/>
    </row>
    <row r="52" spans="1:40">
      <c r="B52" s="131"/>
      <c r="C52" s="135"/>
      <c r="D52" s="135"/>
      <c r="E52" s="135"/>
      <c r="F52" s="135"/>
      <c r="G52" s="135"/>
      <c r="H52" s="135"/>
      <c r="I52" s="135"/>
      <c r="J52" s="135"/>
      <c r="K52" s="135"/>
    </row>
    <row r="53" spans="1:40">
      <c r="B53" s="130" t="s">
        <v>188</v>
      </c>
      <c r="C53" s="132">
        <v>-1</v>
      </c>
      <c r="D53" s="132"/>
      <c r="E53" s="132">
        <v>1</v>
      </c>
      <c r="F53" s="132"/>
      <c r="G53" s="132"/>
      <c r="H53" s="132"/>
      <c r="I53" s="132"/>
      <c r="J53" s="132"/>
      <c r="K53" s="132"/>
    </row>
    <row r="54" spans="1:40">
      <c r="B54" s="130"/>
      <c r="C54" s="135"/>
      <c r="D54" s="135"/>
      <c r="E54" s="135"/>
      <c r="F54" s="135"/>
      <c r="G54" s="135"/>
      <c r="H54" s="135"/>
      <c r="I54" s="135"/>
      <c r="J54" s="135"/>
      <c r="K54" s="135"/>
    </row>
    <row r="55" spans="1:40">
      <c r="B55" s="139" t="s">
        <v>220</v>
      </c>
      <c r="C55" s="140">
        <f t="shared" ref="C55:K55" si="8">+C25+C33+C37+C45+C53</f>
        <v>673951</v>
      </c>
      <c r="D55" s="140">
        <f t="shared" si="8"/>
        <v>770683</v>
      </c>
      <c r="E55" s="140">
        <f t="shared" si="8"/>
        <v>743488</v>
      </c>
      <c r="F55" s="140">
        <f t="shared" si="8"/>
        <v>853441</v>
      </c>
      <c r="G55" s="271"/>
      <c r="H55" s="140">
        <f t="shared" si="8"/>
        <v>932928.26249999995</v>
      </c>
      <c r="I55" s="140">
        <f t="shared" si="8"/>
        <v>986024.53428571415</v>
      </c>
      <c r="J55" s="140">
        <f t="shared" si="8"/>
        <v>1067458.6560714284</v>
      </c>
      <c r="K55" s="140">
        <f t="shared" si="8"/>
        <v>1162827.3578571426</v>
      </c>
    </row>
    <row r="56" spans="1:40">
      <c r="B56" s="141"/>
      <c r="C56" s="135"/>
      <c r="D56" s="135"/>
      <c r="E56" s="135"/>
      <c r="F56" s="135"/>
      <c r="G56" s="135"/>
      <c r="H56" s="135"/>
      <c r="I56" s="135"/>
      <c r="J56" s="135"/>
      <c r="K56" s="135"/>
    </row>
    <row r="57" spans="1:40">
      <c r="B57" s="143" t="s">
        <v>221</v>
      </c>
      <c r="C57" s="144" t="str">
        <f t="shared" ref="C57:K57" si="9">IF(ABS(C55-C23)&lt;2,"Equilibré","Erreur")</f>
        <v>Equilibré</v>
      </c>
      <c r="D57" s="144" t="str">
        <f t="shared" si="9"/>
        <v>Equilibré</v>
      </c>
      <c r="E57" s="144" t="str">
        <f t="shared" si="9"/>
        <v>Equilibré</v>
      </c>
      <c r="F57" s="144" t="str">
        <f t="shared" si="9"/>
        <v>Equilibré</v>
      </c>
      <c r="G57" s="252"/>
      <c r="H57" s="144" t="str">
        <f t="shared" si="9"/>
        <v>Equilibré</v>
      </c>
      <c r="I57" s="144" t="str">
        <f t="shared" si="9"/>
        <v>Equilibré</v>
      </c>
      <c r="J57" s="144" t="str">
        <f t="shared" si="9"/>
        <v>Equilibré</v>
      </c>
      <c r="K57" s="144" t="str">
        <f t="shared" si="9"/>
        <v>Equilibré</v>
      </c>
    </row>
    <row r="59" spans="1:40" s="32" customFormat="1">
      <c r="A59" s="83"/>
      <c r="B59" s="13" t="s">
        <v>68</v>
      </c>
      <c r="C59" s="14"/>
      <c r="D59" s="14"/>
      <c r="E59" s="14"/>
      <c r="F59" s="14"/>
      <c r="G59" s="52"/>
      <c r="H59" s="14"/>
      <c r="I59" s="14"/>
      <c r="J59" s="14"/>
      <c r="K59" s="14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</row>
    <row r="60" spans="1:40" s="32" customFormat="1">
      <c r="A60" s="83"/>
      <c r="B60" s="15" t="s">
        <v>42</v>
      </c>
      <c r="C60" s="23">
        <f>C14/('SAS EMB - P&amp;L'!C15/365)</f>
        <v>34.129344225788394</v>
      </c>
      <c r="D60" s="23">
        <f>D14/('SAS EMB - P&amp;L'!D15/365)</f>
        <v>30.321759460755761</v>
      </c>
      <c r="E60" s="23">
        <f>E14/('SAS EMB - P&amp;L'!E15/365)</f>
        <v>9.8396767821001898</v>
      </c>
      <c r="F60" s="23">
        <f>F14/('SAS EMB - P&amp;L'!F15/365)</f>
        <v>29.084386682480059</v>
      </c>
      <c r="G60" s="272"/>
      <c r="H60" s="23">
        <f>H14/('SAS EMB - P&amp;L (2)'!H15/365)</f>
        <v>29.441635532350965</v>
      </c>
      <c r="I60" s="23">
        <f>I14/('SAS EMB - P&amp;L (2)'!I15/365)</f>
        <v>31.488387039724973</v>
      </c>
      <c r="J60" s="23">
        <f>J14/('SAS EMB - P&amp;L (2)'!J15/365)</f>
        <v>30.870962899164017</v>
      </c>
      <c r="K60" s="23">
        <f>K14/('SAS EMB - P&amp;L (2)'!K15/365)</f>
        <v>31.526722568296385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</row>
    <row r="61" spans="1:40" s="32" customFormat="1">
      <c r="A61" s="83"/>
      <c r="B61" s="15" t="s">
        <v>69</v>
      </c>
      <c r="C61" s="23">
        <f>C16/('SAS EMB - P&amp;L'!C15/365)</f>
        <v>111.93209335358281</v>
      </c>
      <c r="D61" s="23">
        <f>D16/('SAS EMB - P&amp;L'!D15/365)</f>
        <v>70.463189558627562</v>
      </c>
      <c r="E61" s="23">
        <f>E16/('SAS EMB - P&amp;L'!E15/365)</f>
        <v>91.81867170270246</v>
      </c>
      <c r="F61" s="23">
        <f>F16/('SAS EMB - P&amp;L'!F15/365)</f>
        <v>76.922743623160301</v>
      </c>
      <c r="G61" s="272"/>
      <c r="H61" s="23">
        <f>H16/('SAS EMB - P&amp;L (2)'!H15/365)</f>
        <v>74.94234499143883</v>
      </c>
      <c r="I61" s="23">
        <f>I16/('SAS EMB - P&amp;L (2)'!I15/365)</f>
        <v>70.848870839381192</v>
      </c>
      <c r="J61" s="23">
        <f>J16/('SAS EMB - P&amp;L (2)'!J15/365)</f>
        <v>69.45966652311904</v>
      </c>
      <c r="K61" s="23">
        <f>K16/('SAS EMB - P&amp;L (2)'!K15/365)</f>
        <v>68.097720747520185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</row>
    <row r="62" spans="1:40" s="32" customFormat="1">
      <c r="A62" s="83"/>
      <c r="B62" s="15" t="s">
        <v>70</v>
      </c>
      <c r="C62" s="23">
        <f>C47/('SAS EMB - P&amp;L'!C15/365)</f>
        <v>27.200591234007895</v>
      </c>
      <c r="D62" s="23">
        <f>D47/('SAS EMB - P&amp;L'!D15/365)</f>
        <v>26.623843493917551</v>
      </c>
      <c r="E62" s="23">
        <f>E47/('SAS EMB - P&amp;L'!E15/365)</f>
        <v>30.577698297690826</v>
      </c>
      <c r="F62" s="23">
        <f>F47/('SAS EMB - P&amp;L'!F15/365)</f>
        <v>49.294496579527674</v>
      </c>
      <c r="G62" s="272"/>
      <c r="H62" s="23">
        <f>H47/('SAS EMB - P&amp;L (2)'!H15/365)</f>
        <v>48.094517549487975</v>
      </c>
      <c r="I62" s="23">
        <f>I47/('SAS EMB - P&amp;L (2)'!I15/365)</f>
        <v>44.608548306277044</v>
      </c>
      <c r="J62" s="23">
        <f>J47/('SAS EMB - P&amp;L (2)'!J15/365)</f>
        <v>45.020154227947522</v>
      </c>
      <c r="K62" s="23">
        <f>K47/('SAS EMB - P&amp;L (2)'!K15/365)</f>
        <v>45.398480498346792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</row>
    <row r="63" spans="1:40" s="168" customFormat="1">
      <c r="B63" s="24" t="s">
        <v>71</v>
      </c>
      <c r="C63" s="310">
        <f>(C14+C16-C47)/('SAS EMB - P&amp;L'!C15/365)</f>
        <v>118.86084634536333</v>
      </c>
      <c r="D63" s="310">
        <f>(D14+D16-D47)/('SAS EMB - P&amp;L'!D15/365)</f>
        <v>74.161105525465771</v>
      </c>
      <c r="E63" s="310">
        <f>(E14+E16-E47)/('SAS EMB - P&amp;L'!E15/365)</f>
        <v>71.080650187111829</v>
      </c>
      <c r="F63" s="310">
        <f>(F14+F16-F47)/('SAS EMB - P&amp;L'!F15/365)</f>
        <v>56.712633726112685</v>
      </c>
      <c r="G63" s="280"/>
      <c r="H63" s="310">
        <f>(H14+H16-H47)/('SAS EMB - P&amp;L (2)'!H15/365)</f>
        <v>56.289462974301813</v>
      </c>
      <c r="I63" s="310">
        <f>(I14+I16-I47)/('SAS EMB - P&amp;L (2)'!I15/365)</f>
        <v>57.728709572829118</v>
      </c>
      <c r="J63" s="310">
        <f>(J14+J16-J47)/('SAS EMB - P&amp;L (2)'!J15/365)</f>
        <v>55.310475194335531</v>
      </c>
      <c r="K63" s="310">
        <f>(K14+K16-K47)/('SAS EMB - P&amp;L (2)'!K15/365)</f>
        <v>54.225962817469778</v>
      </c>
    </row>
    <row r="64" spans="1:40">
      <c r="B64" s="25" t="s">
        <v>50</v>
      </c>
      <c r="C64" s="26">
        <f>(SUM(C14:C17,C19)-SUM(C46:C51))/('SAS EMB - P&amp;L'!C15/365)</f>
        <v>81.971570812660872</v>
      </c>
      <c r="D64" s="26">
        <f>(SUM(D14:D17,D19)-SUM(D46:D51))/('SAS EMB - P&amp;L'!D15/365)</f>
        <v>80.060243181017555</v>
      </c>
      <c r="E64" s="26">
        <f>(SUM(E14:E17,E19)-SUM(E46:E51))/('SAS EMB - P&amp;L'!E15/365)</f>
        <v>53.182674534338119</v>
      </c>
      <c r="F64" s="26">
        <f>(SUM(F14:F17,F19)-SUM(F46:F51))/('SAS EMB - P&amp;L'!F15/365)</f>
        <v>100.25609198823315</v>
      </c>
      <c r="G64" s="280"/>
      <c r="H64" s="26">
        <f>(SUM(H14:H17,H19)-SUM(H46:H51))/('SAS EMB - P&amp;L (2)'!H15/365)</f>
        <v>98.772940093787923</v>
      </c>
      <c r="I64" s="26">
        <f>(SUM(I14:I17,I19)-SUM(I46:I51))/('SAS EMB - P&amp;L (2)'!I15/365)</f>
        <v>99.379186319949326</v>
      </c>
      <c r="J64" s="26">
        <f>(SUM(J14:J17,J19)-SUM(J46:J51))/('SAS EMB - P&amp;L (2)'!J15/365)</f>
        <v>96.144269595132258</v>
      </c>
      <c r="K64" s="26">
        <f>(SUM(K14:K17,K19)-SUM(K46:K51))/('SAS EMB - P&amp;L (2)'!K15/365)</f>
        <v>94.259099562253624</v>
      </c>
    </row>
    <row r="65" spans="2:11">
      <c r="B65" s="25" t="s">
        <v>72</v>
      </c>
      <c r="C65" s="27">
        <f t="shared" ref="C65:F65" si="10">C23</f>
        <v>673951</v>
      </c>
      <c r="D65" s="27">
        <f t="shared" si="10"/>
        <v>770683</v>
      </c>
      <c r="E65" s="27">
        <f t="shared" si="10"/>
        <v>743488</v>
      </c>
      <c r="F65" s="27">
        <f t="shared" si="10"/>
        <v>853441</v>
      </c>
      <c r="G65" s="281"/>
      <c r="H65" s="27">
        <f t="shared" ref="H65" si="11">H23</f>
        <v>932928.26249999995</v>
      </c>
      <c r="I65" s="27">
        <f t="shared" ref="I65:K65" si="12">I23</f>
        <v>986024.53428571415</v>
      </c>
      <c r="J65" s="27">
        <f t="shared" si="12"/>
        <v>1067458.6560714284</v>
      </c>
      <c r="K65" s="27">
        <f t="shared" si="12"/>
        <v>1162827.3578571426</v>
      </c>
    </row>
    <row r="66" spans="2:11">
      <c r="B66" s="28" t="s">
        <v>73</v>
      </c>
      <c r="C66" s="29">
        <f t="shared" ref="C66:F66" si="13">(C37-C18)/C25</f>
        <v>-9.9159572428586973E-2</v>
      </c>
      <c r="D66" s="29">
        <f t="shared" si="13"/>
        <v>-1.8975424769015627E-2</v>
      </c>
      <c r="E66" s="29">
        <f t="shared" si="13"/>
        <v>-0.385840440186968</v>
      </c>
      <c r="F66" s="29">
        <f t="shared" si="13"/>
        <v>-0.18965130761750187</v>
      </c>
      <c r="G66" s="282"/>
      <c r="H66" s="29">
        <f t="shared" ref="H66" si="14">(H37-H18)/H25</f>
        <v>-0.28007007687309915</v>
      </c>
      <c r="I66" s="29">
        <f t="shared" ref="I66:K66" si="15">(I37-I18)/I25</f>
        <v>-0.32834518369991128</v>
      </c>
      <c r="J66" s="29">
        <f t="shared" si="15"/>
        <v>-0.39772276348412683</v>
      </c>
      <c r="K66" s="29">
        <f t="shared" si="15"/>
        <v>-0.45803582630667128</v>
      </c>
    </row>
    <row r="67" spans="2:11">
      <c r="B67" s="17" t="s">
        <v>74</v>
      </c>
      <c r="C67" s="30">
        <f>(C37-C18)/'SAS EMB - P&amp;L'!C170</f>
        <v>-22.227061556329851</v>
      </c>
      <c r="D67" s="30">
        <f>(D37-D18)/'SAS EMB - P&amp;L'!D170</f>
        <v>-6.3880817937613063E-2</v>
      </c>
      <c r="E67" s="30">
        <f>(E37-E18)/'SAS EMB - P&amp;L'!E170</f>
        <v>-1.1224424793110837</v>
      </c>
      <c r="F67" s="30">
        <f>(F37-F18)/'SAS EMB - P&amp;L'!F170</f>
        <v>-0.96809050630188842</v>
      </c>
      <c r="G67" s="282"/>
      <c r="H67" s="30">
        <f>(H37-H18)/'SAS EMB - P&amp;L (2)'!H170</f>
        <v>-1.9166319996623149</v>
      </c>
      <c r="I67" s="30">
        <f>(I37-I18)/'SAS EMB - P&amp;L (2)'!I170</f>
        <v>-3.1759829150814523</v>
      </c>
      <c r="J67" s="30">
        <f>(J37-J18)/'SAS EMB - P&amp;L (2)'!J170</f>
        <v>-3.4268656939375988</v>
      </c>
      <c r="K67" s="30">
        <f>(K37-K18)/'SAS EMB - P&amp;L (2)'!K170</f>
        <v>-3.6635106879551915</v>
      </c>
    </row>
    <row r="69" spans="2:11">
      <c r="H69" s="146"/>
    </row>
  </sheetData>
  <mergeCells count="1">
    <mergeCell ref="B2:B4"/>
  </mergeCells>
  <conditionalFormatting sqref="C57:K57">
    <cfRule type="containsText" dxfId="87" priority="1" operator="containsText" text="Equilibré">
      <formula>NOT(ISERROR(SEARCH("Equilibré",C57)))</formula>
    </cfRule>
    <cfRule type="containsText" dxfId="86" priority="2" operator="containsText" text="Erreur">
      <formula>NOT(ISERROR(SEARCH("Erreur",C57)))</formula>
    </cfRule>
    <cfRule type="containsText" dxfId="85" priority="3" operator="containsText" text="Validé">
      <formula>NOT(ISERROR(SEARCH("Validé",C57)))</formula>
    </cfRule>
    <cfRule type="containsText" dxfId="84" priority="4" operator="containsText" text="Erreur">
      <formula>NOT(ISERROR(SEARCH("Erreur",C57)))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F0429-C876-7C40-AF4F-907D067BE7EA}">
  <sheetPr codeName="Feuil43">
    <tabColor rgb="FF006C4C"/>
  </sheetPr>
  <dimension ref="A1:AQ298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5" sqref="A5"/>
      <selection pane="bottomRight" activeCell="L7" sqref="L7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84"/>
      <c r="H2" s="245"/>
      <c r="I2" s="84"/>
      <c r="J2" s="84"/>
      <c r="K2" s="84"/>
      <c r="L2" s="247" t="s">
        <v>759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181" t="s">
        <v>261</v>
      </c>
      <c r="H3" s="246"/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44074</v>
      </c>
      <c r="D4" s="54">
        <v>44439</v>
      </c>
      <c r="E4" s="54">
        <v>44804</v>
      </c>
      <c r="F4" s="54">
        <v>45169</v>
      </c>
      <c r="G4" s="54">
        <v>45535</v>
      </c>
      <c r="H4" s="54"/>
      <c r="I4" s="119" t="s">
        <v>755</v>
      </c>
      <c r="J4" s="119" t="s">
        <v>756</v>
      </c>
      <c r="K4" s="119" t="s">
        <v>757</v>
      </c>
      <c r="L4" s="119" t="s">
        <v>758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87" t="s">
        <v>3</v>
      </c>
      <c r="H5" s="274"/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>
        <f>SUM(C8:C50)</f>
        <v>816810</v>
      </c>
      <c r="D7" s="88">
        <f>SUM(D8:D50)</f>
        <v>846066</v>
      </c>
      <c r="E7" s="88">
        <f>SUM(E8:E50)</f>
        <v>1683182</v>
      </c>
      <c r="F7" s="88">
        <f>SUM(F8:F50)</f>
        <v>1886603</v>
      </c>
      <c r="G7" s="88">
        <f>SUM(G8:G50)</f>
        <v>2103918</v>
      </c>
      <c r="H7" s="88"/>
      <c r="I7" s="88">
        <v>2117163</v>
      </c>
      <c r="J7" s="88">
        <v>2328879</v>
      </c>
      <c r="K7" s="88">
        <v>2445323</v>
      </c>
      <c r="L7" s="88">
        <v>2567589</v>
      </c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 outlineLevel="1">
      <c r="A8" s="83"/>
      <c r="B8" s="106" t="s">
        <v>554</v>
      </c>
      <c r="C8" s="95">
        <v>28026</v>
      </c>
      <c r="D8" s="95"/>
      <c r="E8" s="95">
        <v>14748</v>
      </c>
      <c r="F8" s="95">
        <v>127524</v>
      </c>
      <c r="G8" s="95">
        <v>38435</v>
      </c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555</v>
      </c>
      <c r="C9" s="95">
        <v>32862</v>
      </c>
      <c r="D9" s="95">
        <v>2132</v>
      </c>
      <c r="E9" s="95">
        <v>24603</v>
      </c>
      <c r="F9" s="95">
        <v>60580</v>
      </c>
      <c r="G9" s="95">
        <v>96169</v>
      </c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 t="s">
        <v>656</v>
      </c>
      <c r="C10" s="95">
        <v>1463</v>
      </c>
      <c r="D10" s="95"/>
      <c r="E10" s="95"/>
      <c r="F10" s="95"/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851</v>
      </c>
      <c r="C11" s="95"/>
      <c r="D11" s="95"/>
      <c r="E11" s="95"/>
      <c r="F11" s="95"/>
      <c r="G11" s="95">
        <v>3099</v>
      </c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646</v>
      </c>
      <c r="C12" s="95">
        <v>71134</v>
      </c>
      <c r="D12" s="95">
        <v>833</v>
      </c>
      <c r="E12" s="95"/>
      <c r="F12" s="95"/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 t="s">
        <v>556</v>
      </c>
      <c r="C13" s="95"/>
      <c r="D13" s="95">
        <v>17487</v>
      </c>
      <c r="E13" s="95">
        <v>20202</v>
      </c>
      <c r="F13" s="95"/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1">
      <c r="A14" s="83"/>
      <c r="B14" s="106" t="s">
        <v>557</v>
      </c>
      <c r="C14" s="95">
        <v>45842</v>
      </c>
      <c r="D14" s="95">
        <v>54045</v>
      </c>
      <c r="E14" s="95">
        <v>131242</v>
      </c>
      <c r="F14" s="95">
        <v>239128</v>
      </c>
      <c r="G14" s="95">
        <f>177815+443</f>
        <v>178258</v>
      </c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 outlineLevel="1">
      <c r="A15" s="83"/>
      <c r="B15" s="106" t="s">
        <v>657</v>
      </c>
      <c r="C15" s="95">
        <v>2577</v>
      </c>
      <c r="D15" s="95"/>
      <c r="E15" s="95"/>
      <c r="F15" s="95"/>
      <c r="G15" s="95"/>
      <c r="H15" s="95"/>
      <c r="I15" s="95"/>
      <c r="J15" s="95"/>
      <c r="K15" s="95"/>
      <c r="L15" s="95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 outlineLevel="1">
      <c r="A16" s="83"/>
      <c r="B16" s="106" t="s">
        <v>647</v>
      </c>
      <c r="C16" s="95">
        <v>6728</v>
      </c>
      <c r="D16" s="95">
        <v>1223</v>
      </c>
      <c r="E16" s="95"/>
      <c r="F16" s="95"/>
      <c r="G16" s="95"/>
      <c r="H16" s="95"/>
      <c r="I16" s="95"/>
      <c r="J16" s="95"/>
      <c r="K16" s="95"/>
      <c r="L16" s="95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outlineLevel="1">
      <c r="A17" s="83"/>
      <c r="B17" s="106" t="s">
        <v>852</v>
      </c>
      <c r="C17" s="95">
        <v>6792</v>
      </c>
      <c r="D17" s="95">
        <v>10014</v>
      </c>
      <c r="E17" s="95">
        <v>41394</v>
      </c>
      <c r="F17" s="95">
        <v>28354</v>
      </c>
      <c r="G17" s="95">
        <v>27320</v>
      </c>
      <c r="H17" s="95"/>
      <c r="I17" s="95"/>
      <c r="J17" s="95"/>
      <c r="K17" s="95"/>
      <c r="L17" s="95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outlineLevel="1">
      <c r="A18" s="83"/>
      <c r="B18" s="106" t="s">
        <v>853</v>
      </c>
      <c r="C18" s="95"/>
      <c r="D18" s="95"/>
      <c r="E18" s="95">
        <v>49564</v>
      </c>
      <c r="F18" s="95">
        <v>19955</v>
      </c>
      <c r="G18" s="95">
        <v>35921</v>
      </c>
      <c r="H18" s="95"/>
      <c r="I18" s="95"/>
      <c r="J18" s="95"/>
      <c r="K18" s="95"/>
      <c r="L18" s="95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 outlineLevel="1">
      <c r="A19" s="83"/>
      <c r="B19" s="106" t="s">
        <v>558</v>
      </c>
      <c r="C19" s="95"/>
      <c r="D19" s="95"/>
      <c r="E19" s="95">
        <v>45376</v>
      </c>
      <c r="F19" s="95">
        <v>62550</v>
      </c>
      <c r="G19" s="95">
        <f>21759+26236</f>
        <v>47995</v>
      </c>
      <c r="H19" s="95"/>
      <c r="I19" s="95"/>
      <c r="J19" s="95"/>
      <c r="K19" s="95"/>
      <c r="L19" s="95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outlineLevel="1">
      <c r="A20" s="83"/>
      <c r="B20" s="243" t="s">
        <v>559</v>
      </c>
      <c r="C20" s="95"/>
      <c r="D20" s="95"/>
      <c r="E20" s="95"/>
      <c r="F20" s="95">
        <v>4869</v>
      </c>
      <c r="G20" s="95">
        <v>2674</v>
      </c>
      <c r="H20" s="95"/>
      <c r="I20" s="95"/>
      <c r="J20" s="95"/>
      <c r="K20" s="95"/>
      <c r="L20" s="95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 outlineLevel="1">
      <c r="A21" s="83"/>
      <c r="B21" s="243" t="s">
        <v>560</v>
      </c>
      <c r="C21" s="95"/>
      <c r="D21" s="95"/>
      <c r="E21" s="95"/>
      <c r="F21" s="95">
        <v>2008</v>
      </c>
      <c r="G21" s="95">
        <v>235</v>
      </c>
      <c r="H21" s="95"/>
      <c r="I21" s="95"/>
      <c r="J21" s="95"/>
      <c r="K21" s="95"/>
      <c r="L21" s="95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 outlineLevel="1">
      <c r="A22" s="83"/>
      <c r="B22" s="106" t="s">
        <v>561</v>
      </c>
      <c r="C22" s="95">
        <v>96691</v>
      </c>
      <c r="D22" s="95">
        <v>356045</v>
      </c>
      <c r="E22" s="95">
        <v>487066</v>
      </c>
      <c r="F22" s="95">
        <v>499937</v>
      </c>
      <c r="G22" s="95">
        <v>639416</v>
      </c>
      <c r="H22" s="95"/>
      <c r="I22" s="95"/>
      <c r="J22" s="95"/>
      <c r="K22" s="95"/>
      <c r="L22" s="95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 outlineLevel="1">
      <c r="A23" s="83"/>
      <c r="B23" s="106" t="s">
        <v>562</v>
      </c>
      <c r="C23" s="95">
        <v>14337</v>
      </c>
      <c r="D23" s="95">
        <v>35229</v>
      </c>
      <c r="E23" s="95">
        <v>39259</v>
      </c>
      <c r="F23" s="95">
        <v>20641</v>
      </c>
      <c r="G23" s="95">
        <v>245593</v>
      </c>
      <c r="H23" s="95"/>
      <c r="I23" s="95"/>
      <c r="J23" s="95"/>
      <c r="K23" s="95"/>
      <c r="L23" s="95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</row>
    <row r="24" spans="1:43" ht="15.75" outlineLevel="1">
      <c r="A24" s="83"/>
      <c r="B24" s="106" t="s">
        <v>562</v>
      </c>
      <c r="C24" s="95"/>
      <c r="D24" s="95"/>
      <c r="E24" s="95">
        <v>106648</v>
      </c>
      <c r="F24" s="95">
        <v>222941</v>
      </c>
      <c r="G24" s="95">
        <v>207060</v>
      </c>
      <c r="H24" s="95"/>
      <c r="I24" s="95"/>
      <c r="J24" s="95"/>
      <c r="K24" s="95"/>
      <c r="L24" s="95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5.75" outlineLevel="1">
      <c r="A25" s="83"/>
      <c r="B25" s="106" t="s">
        <v>563</v>
      </c>
      <c r="C25" s="95"/>
      <c r="D25" s="95"/>
      <c r="E25" s="95">
        <v>52291</v>
      </c>
      <c r="F25" s="95">
        <v>115940</v>
      </c>
      <c r="G25" s="95">
        <v>50800</v>
      </c>
      <c r="H25" s="95"/>
      <c r="I25" s="95"/>
      <c r="J25" s="95"/>
      <c r="K25" s="95"/>
      <c r="L25" s="95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</row>
    <row r="26" spans="1:43" ht="15.75" outlineLevel="1">
      <c r="A26" s="83"/>
      <c r="B26" s="243" t="s">
        <v>564</v>
      </c>
      <c r="C26" s="95"/>
      <c r="D26" s="95"/>
      <c r="E26" s="95">
        <v>7862</v>
      </c>
      <c r="F26" s="95">
        <v>2044</v>
      </c>
      <c r="G26" s="95"/>
      <c r="H26" s="95"/>
      <c r="I26" s="95"/>
      <c r="J26" s="95"/>
      <c r="K26" s="95"/>
      <c r="L26" s="95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</row>
    <row r="27" spans="1:43" ht="15.75" outlineLevel="1">
      <c r="A27" s="83"/>
      <c r="B27" s="243" t="s">
        <v>854</v>
      </c>
      <c r="C27" s="95"/>
      <c r="D27" s="95"/>
      <c r="E27" s="95"/>
      <c r="F27" s="95"/>
      <c r="G27" s="95">
        <v>4210</v>
      </c>
      <c r="H27" s="95"/>
      <c r="I27" s="95"/>
      <c r="J27" s="95"/>
      <c r="K27" s="95"/>
      <c r="L27" s="95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</row>
    <row r="28" spans="1:43" ht="15.75" outlineLevel="1">
      <c r="A28" s="83"/>
      <c r="B28" s="243" t="s">
        <v>855</v>
      </c>
      <c r="C28" s="95"/>
      <c r="D28" s="95"/>
      <c r="E28" s="95"/>
      <c r="F28" s="95"/>
      <c r="G28" s="95">
        <v>2855</v>
      </c>
      <c r="H28" s="95"/>
      <c r="I28" s="95"/>
      <c r="J28" s="95"/>
      <c r="K28" s="95"/>
      <c r="L28" s="95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</row>
    <row r="29" spans="1:43" ht="15.75" outlineLevel="1">
      <c r="A29" s="83"/>
      <c r="B29" s="106" t="s">
        <v>565</v>
      </c>
      <c r="C29" s="95">
        <v>82023</v>
      </c>
      <c r="D29" s="95">
        <v>101184</v>
      </c>
      <c r="E29" s="95">
        <v>357026</v>
      </c>
      <c r="F29" s="95">
        <v>103082</v>
      </c>
      <c r="G29" s="95">
        <v>113745</v>
      </c>
      <c r="H29" s="95"/>
      <c r="I29" s="95"/>
      <c r="J29" s="95"/>
      <c r="K29" s="95"/>
      <c r="L29" s="95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</row>
    <row r="30" spans="1:43" ht="15.75" outlineLevel="1">
      <c r="A30" s="83"/>
      <c r="B30" s="106" t="s">
        <v>566</v>
      </c>
      <c r="C30" s="95">
        <v>179826</v>
      </c>
      <c r="D30" s="95">
        <v>125619</v>
      </c>
      <c r="E30" s="95">
        <v>152769</v>
      </c>
      <c r="F30" s="95">
        <v>51774</v>
      </c>
      <c r="G30" s="95">
        <v>54969</v>
      </c>
      <c r="H30" s="95"/>
      <c r="I30" s="95"/>
      <c r="J30" s="95"/>
      <c r="K30" s="95"/>
      <c r="L30" s="95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</row>
    <row r="31" spans="1:43" ht="15.75" outlineLevel="1">
      <c r="A31" s="83"/>
      <c r="B31" s="106" t="s">
        <v>567</v>
      </c>
      <c r="C31" s="95"/>
      <c r="D31" s="95"/>
      <c r="E31" s="95"/>
      <c r="F31" s="95">
        <v>8406</v>
      </c>
      <c r="G31" s="95">
        <v>57377</v>
      </c>
      <c r="H31" s="95"/>
      <c r="I31" s="95"/>
      <c r="J31" s="95"/>
      <c r="K31" s="95"/>
      <c r="L31" s="95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</row>
    <row r="32" spans="1:43" ht="15.75" outlineLevel="1">
      <c r="A32" s="83"/>
      <c r="B32" s="106" t="s">
        <v>857</v>
      </c>
      <c r="C32" s="95"/>
      <c r="D32" s="95"/>
      <c r="E32" s="95"/>
      <c r="F32" s="95"/>
      <c r="G32" s="95">
        <v>8289</v>
      </c>
      <c r="H32" s="95"/>
      <c r="I32" s="95"/>
      <c r="J32" s="95"/>
      <c r="K32" s="95"/>
      <c r="L32" s="95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</row>
    <row r="33" spans="1:43" ht="15.75" outlineLevel="1">
      <c r="A33" s="83"/>
      <c r="B33" s="106" t="s">
        <v>856</v>
      </c>
      <c r="C33" s="95"/>
      <c r="D33" s="95"/>
      <c r="E33" s="95"/>
      <c r="F33" s="95"/>
      <c r="G33" s="95">
        <v>12500</v>
      </c>
      <c r="H33" s="95"/>
      <c r="I33" s="95"/>
      <c r="J33" s="95"/>
      <c r="K33" s="95"/>
      <c r="L33" s="95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 outlineLevel="1">
      <c r="A34" s="83"/>
      <c r="B34" s="106" t="s">
        <v>568</v>
      </c>
      <c r="C34" s="95"/>
      <c r="D34" s="95">
        <v>11983</v>
      </c>
      <c r="E34" s="95">
        <v>19794</v>
      </c>
      <c r="F34" s="95">
        <v>56025</v>
      </c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1">
      <c r="A35" s="83"/>
      <c r="B35" s="106" t="s">
        <v>648</v>
      </c>
      <c r="C35" s="95">
        <v>72612</v>
      </c>
      <c r="D35" s="95">
        <v>18397</v>
      </c>
      <c r="E35" s="95"/>
      <c r="F35" s="95"/>
      <c r="G35" s="95"/>
      <c r="H35" s="95"/>
      <c r="I35" s="95"/>
      <c r="J35" s="95"/>
      <c r="K35" s="95"/>
      <c r="L35" s="95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1">
      <c r="A36" s="83"/>
      <c r="B36" s="106" t="s">
        <v>649</v>
      </c>
      <c r="C36" s="95"/>
      <c r="D36" s="95">
        <v>13728</v>
      </c>
      <c r="E36" s="95"/>
      <c r="F36" s="95"/>
      <c r="G36" s="95">
        <v>1900</v>
      </c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1">
      <c r="A37" s="83"/>
      <c r="B37" s="106" t="s">
        <v>569</v>
      </c>
      <c r="C37" s="95"/>
      <c r="D37" s="95"/>
      <c r="E37" s="95">
        <v>9955</v>
      </c>
      <c r="F37" s="95">
        <v>16258</v>
      </c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ht="15.75" outlineLevel="1">
      <c r="A38" s="83"/>
      <c r="B38" s="106" t="s">
        <v>650</v>
      </c>
      <c r="C38" s="95">
        <v>34401</v>
      </c>
      <c r="D38" s="95">
        <v>7558</v>
      </c>
      <c r="E38" s="95"/>
      <c r="F38" s="95"/>
      <c r="G38" s="95"/>
      <c r="H38" s="95"/>
      <c r="I38" s="95"/>
      <c r="J38" s="95"/>
      <c r="K38" s="95"/>
      <c r="L38" s="95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</row>
    <row r="39" spans="1:43" ht="15.75" outlineLevel="1">
      <c r="A39" s="83"/>
      <c r="B39" s="106" t="s">
        <v>570</v>
      </c>
      <c r="C39" s="95">
        <v>55441</v>
      </c>
      <c r="D39" s="95">
        <v>49333</v>
      </c>
      <c r="E39" s="95">
        <v>43526</v>
      </c>
      <c r="F39" s="95">
        <v>27261</v>
      </c>
      <c r="G39" s="95"/>
      <c r="H39" s="95"/>
      <c r="I39" s="95"/>
      <c r="J39" s="95"/>
      <c r="K39" s="95"/>
      <c r="L39" s="95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</row>
    <row r="40" spans="1:43" ht="15.75" outlineLevel="1">
      <c r="A40" s="83"/>
      <c r="B40" s="106" t="s">
        <v>571</v>
      </c>
      <c r="C40" s="95">
        <v>72543</v>
      </c>
      <c r="D40" s="95">
        <v>21724</v>
      </c>
      <c r="E40" s="95">
        <v>33064</v>
      </c>
      <c r="F40" s="95">
        <v>115434</v>
      </c>
      <c r="G40" s="95">
        <v>121858</v>
      </c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1">
      <c r="A41" s="83"/>
      <c r="B41" s="106" t="s">
        <v>572</v>
      </c>
      <c r="C41" s="95">
        <v>3197</v>
      </c>
      <c r="D41" s="95">
        <v>3146</v>
      </c>
      <c r="E41" s="95">
        <v>8086</v>
      </c>
      <c r="F41" s="95">
        <v>16445</v>
      </c>
      <c r="G41" s="95">
        <v>27717</v>
      </c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1">
      <c r="A42" s="83"/>
      <c r="B42" s="106" t="s">
        <v>573</v>
      </c>
      <c r="C42" s="95"/>
      <c r="D42" s="95"/>
      <c r="E42" s="95">
        <v>22679</v>
      </c>
      <c r="F42" s="95">
        <v>68990</v>
      </c>
      <c r="G42" s="95">
        <v>104466</v>
      </c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1">
      <c r="A43" s="83"/>
      <c r="B43" s="106" t="s">
        <v>574</v>
      </c>
      <c r="C43" s="95">
        <v>185</v>
      </c>
      <c r="D43" s="95">
        <v>2983</v>
      </c>
      <c r="E43" s="95">
        <v>59</v>
      </c>
      <c r="F43" s="95">
        <v>140</v>
      </c>
      <c r="G43" s="95">
        <v>4351</v>
      </c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106" t="s">
        <v>858</v>
      </c>
      <c r="C44" s="95"/>
      <c r="D44" s="95"/>
      <c r="E44" s="95"/>
      <c r="F44" s="95"/>
      <c r="G44" s="95">
        <v>3418</v>
      </c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1">
      <c r="A45" s="83"/>
      <c r="B45" s="106" t="s">
        <v>575</v>
      </c>
      <c r="C45" s="95">
        <v>400</v>
      </c>
      <c r="D45" s="95">
        <v>295</v>
      </c>
      <c r="E45" s="95">
        <v>2100</v>
      </c>
      <c r="F45" s="95">
        <v>2870</v>
      </c>
      <c r="G45" s="95">
        <v>1020</v>
      </c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5.75" outlineLevel="1">
      <c r="A46" s="83"/>
      <c r="B46" s="106" t="s">
        <v>576</v>
      </c>
      <c r="C46" s="95">
        <v>9480</v>
      </c>
      <c r="D46" s="95">
        <v>10379</v>
      </c>
      <c r="E46" s="95">
        <v>12969</v>
      </c>
      <c r="F46" s="95">
        <v>13127</v>
      </c>
      <c r="G46" s="95">
        <v>12996</v>
      </c>
      <c r="H46" s="95"/>
      <c r="I46" s="95"/>
      <c r="J46" s="95"/>
      <c r="K46" s="95"/>
      <c r="L46" s="95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 outlineLevel="1">
      <c r="A47" s="83"/>
      <c r="B47" s="106" t="s">
        <v>577</v>
      </c>
      <c r="C47" s="95"/>
      <c r="D47" s="95"/>
      <c r="E47" s="95">
        <v>900</v>
      </c>
      <c r="F47" s="95"/>
      <c r="G47" s="95"/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1">
      <c r="A48" s="83"/>
      <c r="B48" s="106" t="s">
        <v>578</v>
      </c>
      <c r="C48" s="95">
        <v>250</v>
      </c>
      <c r="D48" s="95">
        <v>2729</v>
      </c>
      <c r="E48" s="95"/>
      <c r="F48" s="95">
        <v>320</v>
      </c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ht="15.75" outlineLevel="1">
      <c r="A49" s="83"/>
      <c r="B49" s="106" t="s">
        <v>859</v>
      </c>
      <c r="C49" s="95"/>
      <c r="D49" s="95"/>
      <c r="E49" s="95"/>
      <c r="F49" s="95"/>
      <c r="G49" s="95">
        <v>-728</v>
      </c>
      <c r="H49" s="95"/>
      <c r="I49" s="95"/>
      <c r="J49" s="95"/>
      <c r="K49" s="95"/>
      <c r="L49" s="95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>
      <c r="A51" s="83"/>
      <c r="B51" s="83" t="s">
        <v>166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/>
      <c r="I51" s="88"/>
      <c r="J51" s="88"/>
      <c r="K51" s="88"/>
      <c r="L51" s="88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>
      <c r="A52" s="83"/>
      <c r="B52" s="98" t="s">
        <v>7</v>
      </c>
      <c r="C52" s="99">
        <f>C6+C51+C7</f>
        <v>816810</v>
      </c>
      <c r="D52" s="99">
        <f>D6+D51+D7</f>
        <v>846066</v>
      </c>
      <c r="E52" s="99">
        <f>E6+E51+E7</f>
        <v>1683182</v>
      </c>
      <c r="F52" s="99">
        <f>F6+F51+F7</f>
        <v>1886603</v>
      </c>
      <c r="G52" s="99">
        <f>G6+G51+G7</f>
        <v>2103918</v>
      </c>
      <c r="H52" s="330">
        <f>(G52/C52)^(1/5)-1</f>
        <v>0.20831885561638064</v>
      </c>
      <c r="I52" s="99">
        <f t="shared" ref="I52:L52" si="0">I6+I51+I7</f>
        <v>2117163</v>
      </c>
      <c r="J52" s="99">
        <f t="shared" si="0"/>
        <v>2328879</v>
      </c>
      <c r="K52" s="99">
        <f t="shared" si="0"/>
        <v>2445323</v>
      </c>
      <c r="L52" s="99">
        <f t="shared" si="0"/>
        <v>2567589</v>
      </c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>
      <c r="A53" s="83"/>
      <c r="B53" s="97" t="s">
        <v>8</v>
      </c>
      <c r="C53" s="89">
        <f>C54</f>
        <v>39885</v>
      </c>
      <c r="D53" s="89">
        <f t="shared" ref="D53:G53" si="1">D54</f>
        <v>6671</v>
      </c>
      <c r="E53" s="89">
        <f t="shared" si="1"/>
        <v>-70178</v>
      </c>
      <c r="F53" s="89">
        <f t="shared" si="1"/>
        <v>72664</v>
      </c>
      <c r="G53" s="89">
        <f t="shared" si="1"/>
        <v>-48043</v>
      </c>
      <c r="H53" s="89"/>
      <c r="I53" s="89"/>
      <c r="J53" s="89"/>
      <c r="K53" s="89"/>
      <c r="L53" s="89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106" t="s">
        <v>579</v>
      </c>
      <c r="C54" s="95">
        <v>39885</v>
      </c>
      <c r="D54" s="95">
        <v>6671</v>
      </c>
      <c r="E54" s="95">
        <v>-70178</v>
      </c>
      <c r="F54" s="95">
        <v>72664</v>
      </c>
      <c r="G54" s="95">
        <v>-48043</v>
      </c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 outlineLevel="1">
      <c r="A55" s="83"/>
      <c r="B55" s="106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>
      <c r="A56" s="83"/>
      <c r="B56" s="97" t="s">
        <v>9</v>
      </c>
      <c r="C56" s="169">
        <f>'Probois 43'!C10</f>
        <v>0</v>
      </c>
      <c r="D56" s="169">
        <f>'Probois 43'!D10</f>
        <v>0</v>
      </c>
      <c r="E56" s="169">
        <f>'Probois 43'!E10</f>
        <v>0</v>
      </c>
      <c r="F56" s="169">
        <f>'Probois 43'!F10</f>
        <v>0</v>
      </c>
      <c r="G56" s="169">
        <f>'Probois 43'!G10</f>
        <v>0</v>
      </c>
      <c r="H56" s="169"/>
      <c r="I56" s="169"/>
      <c r="J56" s="169"/>
      <c r="K56" s="169"/>
      <c r="L56" s="169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>
      <c r="A57" s="83"/>
      <c r="B57" s="100" t="s">
        <v>14</v>
      </c>
      <c r="C57" s="99">
        <f>C52+C53+C56</f>
        <v>856695</v>
      </c>
      <c r="D57" s="99">
        <f>D52+D53+D56</f>
        <v>852737</v>
      </c>
      <c r="E57" s="99">
        <f>E52+E53+E56</f>
        <v>1613004</v>
      </c>
      <c r="F57" s="99">
        <f>F52+F53+F56</f>
        <v>1959267</v>
      </c>
      <c r="G57" s="99">
        <f>G52+G53+G56</f>
        <v>2055875</v>
      </c>
      <c r="H57" s="275"/>
      <c r="I57" s="99">
        <f t="shared" ref="I57:L57" si="2">I52+I53+I56</f>
        <v>2117163</v>
      </c>
      <c r="J57" s="99">
        <f t="shared" si="2"/>
        <v>2328879</v>
      </c>
      <c r="K57" s="99">
        <f t="shared" si="2"/>
        <v>2445323</v>
      </c>
      <c r="L57" s="99">
        <f t="shared" si="2"/>
        <v>2567589</v>
      </c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6.5" thickBot="1">
      <c r="A58" s="83"/>
      <c r="B58" s="101" t="s">
        <v>106</v>
      </c>
      <c r="C58" s="102">
        <f>C57/C57</f>
        <v>1</v>
      </c>
      <c r="D58" s="102">
        <f t="shared" ref="D58:G58" si="3">D57/D57</f>
        <v>1</v>
      </c>
      <c r="E58" s="102">
        <f t="shared" si="3"/>
        <v>1</v>
      </c>
      <c r="F58" s="102">
        <f t="shared" si="3"/>
        <v>1</v>
      </c>
      <c r="G58" s="102">
        <f t="shared" si="3"/>
        <v>1</v>
      </c>
      <c r="H58" s="276"/>
      <c r="I58" s="102">
        <f t="shared" ref="I58:L58" si="4">I57/I57</f>
        <v>1</v>
      </c>
      <c r="J58" s="102">
        <f t="shared" si="4"/>
        <v>1</v>
      </c>
      <c r="K58" s="102">
        <f t="shared" si="4"/>
        <v>1</v>
      </c>
      <c r="L58" s="102">
        <f t="shared" si="4"/>
        <v>1</v>
      </c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 collapsed="1">
      <c r="A59" s="83"/>
      <c r="B59" s="103" t="s">
        <v>167</v>
      </c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>
      <c r="A60" s="83"/>
      <c r="B60" s="103" t="s">
        <v>168</v>
      </c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83"/>
      <c r="B61" s="83" t="s">
        <v>190</v>
      </c>
      <c r="C61" s="89">
        <f>SUM(C62:C72)</f>
        <v>-528615</v>
      </c>
      <c r="D61" s="89">
        <f>SUM(D62:D72)</f>
        <v>-549612</v>
      </c>
      <c r="E61" s="89">
        <f>SUM(E62:E72)</f>
        <v>-1280501</v>
      </c>
      <c r="F61" s="89">
        <f>SUM(F62:F72)</f>
        <v>-1317168</v>
      </c>
      <c r="G61" s="89">
        <f>SUM(G62:G72)</f>
        <v>-1345707</v>
      </c>
      <c r="H61" s="89"/>
      <c r="I61" s="89">
        <f>-(I57-I77)-I73</f>
        <v>-1384418.9500000002</v>
      </c>
      <c r="J61" s="89">
        <f t="shared" ref="J61:L61" si="5">-(J57-J77)-J73</f>
        <v>-1565482.56</v>
      </c>
      <c r="K61" s="89">
        <f t="shared" si="5"/>
        <v>-1590553.49</v>
      </c>
      <c r="L61" s="89">
        <f t="shared" si="5"/>
        <v>-1631905.18</v>
      </c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 outlineLevel="1">
      <c r="A62" s="83"/>
      <c r="B62" s="106" t="s">
        <v>582</v>
      </c>
      <c r="C62" s="95">
        <v>-208538</v>
      </c>
      <c r="D62" s="95">
        <v>-352150</v>
      </c>
      <c r="E62" s="95">
        <v>-915325</v>
      </c>
      <c r="F62" s="95">
        <v>-754566</v>
      </c>
      <c r="G62" s="95">
        <v>-832686</v>
      </c>
      <c r="H62" s="95"/>
      <c r="I62" s="95"/>
      <c r="J62" s="95"/>
      <c r="K62" s="95"/>
      <c r="L62" s="95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583</v>
      </c>
      <c r="C63" s="95">
        <v>-129346</v>
      </c>
      <c r="D63" s="95">
        <v>-60500</v>
      </c>
      <c r="E63" s="95">
        <v>-108920</v>
      </c>
      <c r="F63" s="95">
        <v>-303615</v>
      </c>
      <c r="G63" s="95">
        <v>-145694</v>
      </c>
      <c r="H63" s="95"/>
      <c r="I63" s="95"/>
      <c r="J63" s="95"/>
      <c r="K63" s="95"/>
      <c r="L63" s="95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 t="s">
        <v>584</v>
      </c>
      <c r="C64" s="95">
        <v>-88358</v>
      </c>
      <c r="D64" s="95">
        <v>-47092</v>
      </c>
      <c r="E64" s="95">
        <v>-67440</v>
      </c>
      <c r="F64" s="95">
        <v>-24095</v>
      </c>
      <c r="G64" s="95">
        <v>-129906</v>
      </c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 outlineLevel="1">
      <c r="A65" s="83"/>
      <c r="B65" s="106" t="s">
        <v>585</v>
      </c>
      <c r="C65" s="95"/>
      <c r="D65" s="95"/>
      <c r="E65" s="95">
        <v>-11720</v>
      </c>
      <c r="F65" s="95"/>
      <c r="G65" s="95"/>
      <c r="H65" s="95"/>
      <c r="I65" s="95"/>
      <c r="J65" s="95"/>
      <c r="K65" s="95"/>
      <c r="L65" s="95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1">
      <c r="A66" s="83"/>
      <c r="B66" s="106" t="s">
        <v>586</v>
      </c>
      <c r="C66" s="95"/>
      <c r="D66" s="95"/>
      <c r="E66" s="95">
        <v>-26034</v>
      </c>
      <c r="F66" s="95"/>
      <c r="G66" s="95"/>
      <c r="H66" s="95"/>
      <c r="I66" s="95"/>
      <c r="J66" s="95"/>
      <c r="K66" s="95"/>
      <c r="L66" s="95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1">
      <c r="A67" s="83"/>
      <c r="B67" s="106" t="s">
        <v>587</v>
      </c>
      <c r="C67" s="95">
        <v>-529</v>
      </c>
      <c r="D67" s="95">
        <v>-2143</v>
      </c>
      <c r="E67" s="95">
        <v>-4378</v>
      </c>
      <c r="F67" s="95">
        <v>-2879</v>
      </c>
      <c r="G67" s="95">
        <v>-3553</v>
      </c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5.75" outlineLevel="1">
      <c r="A68" s="83"/>
      <c r="B68" s="106" t="s">
        <v>588</v>
      </c>
      <c r="C68" s="95">
        <v>-5164</v>
      </c>
      <c r="D68" s="95">
        <v>-6296</v>
      </c>
      <c r="E68" s="95">
        <v>-11225</v>
      </c>
      <c r="F68" s="95">
        <v>-23845</v>
      </c>
      <c r="G68" s="95">
        <v>-20770</v>
      </c>
      <c r="H68" s="95"/>
      <c r="I68" s="95"/>
      <c r="J68" s="95"/>
      <c r="K68" s="95"/>
      <c r="L68" s="95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15.75" outlineLevel="1">
      <c r="A69" s="83"/>
      <c r="B69" s="106" t="s">
        <v>589</v>
      </c>
      <c r="C69" s="95">
        <v>-7035</v>
      </c>
      <c r="D69" s="95">
        <v>-22802</v>
      </c>
      <c r="E69" s="95">
        <v>-1776</v>
      </c>
      <c r="F69" s="95">
        <v>-12036</v>
      </c>
      <c r="G69" s="95">
        <f>-6996-841</f>
        <v>-7837</v>
      </c>
      <c r="H69" s="95"/>
      <c r="I69" s="95"/>
      <c r="J69" s="95"/>
      <c r="K69" s="95"/>
      <c r="L69" s="95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ht="15.75" outlineLevel="1">
      <c r="A70" s="83"/>
      <c r="B70" s="106" t="s">
        <v>590</v>
      </c>
      <c r="C70" s="95">
        <v>-51649</v>
      </c>
      <c r="D70" s="95">
        <v>-51982</v>
      </c>
      <c r="E70" s="95">
        <v>-118976</v>
      </c>
      <c r="F70" s="95">
        <v>-146436</v>
      </c>
      <c r="G70" s="95">
        <v>-153181</v>
      </c>
      <c r="H70" s="95"/>
      <c r="I70" s="95"/>
      <c r="J70" s="95"/>
      <c r="K70" s="95"/>
      <c r="L70" s="95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 outlineLevel="1">
      <c r="A71" s="83"/>
      <c r="B71" s="106" t="s">
        <v>591</v>
      </c>
      <c r="C71" s="95">
        <v>-37996</v>
      </c>
      <c r="D71" s="95">
        <v>-6647</v>
      </c>
      <c r="E71" s="95">
        <v>-14707</v>
      </c>
      <c r="F71" s="95">
        <v>-49696</v>
      </c>
      <c r="G71" s="95">
        <v>-52080</v>
      </c>
      <c r="H71" s="95"/>
      <c r="I71" s="95"/>
      <c r="J71" s="95"/>
      <c r="K71" s="95"/>
      <c r="L71" s="95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5.75" outlineLevel="1">
      <c r="A72" s="83"/>
      <c r="B72" s="106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>
      <c r="A73" s="107"/>
      <c r="B73" s="108" t="s">
        <v>169</v>
      </c>
      <c r="C73" s="104">
        <f>SUM(C74:C76)</f>
        <v>-36202</v>
      </c>
      <c r="D73" s="104">
        <f>SUM(D74:D76)</f>
        <v>51949</v>
      </c>
      <c r="E73" s="104">
        <f>SUM(E74:E76)</f>
        <v>304214</v>
      </c>
      <c r="F73" s="104">
        <f>SUM(F74:F76)</f>
        <v>-10155</v>
      </c>
      <c r="G73" s="104">
        <f>SUM(G74:G76)</f>
        <v>52512</v>
      </c>
      <c r="H73" s="104"/>
      <c r="I73" s="104">
        <f>-('BSB - Bilan (2)'!G14-'BSB - Bilan (2)'!I14)</f>
        <v>8263</v>
      </c>
      <c r="J73" s="104">
        <f>-('BSB - Bilan (2)'!I14-'BSB - Bilan (2)'!J14)</f>
        <v>75000</v>
      </c>
      <c r="K73" s="104">
        <f>-('BSB - Bilan (2)'!J14-'BSB - Bilan (2)'!K14)</f>
        <v>50000</v>
      </c>
      <c r="L73" s="104">
        <f>-('BSB - Bilan (2)'!K14-'BSB - Bilan (2)'!L14)</f>
        <v>40000</v>
      </c>
      <c r="M73" s="108"/>
      <c r="N73" s="108"/>
      <c r="O73" s="109"/>
      <c r="P73" s="109"/>
      <c r="Q73" s="109"/>
      <c r="R73" s="109"/>
      <c r="S73" s="109"/>
      <c r="T73" s="109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</row>
    <row r="74" spans="1:43" ht="15.75" outlineLevel="1">
      <c r="A74" s="83"/>
      <c r="B74" s="106" t="s">
        <v>592</v>
      </c>
      <c r="C74" s="95">
        <v>-36809</v>
      </c>
      <c r="D74" s="95">
        <v>33808</v>
      </c>
      <c r="E74" s="95">
        <v>315089</v>
      </c>
      <c r="F74" s="95">
        <v>-19904</v>
      </c>
      <c r="G74" s="95">
        <v>53961</v>
      </c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1">
      <c r="A75" s="83"/>
      <c r="B75" s="106" t="s">
        <v>593</v>
      </c>
      <c r="C75" s="95">
        <v>607</v>
      </c>
      <c r="D75" s="95">
        <v>18141</v>
      </c>
      <c r="E75" s="95">
        <v>-10875</v>
      </c>
      <c r="F75" s="95">
        <v>9749</v>
      </c>
      <c r="G75" s="95">
        <v>-1449</v>
      </c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1">
      <c r="A76" s="83"/>
      <c r="B76" s="10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>
      <c r="A77" s="83"/>
      <c r="B77" s="100" t="s">
        <v>16</v>
      </c>
      <c r="C77" s="99">
        <f>C57+C59+C60+C61+C73</f>
        <v>291878</v>
      </c>
      <c r="D77" s="99">
        <f>D57+D59+D60+D61+D73</f>
        <v>355074</v>
      </c>
      <c r="E77" s="99">
        <f>E57+E59+E60+E61+E73</f>
        <v>636717</v>
      </c>
      <c r="F77" s="99">
        <f>F57+F59+F60+F61+F73</f>
        <v>631944</v>
      </c>
      <c r="G77" s="99">
        <f>G57+G59+G60+G61+G73</f>
        <v>762680</v>
      </c>
      <c r="H77" s="275"/>
      <c r="I77" s="99">
        <f>I57*I78</f>
        <v>741007.04999999993</v>
      </c>
      <c r="J77" s="99">
        <f t="shared" ref="J77:L77" si="6">J57*J78</f>
        <v>838396.44</v>
      </c>
      <c r="K77" s="99">
        <f t="shared" si="6"/>
        <v>904769.51</v>
      </c>
      <c r="L77" s="99">
        <f t="shared" si="6"/>
        <v>975683.82000000007</v>
      </c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6.5" thickBot="1">
      <c r="A78" s="107"/>
      <c r="B78" s="101" t="s">
        <v>106</v>
      </c>
      <c r="C78" s="102">
        <f>C77/C57</f>
        <v>0.34070235031137103</v>
      </c>
      <c r="D78" s="102">
        <f t="shared" ref="D78:G78" si="7">D77/D57</f>
        <v>0.4163933311208497</v>
      </c>
      <c r="E78" s="102">
        <f t="shared" si="7"/>
        <v>0.39473987665250676</v>
      </c>
      <c r="F78" s="102">
        <f t="shared" si="7"/>
        <v>0.32254103192673589</v>
      </c>
      <c r="G78" s="102">
        <f t="shared" si="7"/>
        <v>0.37097586185930564</v>
      </c>
      <c r="H78" s="276"/>
      <c r="I78" s="102">
        <v>0.35</v>
      </c>
      <c r="J78" s="102">
        <v>0.36</v>
      </c>
      <c r="K78" s="102">
        <v>0.37</v>
      </c>
      <c r="L78" s="102">
        <v>0.38</v>
      </c>
      <c r="M78" s="108"/>
      <c r="N78" s="108" t="s">
        <v>880</v>
      </c>
      <c r="O78" s="109"/>
      <c r="P78" s="109"/>
      <c r="Q78" s="109"/>
      <c r="R78" s="109"/>
      <c r="S78" s="109"/>
      <c r="T78" s="109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</row>
    <row r="79" spans="1:43" ht="15.75">
      <c r="A79" s="107"/>
      <c r="B79" s="108" t="s">
        <v>170</v>
      </c>
      <c r="C79" s="104">
        <f>C81+C89+C92+C99+C104+C110+C117+C120+C134+C142+C146+C139</f>
        <v>-95031</v>
      </c>
      <c r="D79" s="104">
        <f>D81+D89+D92+D99+D104+D110+D117+D120+D134+D142+D146+D139</f>
        <v>-164506</v>
      </c>
      <c r="E79" s="104">
        <f>E81+E89+E92+E99+E104+E110+E117+E120+E134+E142+E146+E139</f>
        <v>-308420</v>
      </c>
      <c r="F79" s="104">
        <f>F81+F89+F92+F99+F104+F110+F117+F120+F134+F142+F146+F139</f>
        <v>-333452</v>
      </c>
      <c r="G79" s="104">
        <f>G81+G89+G92+G99+G104+G110+G117+G120+G134+G142+G146+G139</f>
        <v>-443055</v>
      </c>
      <c r="H79" s="104"/>
      <c r="I79" s="104">
        <f t="shared" ref="I79:L79" si="8">I81+I89+I92+I99+I104+I110+I117+I120+I134+I142+I146+I139</f>
        <v>-451000</v>
      </c>
      <c r="J79" s="104">
        <f t="shared" si="8"/>
        <v>-461000</v>
      </c>
      <c r="K79" s="104">
        <f t="shared" si="8"/>
        <v>-474000</v>
      </c>
      <c r="L79" s="104">
        <f t="shared" si="8"/>
        <v>-487000</v>
      </c>
      <c r="M79" s="108"/>
      <c r="N79" s="108"/>
      <c r="O79" s="109"/>
      <c r="P79" s="109"/>
      <c r="Q79" s="109"/>
      <c r="R79" s="109"/>
      <c r="S79" s="109"/>
      <c r="T79" s="109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</row>
    <row r="80" spans="1:43" outlineLevel="1"/>
    <row r="81" spans="1:43" s="92" customFormat="1" ht="12.75" outlineLevel="1">
      <c r="A81" s="90"/>
      <c r="B81" s="105" t="s">
        <v>171</v>
      </c>
      <c r="C81" s="91">
        <f>SUM(C82:C88)</f>
        <v>-25151</v>
      </c>
      <c r="D81" s="91">
        <f>SUM(D82:D88)</f>
        <v>-33201</v>
      </c>
      <c r="E81" s="91">
        <f>SUM(E82:E88)</f>
        <v>-36612</v>
      </c>
      <c r="F81" s="91">
        <f>SUM(F82:F88)</f>
        <v>-41955</v>
      </c>
      <c r="G81" s="91">
        <f>SUM(G82:G88)</f>
        <v>-54378</v>
      </c>
      <c r="H81" s="91"/>
      <c r="I81" s="91">
        <v>-55000</v>
      </c>
      <c r="J81" s="91">
        <v>-60000</v>
      </c>
      <c r="K81" s="91">
        <v>-65000</v>
      </c>
      <c r="L81" s="91">
        <v>-70000</v>
      </c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</row>
    <row r="82" spans="1:43" ht="15.75" outlineLevel="2">
      <c r="A82" s="83"/>
      <c r="B82" s="106" t="s">
        <v>462</v>
      </c>
      <c r="C82" s="95">
        <v>-20744</v>
      </c>
      <c r="D82" s="95">
        <v>-24097</v>
      </c>
      <c r="E82" s="95">
        <v>-29418</v>
      </c>
      <c r="F82" s="95">
        <v>-35940</v>
      </c>
      <c r="G82" s="95">
        <v>-45873</v>
      </c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 outlineLevel="2">
      <c r="A83" s="83"/>
      <c r="B83" s="106" t="s">
        <v>323</v>
      </c>
      <c r="C83" s="95">
        <v>-108</v>
      </c>
      <c r="D83" s="95">
        <v>-137</v>
      </c>
      <c r="E83" s="95">
        <v>-118</v>
      </c>
      <c r="F83" s="95">
        <v>-103</v>
      </c>
      <c r="G83" s="95">
        <v>-150</v>
      </c>
      <c r="H83" s="95"/>
      <c r="I83" s="95"/>
      <c r="J83" s="95"/>
      <c r="K83" s="95"/>
      <c r="L83" s="95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2">
      <c r="A84" s="83"/>
      <c r="B84" s="106" t="s">
        <v>594</v>
      </c>
      <c r="C84" s="95">
        <v>-2164</v>
      </c>
      <c r="D84" s="95">
        <v>-6443</v>
      </c>
      <c r="E84" s="95">
        <v>-793</v>
      </c>
      <c r="F84" s="95">
        <v>-100</v>
      </c>
      <c r="G84" s="95">
        <v>-2049</v>
      </c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ht="15.75" outlineLevel="2">
      <c r="A85" s="83"/>
      <c r="B85" s="106" t="s">
        <v>595</v>
      </c>
      <c r="C85" s="95">
        <v>-1512</v>
      </c>
      <c r="D85" s="95">
        <v>-1521</v>
      </c>
      <c r="E85" s="95">
        <v>-4018</v>
      </c>
      <c r="F85" s="95">
        <v>-3828</v>
      </c>
      <c r="G85" s="95">
        <v>-4556</v>
      </c>
      <c r="H85" s="95"/>
      <c r="I85" s="95"/>
      <c r="J85" s="95"/>
      <c r="K85" s="95"/>
      <c r="L85" s="95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2">
      <c r="A86" s="83"/>
      <c r="B86" s="106" t="s">
        <v>596</v>
      </c>
      <c r="C86" s="95">
        <v>-491</v>
      </c>
      <c r="D86" s="95">
        <v>-881</v>
      </c>
      <c r="E86" s="95">
        <v>-2062</v>
      </c>
      <c r="F86" s="95">
        <v>-1546</v>
      </c>
      <c r="G86" s="95">
        <v>-1264</v>
      </c>
      <c r="H86" s="95"/>
      <c r="I86" s="95"/>
      <c r="J86" s="95"/>
      <c r="K86" s="95"/>
      <c r="L86" s="95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597</v>
      </c>
      <c r="C87" s="32">
        <v>-132</v>
      </c>
      <c r="D87" s="32">
        <v>-122</v>
      </c>
      <c r="E87" s="95">
        <v>-203</v>
      </c>
      <c r="F87" s="95">
        <v>-438</v>
      </c>
      <c r="G87" s="95">
        <v>-486</v>
      </c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s="92" customFormat="1" ht="12.75" outlineLevel="1">
      <c r="A89" s="90"/>
      <c r="B89" s="105" t="s">
        <v>172</v>
      </c>
      <c r="C89" s="91">
        <f t="shared" ref="C89:D89" si="9">C90</f>
        <v>0</v>
      </c>
      <c r="D89" s="91">
        <f t="shared" si="9"/>
        <v>0</v>
      </c>
      <c r="E89" s="91">
        <f>E90</f>
        <v>0</v>
      </c>
      <c r="F89" s="91">
        <f>F90</f>
        <v>-1300</v>
      </c>
      <c r="G89" s="91">
        <f>G90</f>
        <v>-1424</v>
      </c>
      <c r="H89" s="91"/>
      <c r="I89" s="91">
        <v>-1500</v>
      </c>
      <c r="J89" s="91">
        <v>-1500</v>
      </c>
      <c r="K89" s="91">
        <v>-1500</v>
      </c>
      <c r="L89" s="91">
        <v>-1500</v>
      </c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</row>
    <row r="90" spans="1:43" ht="15.75" outlineLevel="2">
      <c r="A90" s="83"/>
      <c r="B90" s="106" t="s">
        <v>598</v>
      </c>
      <c r="C90" s="95"/>
      <c r="D90" s="95"/>
      <c r="E90" s="95"/>
      <c r="F90" s="95">
        <v>-1300</v>
      </c>
      <c r="G90" s="95">
        <v>-1424</v>
      </c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s="92" customFormat="1" ht="12.75" outlineLevel="1">
      <c r="A92" s="90"/>
      <c r="B92" s="105" t="s">
        <v>173</v>
      </c>
      <c r="C92" s="91">
        <f>SUM(C93:C97)</f>
        <v>-3523</v>
      </c>
      <c r="D92" s="91">
        <f>SUM(D93:D97)</f>
        <v>-38926</v>
      </c>
      <c r="E92" s="91">
        <f>SUM(E93:E97)</f>
        <v>-118988</v>
      </c>
      <c r="F92" s="91">
        <f>SUM(F93:F97)</f>
        <v>-122271</v>
      </c>
      <c r="G92" s="91">
        <f>SUM(G93:G97)</f>
        <v>-121336</v>
      </c>
      <c r="H92" s="91"/>
      <c r="I92" s="91">
        <v>-122000</v>
      </c>
      <c r="J92" s="91">
        <v>-122000</v>
      </c>
      <c r="K92" s="91">
        <v>-122000</v>
      </c>
      <c r="L92" s="91">
        <v>-122000</v>
      </c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</row>
    <row r="93" spans="1:43" ht="15.75" outlineLevel="2">
      <c r="A93" s="83"/>
      <c r="B93" s="106" t="s">
        <v>599</v>
      </c>
      <c r="C93" s="95">
        <v>-3523</v>
      </c>
      <c r="D93" s="95">
        <v>-11136</v>
      </c>
      <c r="E93" s="95">
        <v>-11307</v>
      </c>
      <c r="F93" s="95">
        <v>-7842</v>
      </c>
      <c r="G93" s="95"/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2">
      <c r="A94" s="83"/>
      <c r="B94" s="106" t="s">
        <v>600</v>
      </c>
      <c r="C94" s="95"/>
      <c r="D94" s="95"/>
      <c r="E94" s="95">
        <v>-2060</v>
      </c>
      <c r="F94" s="95">
        <v>-8808</v>
      </c>
      <c r="G94" s="95">
        <v>-8808</v>
      </c>
      <c r="H94" s="95"/>
      <c r="I94" s="95"/>
      <c r="J94" s="95"/>
      <c r="K94" s="95"/>
      <c r="L94" s="95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860</v>
      </c>
      <c r="C95" s="95"/>
      <c r="D95" s="95"/>
      <c r="E95" s="95"/>
      <c r="F95" s="95"/>
      <c r="G95" s="95">
        <v>-6907</v>
      </c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601</v>
      </c>
      <c r="C96" s="95"/>
      <c r="D96" s="95">
        <v>-14149</v>
      </c>
      <c r="E96" s="95">
        <v>-52857</v>
      </c>
      <c r="F96" s="95">
        <v>-52857</v>
      </c>
      <c r="G96" s="95">
        <v>-52857</v>
      </c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602</v>
      </c>
      <c r="C97" s="95"/>
      <c r="D97" s="95">
        <v>-13641</v>
      </c>
      <c r="E97" s="95">
        <v>-52764</v>
      </c>
      <c r="F97" s="95">
        <v>-52764</v>
      </c>
      <c r="G97" s="95">
        <v>-52764</v>
      </c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2">
      <c r="A98" s="83"/>
      <c r="B98" s="106"/>
      <c r="C98" s="95"/>
      <c r="E98" s="95"/>
      <c r="F98" s="95"/>
      <c r="G98" s="95"/>
      <c r="H98" s="95"/>
      <c r="I98" s="95"/>
      <c r="J98" s="95"/>
      <c r="K98" s="95"/>
      <c r="L98" s="95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s="92" customFormat="1" ht="12.75" outlineLevel="1">
      <c r="A99" s="90"/>
      <c r="B99" s="105" t="s">
        <v>174</v>
      </c>
      <c r="C99" s="91">
        <f>SUM(C100:C103)</f>
        <v>-20129</v>
      </c>
      <c r="D99" s="91">
        <f>SUM(D100:D103)</f>
        <v>-27038</v>
      </c>
      <c r="E99" s="91">
        <f>SUM(E100:E103)</f>
        <v>-25098</v>
      </c>
      <c r="F99" s="91">
        <f>SUM(F100:F103)</f>
        <v>-28779</v>
      </c>
      <c r="G99" s="91">
        <f>SUM(G100:G103)</f>
        <v>-31574</v>
      </c>
      <c r="H99" s="91"/>
      <c r="I99" s="91">
        <v>-32000</v>
      </c>
      <c r="J99" s="91">
        <v>-32000</v>
      </c>
      <c r="K99" s="91">
        <v>-32000</v>
      </c>
      <c r="L99" s="91">
        <v>-32000</v>
      </c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</row>
    <row r="100" spans="1:43" ht="15.75" outlineLevel="2">
      <c r="A100" s="83"/>
      <c r="B100" s="106" t="s">
        <v>603</v>
      </c>
      <c r="C100" s="95"/>
      <c r="D100" s="95">
        <v>-2983</v>
      </c>
      <c r="E100" s="95">
        <v>-743</v>
      </c>
      <c r="F100" s="95"/>
      <c r="G100" s="95">
        <v>-1640</v>
      </c>
      <c r="H100" s="95"/>
      <c r="I100" s="95"/>
      <c r="J100" s="95"/>
      <c r="K100" s="95"/>
      <c r="L100" s="95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ht="15.75" outlineLevel="2">
      <c r="A101" s="83"/>
      <c r="B101" s="106" t="s">
        <v>334</v>
      </c>
      <c r="C101" s="95">
        <v>-16500</v>
      </c>
      <c r="D101" s="95">
        <v>-19800</v>
      </c>
      <c r="E101" s="95">
        <v>-19800</v>
      </c>
      <c r="F101" s="95">
        <v>-21900</v>
      </c>
      <c r="G101" s="95">
        <v>-21900</v>
      </c>
      <c r="H101" s="95"/>
      <c r="I101" s="95"/>
      <c r="J101" s="95"/>
      <c r="K101" s="95"/>
      <c r="L101" s="95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</row>
    <row r="102" spans="1:43" ht="15.75" outlineLevel="2">
      <c r="A102" s="83"/>
      <c r="B102" s="106" t="s">
        <v>604</v>
      </c>
      <c r="C102" s="95">
        <v>-3629</v>
      </c>
      <c r="D102" s="95">
        <v>-4255</v>
      </c>
      <c r="E102" s="95">
        <v>-4555</v>
      </c>
      <c r="F102" s="95">
        <v>-6879</v>
      </c>
      <c r="G102" s="95">
        <v>-8034</v>
      </c>
      <c r="H102" s="95"/>
      <c r="I102" s="95"/>
      <c r="J102" s="95"/>
      <c r="K102" s="95"/>
      <c r="L102" s="95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</row>
    <row r="103" spans="1:43" ht="15.75" outlineLevel="2">
      <c r="A103" s="83"/>
      <c r="B103" s="106"/>
      <c r="C103" s="95"/>
      <c r="D103" s="95"/>
      <c r="F103" s="95"/>
      <c r="G103" s="95"/>
      <c r="H103" s="95"/>
      <c r="I103" s="95"/>
      <c r="J103" s="95"/>
      <c r="K103" s="95"/>
      <c r="L103" s="95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s="92" customFormat="1" ht="12.75" outlineLevel="1">
      <c r="A104" s="90"/>
      <c r="B104" s="105" t="s">
        <v>175</v>
      </c>
      <c r="C104" s="91">
        <f>SUM(C105:C109)</f>
        <v>-22328</v>
      </c>
      <c r="D104" s="91">
        <f t="shared" ref="D104:F104" si="10">SUM(D105:D109)</f>
        <v>-16532</v>
      </c>
      <c r="E104" s="91">
        <f t="shared" si="10"/>
        <v>-62037</v>
      </c>
      <c r="F104" s="91">
        <f t="shared" si="10"/>
        <v>-50467</v>
      </c>
      <c r="G104" s="91">
        <f>SUM(G105:G109)</f>
        <v>-36054</v>
      </c>
      <c r="H104" s="91"/>
      <c r="I104" s="91">
        <v>-40000</v>
      </c>
      <c r="J104" s="91">
        <v>-42000</v>
      </c>
      <c r="K104" s="91">
        <v>-45000</v>
      </c>
      <c r="L104" s="91">
        <v>-47000</v>
      </c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</row>
    <row r="105" spans="1:43" ht="15.75" outlineLevel="2">
      <c r="A105" s="83"/>
      <c r="B105" s="106" t="s">
        <v>475</v>
      </c>
      <c r="C105" s="95"/>
      <c r="D105" s="95"/>
      <c r="E105" s="95"/>
      <c r="F105" s="95"/>
      <c r="G105" s="95">
        <v>-1086</v>
      </c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ht="15.75" outlineLevel="2">
      <c r="A106" s="83"/>
      <c r="B106" s="106" t="s">
        <v>605</v>
      </c>
      <c r="C106" s="95">
        <v>-11263</v>
      </c>
      <c r="D106" s="95">
        <v>-6676</v>
      </c>
      <c r="E106" s="95">
        <v>-49186</v>
      </c>
      <c r="F106" s="95">
        <v>-30415</v>
      </c>
      <c r="G106" s="95">
        <v>-25131</v>
      </c>
      <c r="H106" s="95"/>
      <c r="I106" s="95"/>
      <c r="J106" s="95"/>
      <c r="K106" s="95"/>
      <c r="L106" s="95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 outlineLevel="2">
      <c r="A107" s="83"/>
      <c r="B107" s="106" t="s">
        <v>606</v>
      </c>
      <c r="C107" s="95">
        <v>-10581</v>
      </c>
      <c r="D107" s="95">
        <v>-9856</v>
      </c>
      <c r="E107" s="95">
        <v>-12851</v>
      </c>
      <c r="F107" s="95">
        <v>-20052</v>
      </c>
      <c r="G107" s="95">
        <v>-9837</v>
      </c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 outlineLevel="2">
      <c r="A108" s="83"/>
      <c r="B108" s="106" t="s">
        <v>658</v>
      </c>
      <c r="C108" s="95">
        <v>-484</v>
      </c>
      <c r="D108" s="95"/>
      <c r="E108" s="95"/>
      <c r="F108" s="95"/>
      <c r="G108" s="95"/>
      <c r="H108" s="95"/>
      <c r="I108" s="95"/>
      <c r="J108" s="95"/>
      <c r="K108" s="95"/>
      <c r="L108" s="95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</row>
    <row r="109" spans="1:43" ht="15.75" outlineLevel="2">
      <c r="A109" s="83"/>
      <c r="B109" s="106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</row>
    <row r="110" spans="1:43" s="92" customFormat="1" ht="12.75" outlineLevel="1">
      <c r="A110" s="90"/>
      <c r="B110" s="105" t="s">
        <v>176</v>
      </c>
      <c r="C110" s="91">
        <f>SUM(C111:C116)</f>
        <v>-6409</v>
      </c>
      <c r="D110" s="91">
        <f>SUM(D111:D116)</f>
        <v>-9033</v>
      </c>
      <c r="E110" s="91">
        <f>SUM(E111:E116)</f>
        <v>-15485</v>
      </c>
      <c r="F110" s="91">
        <f>SUM(F111:F116)</f>
        <v>-16866</v>
      </c>
      <c r="G110" s="91">
        <f>SUM(G111:G116)</f>
        <v>-18315</v>
      </c>
      <c r="H110" s="91"/>
      <c r="I110" s="91">
        <v>-18000</v>
      </c>
      <c r="J110" s="91">
        <v>-19000</v>
      </c>
      <c r="K110" s="91">
        <v>-20000</v>
      </c>
      <c r="L110" s="91">
        <v>-21000</v>
      </c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</row>
    <row r="111" spans="1:43" ht="15.75" outlineLevel="2">
      <c r="A111" s="83"/>
      <c r="B111" s="106" t="s">
        <v>607</v>
      </c>
      <c r="C111" s="95">
        <v>-148</v>
      </c>
      <c r="D111" s="95">
        <v>-374</v>
      </c>
      <c r="E111" s="95">
        <v>-261</v>
      </c>
      <c r="F111" s="95">
        <v>-261</v>
      </c>
      <c r="G111" s="95">
        <v>-151</v>
      </c>
      <c r="H111" s="95"/>
      <c r="I111" s="95"/>
      <c r="J111" s="95"/>
      <c r="K111" s="95"/>
      <c r="L111" s="95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2">
      <c r="A112" s="83"/>
      <c r="B112" s="106" t="s">
        <v>608</v>
      </c>
      <c r="C112" s="95">
        <v>-5664</v>
      </c>
      <c r="D112" s="95">
        <v>-6717</v>
      </c>
      <c r="E112" s="95">
        <v>-9728</v>
      </c>
      <c r="F112" s="95">
        <v>-10639</v>
      </c>
      <c r="G112" s="95">
        <v>-11437</v>
      </c>
      <c r="H112" s="95"/>
      <c r="I112" s="95"/>
      <c r="J112" s="95"/>
      <c r="K112" s="95"/>
      <c r="L112" s="95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2">
      <c r="A113" s="83"/>
      <c r="B113" s="106" t="s">
        <v>609</v>
      </c>
      <c r="C113" s="95">
        <v>-29</v>
      </c>
      <c r="D113" s="95">
        <v>-88</v>
      </c>
      <c r="E113" s="95">
        <v>-88</v>
      </c>
      <c r="F113" s="95">
        <v>-58</v>
      </c>
      <c r="G113" s="95"/>
      <c r="H113" s="95"/>
      <c r="I113" s="95"/>
      <c r="J113" s="95"/>
      <c r="K113" s="95"/>
      <c r="L113" s="95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 outlineLevel="2">
      <c r="A114" s="83"/>
      <c r="B114" s="106" t="s">
        <v>610</v>
      </c>
      <c r="C114" s="95"/>
      <c r="D114" s="95">
        <v>-1180</v>
      </c>
      <c r="E114" s="95">
        <v>-4718</v>
      </c>
      <c r="F114" s="95">
        <v>-4718</v>
      </c>
      <c r="G114" s="95">
        <v>-4718</v>
      </c>
      <c r="H114" s="95"/>
      <c r="I114" s="95"/>
      <c r="J114" s="95"/>
      <c r="K114" s="95"/>
      <c r="L114" s="95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 outlineLevel="2">
      <c r="A115" s="83"/>
      <c r="B115" s="106" t="s">
        <v>611</v>
      </c>
      <c r="C115" s="95">
        <v>-568</v>
      </c>
      <c r="D115" s="95">
        <v>-674</v>
      </c>
      <c r="E115" s="95">
        <v>-690</v>
      </c>
      <c r="F115" s="95">
        <v>-1190</v>
      </c>
      <c r="G115" s="95">
        <v>-2009</v>
      </c>
      <c r="H115" s="95"/>
      <c r="I115" s="95"/>
      <c r="J115" s="95"/>
      <c r="K115" s="95"/>
      <c r="L115" s="95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 outlineLevel="2">
      <c r="A116" s="83"/>
      <c r="B116" s="106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s="92" customFormat="1" ht="12.75" outlineLevel="1">
      <c r="A117" s="90"/>
      <c r="B117" s="105" t="s">
        <v>177</v>
      </c>
      <c r="C117" s="91">
        <f>C118</f>
        <v>0</v>
      </c>
      <c r="D117" s="91">
        <f t="shared" ref="D117:L117" si="11">D118</f>
        <v>0</v>
      </c>
      <c r="E117" s="91">
        <f t="shared" si="11"/>
        <v>-212</v>
      </c>
      <c r="F117" s="91">
        <f t="shared" si="11"/>
        <v>0</v>
      </c>
      <c r="G117" s="91">
        <f t="shared" si="11"/>
        <v>0</v>
      </c>
      <c r="H117" s="91"/>
      <c r="I117" s="91">
        <f t="shared" si="11"/>
        <v>0</v>
      </c>
      <c r="J117" s="91">
        <f t="shared" si="11"/>
        <v>0</v>
      </c>
      <c r="K117" s="91">
        <f t="shared" si="11"/>
        <v>0</v>
      </c>
      <c r="L117" s="91">
        <f t="shared" si="11"/>
        <v>0</v>
      </c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</row>
    <row r="118" spans="1:43" ht="15.75" outlineLevel="2">
      <c r="A118" s="83"/>
      <c r="B118" s="106" t="s">
        <v>612</v>
      </c>
      <c r="C118" s="95"/>
      <c r="D118" s="95"/>
      <c r="E118" s="95">
        <v>-212</v>
      </c>
      <c r="F118" s="95"/>
      <c r="G118" s="95"/>
      <c r="H118" s="95"/>
      <c r="I118" s="95"/>
      <c r="J118" s="95"/>
      <c r="K118" s="95"/>
      <c r="L118" s="95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ht="15.75" outlineLevel="2">
      <c r="A119" s="83"/>
      <c r="B119" s="106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</row>
    <row r="120" spans="1:43" s="92" customFormat="1" ht="12.75" outlineLevel="1">
      <c r="A120" s="90"/>
      <c r="B120" s="105" t="s">
        <v>143</v>
      </c>
      <c r="C120" s="91">
        <f>SUM(C121:C133)</f>
        <v>-8273</v>
      </c>
      <c r="D120" s="91">
        <f t="shared" ref="D120:F120" si="12">SUM(D121:D133)</f>
        <v>-18253</v>
      </c>
      <c r="E120" s="91">
        <f t="shared" si="12"/>
        <v>-22402</v>
      </c>
      <c r="F120" s="91">
        <f t="shared" si="12"/>
        <v>-36983</v>
      </c>
      <c r="G120" s="91">
        <f>SUM(G121:G133)</f>
        <v>-129980</v>
      </c>
      <c r="H120" s="91"/>
      <c r="I120" s="91">
        <v>-130000</v>
      </c>
      <c r="J120" s="91">
        <v>-130000</v>
      </c>
      <c r="K120" s="91">
        <v>-132000</v>
      </c>
      <c r="L120" s="91">
        <v>-135000</v>
      </c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</row>
    <row r="121" spans="1:43" ht="15.75" outlineLevel="2">
      <c r="A121" s="83"/>
      <c r="B121" s="106" t="s">
        <v>144</v>
      </c>
      <c r="C121" s="95">
        <v>-123</v>
      </c>
      <c r="D121" s="95">
        <v>-982</v>
      </c>
      <c r="E121" s="95"/>
      <c r="F121" s="95"/>
      <c r="G121" s="95">
        <v>-26158</v>
      </c>
      <c r="H121" s="95"/>
      <c r="I121" s="95"/>
      <c r="J121" s="95"/>
      <c r="K121" s="95"/>
      <c r="L121" s="95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 outlineLevel="2">
      <c r="A122" s="83"/>
      <c r="B122" s="106" t="s">
        <v>490</v>
      </c>
      <c r="C122" s="95"/>
      <c r="D122" s="95">
        <v>-5400</v>
      </c>
      <c r="E122" s="95">
        <v>-10800</v>
      </c>
      <c r="F122" s="95">
        <v>-10800</v>
      </c>
      <c r="G122" s="95">
        <v>-30000</v>
      </c>
      <c r="H122" s="95"/>
      <c r="I122" s="95"/>
      <c r="J122" s="95"/>
      <c r="K122" s="95"/>
      <c r="L122" s="95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</row>
    <row r="123" spans="1:43" ht="15.75" outlineLevel="2">
      <c r="A123" s="83"/>
      <c r="B123" s="106" t="s">
        <v>843</v>
      </c>
      <c r="C123" s="95"/>
      <c r="D123" s="95"/>
      <c r="E123" s="95"/>
      <c r="F123" s="95"/>
      <c r="G123" s="95">
        <v>-42200</v>
      </c>
      <c r="H123" s="95"/>
      <c r="I123" s="95"/>
      <c r="J123" s="95"/>
      <c r="K123" s="95"/>
      <c r="L123" s="95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 outlineLevel="2">
      <c r="A124" s="83"/>
      <c r="B124" s="106" t="s">
        <v>613</v>
      </c>
      <c r="C124" s="95">
        <v>-3405</v>
      </c>
      <c r="D124" s="95">
        <v>-2319</v>
      </c>
      <c r="E124" s="95">
        <v>-3119</v>
      </c>
      <c r="F124" s="95"/>
      <c r="G124" s="95"/>
      <c r="H124" s="95"/>
      <c r="I124" s="95"/>
      <c r="J124" s="95"/>
      <c r="K124" s="95"/>
      <c r="L124" s="95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 outlineLevel="2">
      <c r="A125" s="83"/>
      <c r="B125" s="106" t="s">
        <v>614</v>
      </c>
      <c r="C125" s="95"/>
      <c r="E125" s="95"/>
      <c r="F125" s="95">
        <v>-6577</v>
      </c>
      <c r="G125" s="95">
        <v>-14732</v>
      </c>
      <c r="H125" s="95"/>
      <c r="I125" s="95"/>
      <c r="J125" s="95"/>
      <c r="K125" s="95"/>
      <c r="L125" s="95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 outlineLevel="2">
      <c r="A126" s="83"/>
      <c r="B126" s="106" t="s">
        <v>615</v>
      </c>
      <c r="C126" s="95">
        <v>-4278</v>
      </c>
      <c r="D126" s="95">
        <v>-4721</v>
      </c>
      <c r="E126" s="95">
        <v>-5616</v>
      </c>
      <c r="F126" s="95">
        <v>-5611</v>
      </c>
      <c r="G126" s="95">
        <v>-5531</v>
      </c>
      <c r="H126" s="95"/>
      <c r="I126" s="95"/>
      <c r="J126" s="95"/>
      <c r="K126" s="95"/>
      <c r="L126" s="95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 outlineLevel="2">
      <c r="A127" s="83"/>
      <c r="B127" s="106" t="s">
        <v>863</v>
      </c>
      <c r="C127" s="95"/>
      <c r="D127" s="95"/>
      <c r="E127" s="95"/>
      <c r="F127" s="95"/>
      <c r="G127" s="95">
        <v>-6000</v>
      </c>
      <c r="H127" s="95"/>
      <c r="I127" s="95"/>
      <c r="J127" s="95"/>
      <c r="K127" s="95"/>
      <c r="L127" s="95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</row>
    <row r="128" spans="1:43" ht="15.75" outlineLevel="2">
      <c r="A128" s="83"/>
      <c r="B128" s="106" t="s">
        <v>861</v>
      </c>
      <c r="C128" s="95"/>
      <c r="D128" s="95"/>
      <c r="E128" s="95"/>
      <c r="F128" s="95"/>
      <c r="G128" s="95">
        <v>-500</v>
      </c>
      <c r="H128" s="95"/>
      <c r="I128" s="95"/>
      <c r="J128" s="95"/>
      <c r="K128" s="95"/>
      <c r="L128" s="95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</row>
    <row r="129" spans="1:43" ht="15.75" outlineLevel="2">
      <c r="A129" s="83"/>
      <c r="B129" s="106" t="s">
        <v>616</v>
      </c>
      <c r="C129" s="95"/>
      <c r="D129" s="95">
        <v>-4618</v>
      </c>
      <c r="E129" s="95">
        <v>-2200</v>
      </c>
      <c r="F129" s="95">
        <v>-11529</v>
      </c>
      <c r="G129" s="95">
        <v>-900</v>
      </c>
      <c r="H129" s="95"/>
      <c r="I129" s="95"/>
      <c r="J129" s="95"/>
      <c r="K129" s="95"/>
      <c r="L129" s="95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 outlineLevel="2">
      <c r="A130" s="83"/>
      <c r="B130" s="243" t="s">
        <v>617</v>
      </c>
      <c r="C130" s="95">
        <v>-420</v>
      </c>
      <c r="D130" s="95">
        <v>-210</v>
      </c>
      <c r="E130" s="95">
        <v>-579</v>
      </c>
      <c r="F130" s="95">
        <v>-2460</v>
      </c>
      <c r="G130" s="95">
        <v>-3141</v>
      </c>
      <c r="H130" s="95"/>
      <c r="I130" s="95"/>
      <c r="J130" s="95"/>
      <c r="K130" s="95"/>
      <c r="L130" s="95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</row>
    <row r="131" spans="1:43" ht="15.75" outlineLevel="2">
      <c r="A131" s="83"/>
      <c r="B131" s="106" t="s">
        <v>618</v>
      </c>
      <c r="C131" s="95">
        <v>-43</v>
      </c>
      <c r="D131" s="95">
        <v>-3</v>
      </c>
      <c r="E131" s="95">
        <v>-12</v>
      </c>
      <c r="F131" s="95">
        <v>-3</v>
      </c>
      <c r="G131" s="95">
        <v>-296</v>
      </c>
      <c r="H131" s="95"/>
      <c r="I131" s="95"/>
      <c r="J131" s="95"/>
      <c r="K131" s="95"/>
      <c r="L131" s="95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</row>
    <row r="132" spans="1:43" ht="15.75" outlineLevel="2">
      <c r="A132" s="83"/>
      <c r="B132" s="106" t="s">
        <v>619</v>
      </c>
      <c r="C132" s="95">
        <v>-4</v>
      </c>
      <c r="D132" s="95"/>
      <c r="E132" s="95">
        <v>-76</v>
      </c>
      <c r="F132" s="95">
        <v>-3</v>
      </c>
      <c r="G132" s="95">
        <v>-522</v>
      </c>
      <c r="H132" s="95"/>
      <c r="I132" s="95"/>
      <c r="J132" s="95"/>
      <c r="K132" s="95"/>
      <c r="L132" s="95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</row>
    <row r="133" spans="1:43" ht="15.75" outlineLevel="2">
      <c r="A133" s="83"/>
      <c r="B133" s="106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</row>
    <row r="134" spans="1:43" s="92" customFormat="1" ht="12.75" outlineLevel="1">
      <c r="A134" s="90"/>
      <c r="B134" s="105" t="s">
        <v>178</v>
      </c>
      <c r="C134" s="91">
        <f>SUM(C135:C138)</f>
        <v>-384</v>
      </c>
      <c r="D134" s="91">
        <f>SUM(D135:D138)</f>
        <v>-475</v>
      </c>
      <c r="E134" s="91">
        <f>SUM(E135:E138)</f>
        <v>-178</v>
      </c>
      <c r="F134" s="91">
        <f>SUM(F135:F138)</f>
        <v>-1480</v>
      </c>
      <c r="G134" s="91">
        <f>SUM(G135:G138)</f>
        <v>-541</v>
      </c>
      <c r="H134" s="91"/>
      <c r="I134" s="91">
        <v>-1000</v>
      </c>
      <c r="J134" s="91">
        <v>-1000</v>
      </c>
      <c r="K134" s="91">
        <v>-1000</v>
      </c>
      <c r="L134" s="91">
        <v>-1000</v>
      </c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</row>
    <row r="135" spans="1:43" ht="15.75" outlineLevel="2">
      <c r="A135" s="83"/>
      <c r="B135" s="106" t="s">
        <v>495</v>
      </c>
      <c r="C135" s="95">
        <v>-184</v>
      </c>
      <c r="D135" s="95">
        <v>-475</v>
      </c>
      <c r="E135" s="95">
        <v>-178</v>
      </c>
      <c r="F135" s="95">
        <v>-580</v>
      </c>
      <c r="G135" s="95">
        <v>-541</v>
      </c>
      <c r="H135" s="95"/>
      <c r="I135" s="95"/>
      <c r="J135" s="95"/>
      <c r="K135" s="95"/>
      <c r="L135" s="95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</row>
    <row r="136" spans="1:43" ht="15.75" outlineLevel="2">
      <c r="A136" s="83"/>
      <c r="B136" s="106" t="s">
        <v>496</v>
      </c>
      <c r="C136" s="95">
        <v>-200</v>
      </c>
      <c r="D136" s="95"/>
      <c r="E136" s="95"/>
      <c r="F136" s="95">
        <v>-500</v>
      </c>
      <c r="G136" s="95"/>
      <c r="H136" s="95"/>
      <c r="I136" s="95"/>
      <c r="J136" s="95"/>
      <c r="K136" s="95"/>
      <c r="L136" s="95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ht="15.75" outlineLevel="2">
      <c r="A137" s="83"/>
      <c r="B137" s="106" t="s">
        <v>620</v>
      </c>
      <c r="C137" s="95"/>
      <c r="D137" s="95"/>
      <c r="E137" s="95"/>
      <c r="F137" s="95">
        <v>-400</v>
      </c>
      <c r="G137" s="95"/>
      <c r="H137" s="95"/>
      <c r="I137" s="95"/>
      <c r="J137" s="95"/>
      <c r="K137" s="95"/>
      <c r="L137" s="95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</row>
    <row r="138" spans="1:43" ht="15.75" outlineLevel="2">
      <c r="A138" s="83"/>
      <c r="B138" s="106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s="92" customFormat="1" ht="12.75" outlineLevel="1">
      <c r="A139" s="90"/>
      <c r="B139" s="105" t="s">
        <v>590</v>
      </c>
      <c r="C139" s="91">
        <f>C140</f>
        <v>0</v>
      </c>
      <c r="D139" s="91">
        <f t="shared" ref="D139:G139" si="13">D140</f>
        <v>-8800</v>
      </c>
      <c r="E139" s="91">
        <f t="shared" si="13"/>
        <v>-13736</v>
      </c>
      <c r="F139" s="91">
        <f t="shared" si="13"/>
        <v>-17550</v>
      </c>
      <c r="G139" s="91">
        <f t="shared" si="13"/>
        <v>-31890</v>
      </c>
      <c r="H139" s="91"/>
      <c r="I139" s="91">
        <v>-32000</v>
      </c>
      <c r="J139" s="91">
        <v>-34000</v>
      </c>
      <c r="K139" s="91">
        <v>-35000</v>
      </c>
      <c r="L139" s="91">
        <v>-36000</v>
      </c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</row>
    <row r="140" spans="1:43" ht="15.75" outlineLevel="2">
      <c r="A140" s="83"/>
      <c r="B140" s="106" t="s">
        <v>498</v>
      </c>
      <c r="C140" s="95"/>
      <c r="D140" s="95">
        <v>-8800</v>
      </c>
      <c r="E140" s="95">
        <v>-13736</v>
      </c>
      <c r="F140" s="95">
        <v>-17550</v>
      </c>
      <c r="G140" s="95">
        <v>-31890</v>
      </c>
      <c r="H140" s="95"/>
      <c r="I140" s="95"/>
      <c r="J140" s="95"/>
      <c r="K140" s="95"/>
      <c r="L140" s="95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</row>
    <row r="141" spans="1:43" ht="15.75" outlineLevel="2">
      <c r="A141" s="83"/>
      <c r="B141" s="106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43" s="92" customFormat="1" ht="12.75" outlineLevel="1">
      <c r="A142" s="90"/>
      <c r="B142" s="105" t="s">
        <v>179</v>
      </c>
      <c r="C142" s="91">
        <f>SUM(C143:C145)</f>
        <v>-1939</v>
      </c>
      <c r="D142" s="91">
        <f>SUM(D143:D145)</f>
        <v>-2980</v>
      </c>
      <c r="E142" s="91">
        <f>SUM(E143:E145)</f>
        <v>-2019</v>
      </c>
      <c r="F142" s="91">
        <f>SUM(F143:F145)</f>
        <v>-2748</v>
      </c>
      <c r="G142" s="91">
        <f>SUM(G143:G145)</f>
        <v>-999</v>
      </c>
      <c r="H142" s="91"/>
      <c r="I142" s="91">
        <v>-2500</v>
      </c>
      <c r="J142" s="91">
        <v>-2500</v>
      </c>
      <c r="K142" s="91">
        <v>-2500</v>
      </c>
      <c r="L142" s="91">
        <v>-2500</v>
      </c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</row>
    <row r="143" spans="1:43" ht="15.75" outlineLevel="2">
      <c r="A143" s="83"/>
      <c r="B143" s="106" t="s">
        <v>621</v>
      </c>
      <c r="C143" s="95">
        <v>-1939</v>
      </c>
      <c r="D143" s="95">
        <v>-2980</v>
      </c>
      <c r="E143" s="95">
        <v>-283</v>
      </c>
      <c r="F143" s="95"/>
      <c r="G143" s="95"/>
      <c r="H143" s="95"/>
      <c r="I143" s="95"/>
      <c r="J143" s="95"/>
      <c r="K143" s="95"/>
      <c r="L143" s="95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ht="15.75" outlineLevel="2">
      <c r="A144" s="83"/>
      <c r="B144" s="106" t="s">
        <v>500</v>
      </c>
      <c r="C144" s="95"/>
      <c r="D144" s="95"/>
      <c r="E144" s="95">
        <v>-1736</v>
      </c>
      <c r="F144" s="95">
        <v>-2748</v>
      </c>
      <c r="G144" s="95">
        <v>-999</v>
      </c>
      <c r="H144" s="95"/>
      <c r="I144" s="95"/>
      <c r="J144" s="95"/>
      <c r="K144" s="95"/>
      <c r="L144" s="95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</row>
    <row r="145" spans="1:43" ht="15.75" outlineLevel="2">
      <c r="A145" s="83"/>
      <c r="B145" s="106"/>
      <c r="C145" s="95"/>
      <c r="D145" s="95"/>
      <c r="E145" s="95"/>
      <c r="I145" s="95"/>
      <c r="J145" s="95"/>
      <c r="K145" s="95"/>
      <c r="L145" s="95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</row>
    <row r="146" spans="1:43" s="92" customFormat="1" ht="12.75" outlineLevel="1">
      <c r="A146" s="90"/>
      <c r="B146" s="105" t="s">
        <v>180</v>
      </c>
      <c r="C146" s="91">
        <f>SUM(C147:C156)</f>
        <v>-6895</v>
      </c>
      <c r="D146" s="91">
        <f>SUM(D147:D156)</f>
        <v>-9268</v>
      </c>
      <c r="E146" s="91">
        <f>SUM(E147:E156)</f>
        <v>-11653</v>
      </c>
      <c r="F146" s="91">
        <f>SUM(F147:F156)</f>
        <v>-13053</v>
      </c>
      <c r="G146" s="91">
        <f>SUM(G147:G156)</f>
        <v>-16564</v>
      </c>
      <c r="H146" s="91"/>
      <c r="I146" s="91">
        <v>-17000</v>
      </c>
      <c r="J146" s="91">
        <v>-17000</v>
      </c>
      <c r="K146" s="91">
        <v>-18000</v>
      </c>
      <c r="L146" s="91">
        <v>-19000</v>
      </c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</row>
    <row r="147" spans="1:43" ht="15.75" outlineLevel="2">
      <c r="A147" s="83"/>
      <c r="B147" s="106" t="s">
        <v>145</v>
      </c>
      <c r="C147" s="95">
        <v>-26</v>
      </c>
      <c r="D147" s="95">
        <v>-21</v>
      </c>
      <c r="E147" s="95">
        <v>-12</v>
      </c>
      <c r="F147" s="95">
        <v>-7</v>
      </c>
      <c r="G147" s="95"/>
      <c r="H147" s="95"/>
      <c r="I147" s="95"/>
      <c r="J147" s="95"/>
      <c r="K147" s="95"/>
      <c r="L147" s="95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ht="15.75" outlineLevel="2">
      <c r="A148" s="83"/>
      <c r="B148" s="106" t="s">
        <v>622</v>
      </c>
      <c r="C148" s="95">
        <v>-550</v>
      </c>
      <c r="D148" s="95">
        <v>-476</v>
      </c>
      <c r="E148" s="95">
        <v>-538</v>
      </c>
      <c r="F148" s="95">
        <v>-493</v>
      </c>
      <c r="G148" s="95">
        <v>-417</v>
      </c>
      <c r="H148" s="95"/>
      <c r="I148" s="95"/>
      <c r="J148" s="95"/>
      <c r="K148" s="95"/>
      <c r="L148" s="95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  <row r="149" spans="1:43" ht="15.75" outlineLevel="2">
      <c r="A149" s="83"/>
      <c r="B149" s="106" t="s">
        <v>659</v>
      </c>
      <c r="C149" s="95">
        <v>-62</v>
      </c>
      <c r="D149" s="95"/>
      <c r="E149" s="95"/>
      <c r="F149" s="95"/>
      <c r="G149" s="95"/>
      <c r="H149" s="95"/>
      <c r="I149" s="95"/>
      <c r="J149" s="95"/>
      <c r="K149" s="95"/>
      <c r="L149" s="95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</row>
    <row r="150" spans="1:43" ht="15.75" outlineLevel="2">
      <c r="A150" s="83"/>
      <c r="B150" s="106" t="s">
        <v>623</v>
      </c>
      <c r="C150" s="95">
        <v>-610</v>
      </c>
      <c r="D150" s="95">
        <v>-1187</v>
      </c>
      <c r="E150" s="95">
        <v>-1157</v>
      </c>
      <c r="F150" s="95">
        <v>-993</v>
      </c>
      <c r="G150" s="95">
        <v>-814</v>
      </c>
      <c r="H150" s="95"/>
      <c r="I150" s="95"/>
      <c r="J150" s="95"/>
      <c r="K150" s="95"/>
      <c r="L150" s="95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</row>
    <row r="151" spans="1:43" ht="15.75" outlineLevel="2">
      <c r="A151" s="83"/>
      <c r="B151" s="106" t="s">
        <v>624</v>
      </c>
      <c r="C151" s="95">
        <v>-2045</v>
      </c>
      <c r="D151" s="95">
        <v>-3284</v>
      </c>
      <c r="E151" s="95">
        <v>-4351</v>
      </c>
      <c r="F151" s="95">
        <v>-3613</v>
      </c>
      <c r="G151" s="95">
        <v>-4846</v>
      </c>
      <c r="H151" s="95"/>
      <c r="I151" s="95"/>
      <c r="J151" s="95"/>
      <c r="K151" s="95"/>
      <c r="L151" s="95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</row>
    <row r="152" spans="1:43" ht="15.75" outlineLevel="2">
      <c r="A152" s="83"/>
      <c r="B152" s="243" t="s">
        <v>625</v>
      </c>
      <c r="C152" s="95">
        <v>-1148</v>
      </c>
      <c r="D152" s="95">
        <v>-738</v>
      </c>
      <c r="E152" s="95">
        <v>-1022</v>
      </c>
      <c r="F152" s="95">
        <v>-1018</v>
      </c>
      <c r="G152" s="95">
        <v>-864</v>
      </c>
      <c r="H152" s="95"/>
      <c r="I152" s="95"/>
      <c r="J152" s="95"/>
      <c r="K152" s="95"/>
      <c r="L152" s="95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</row>
    <row r="153" spans="1:43" ht="15.75" outlineLevel="2">
      <c r="A153" s="83"/>
      <c r="B153" s="106" t="s">
        <v>626</v>
      </c>
      <c r="C153" s="95"/>
      <c r="D153" s="95">
        <v>-997</v>
      </c>
      <c r="E153" s="95">
        <v>-1445</v>
      </c>
      <c r="F153" s="95">
        <v>-2917</v>
      </c>
      <c r="G153" s="95">
        <v>-4059</v>
      </c>
      <c r="H153" s="95"/>
      <c r="I153" s="95"/>
      <c r="J153" s="95"/>
      <c r="K153" s="95"/>
      <c r="L153" s="95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</row>
    <row r="154" spans="1:43" ht="15.75" outlineLevel="2">
      <c r="A154" s="83"/>
      <c r="B154" s="106" t="s">
        <v>510</v>
      </c>
      <c r="C154" s="95">
        <v>-1772</v>
      </c>
      <c r="D154" s="95">
        <v>-1417</v>
      </c>
      <c r="E154" s="95">
        <v>-1639</v>
      </c>
      <c r="F154" s="95">
        <v>-1428</v>
      </c>
      <c r="G154" s="95">
        <v>-2340</v>
      </c>
      <c r="H154" s="95"/>
      <c r="I154" s="95"/>
      <c r="J154" s="95"/>
      <c r="K154" s="95"/>
      <c r="L154" s="95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</row>
    <row r="155" spans="1:43" ht="15.75" outlineLevel="2">
      <c r="A155" s="83"/>
      <c r="B155" s="106" t="s">
        <v>379</v>
      </c>
      <c r="C155" s="95">
        <v>-682</v>
      </c>
      <c r="D155" s="95">
        <v>-1148</v>
      </c>
      <c r="E155" s="95">
        <v>-1489</v>
      </c>
      <c r="F155" s="95">
        <v>-2584</v>
      </c>
      <c r="G155" s="95">
        <v>-3224</v>
      </c>
      <c r="H155" s="95"/>
      <c r="I155" s="95"/>
      <c r="J155" s="95"/>
      <c r="K155" s="95"/>
      <c r="L155" s="95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</row>
    <row r="156" spans="1:43" ht="15.75" outlineLevel="1">
      <c r="A156" s="83"/>
      <c r="B156" s="243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</row>
    <row r="157" spans="1:43" ht="15.75">
      <c r="A157" s="83"/>
      <c r="B157" s="100" t="s">
        <v>181</v>
      </c>
      <c r="C157" s="110">
        <f>C77+C79</f>
        <v>196847</v>
      </c>
      <c r="D157" s="110">
        <f>D77+D79</f>
        <v>190568</v>
      </c>
      <c r="E157" s="110">
        <f>E77+E79</f>
        <v>328297</v>
      </c>
      <c r="F157" s="110">
        <f>F77+F79</f>
        <v>298492</v>
      </c>
      <c r="G157" s="110">
        <f>G77+G79</f>
        <v>319625</v>
      </c>
      <c r="H157" s="277"/>
      <c r="I157" s="110">
        <f t="shared" ref="I157:L157" si="14">I77+I79</f>
        <v>290007.04999999993</v>
      </c>
      <c r="J157" s="110">
        <f t="shared" si="14"/>
        <v>377396.43999999994</v>
      </c>
      <c r="K157" s="110">
        <f t="shared" si="14"/>
        <v>430769.51</v>
      </c>
      <c r="L157" s="110">
        <f t="shared" si="14"/>
        <v>488683.82000000007</v>
      </c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</row>
    <row r="158" spans="1:43" ht="16.5" thickBot="1">
      <c r="A158" s="83"/>
      <c r="B158" s="101" t="s">
        <v>106</v>
      </c>
      <c r="C158" s="102">
        <f>C157/C57</f>
        <v>0.22977489071373125</v>
      </c>
      <c r="D158" s="102">
        <f t="shared" ref="D158:G158" si="15">D157/D57</f>
        <v>0.22347804774508437</v>
      </c>
      <c r="E158" s="102">
        <f t="shared" si="15"/>
        <v>0.20353142335666868</v>
      </c>
      <c r="F158" s="102">
        <f t="shared" si="15"/>
        <v>0.15234881208125284</v>
      </c>
      <c r="G158" s="102">
        <f t="shared" si="15"/>
        <v>0.15546908250744818</v>
      </c>
      <c r="H158" s="276"/>
      <c r="I158" s="102">
        <f t="shared" ref="I158:L158" si="16">I157/I57</f>
        <v>0.13697908474689946</v>
      </c>
      <c r="J158" s="102">
        <f t="shared" si="16"/>
        <v>0.16205068618850527</v>
      </c>
      <c r="K158" s="102">
        <f t="shared" si="16"/>
        <v>0.17616057674180466</v>
      </c>
      <c r="L158" s="102">
        <f t="shared" si="16"/>
        <v>0.19032789905237951</v>
      </c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</row>
    <row r="159" spans="1:43" ht="15.75">
      <c r="A159" s="107"/>
      <c r="B159" s="83" t="s">
        <v>262</v>
      </c>
      <c r="C159" s="104">
        <f>C160</f>
        <v>0</v>
      </c>
      <c r="D159" s="104">
        <f t="shared" ref="D159:G159" si="17">D160</f>
        <v>18902</v>
      </c>
      <c r="E159" s="104">
        <f t="shared" si="17"/>
        <v>9378</v>
      </c>
      <c r="F159" s="104">
        <f t="shared" si="17"/>
        <v>50923</v>
      </c>
      <c r="G159" s="104">
        <f t="shared" si="17"/>
        <v>47154</v>
      </c>
      <c r="H159" s="104"/>
      <c r="I159" s="104">
        <v>27144</v>
      </c>
      <c r="J159" s="104">
        <v>27144</v>
      </c>
      <c r="K159" s="104">
        <v>27144</v>
      </c>
      <c r="L159" s="104">
        <v>27144</v>
      </c>
      <c r="M159" s="108"/>
      <c r="N159" s="108"/>
      <c r="O159" s="109"/>
      <c r="P159" s="109"/>
      <c r="Q159" s="109"/>
      <c r="R159" s="109"/>
      <c r="S159" s="109"/>
      <c r="T159" s="109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</row>
    <row r="160" spans="1:43" ht="15.75" outlineLevel="1">
      <c r="A160" s="83"/>
      <c r="B160" s="106" t="s">
        <v>262</v>
      </c>
      <c r="C160" s="95"/>
      <c r="D160" s="95">
        <v>18902</v>
      </c>
      <c r="E160" s="95">
        <v>9378</v>
      </c>
      <c r="F160" s="95">
        <v>50923</v>
      </c>
      <c r="G160" s="95">
        <v>47154</v>
      </c>
      <c r="H160" s="95"/>
      <c r="I160" s="95"/>
      <c r="J160" s="95"/>
      <c r="K160" s="95"/>
      <c r="L160" s="95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</row>
    <row r="161" spans="1:43" ht="15.75" outlineLevel="1">
      <c r="A161" s="83"/>
      <c r="B161" s="106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</row>
    <row r="162" spans="1:43" ht="15.75">
      <c r="A162" s="107"/>
      <c r="B162" s="97" t="s">
        <v>22</v>
      </c>
      <c r="C162" s="104">
        <f>SUM(C163:C168)</f>
        <v>-4125</v>
      </c>
      <c r="D162" s="104">
        <f>SUM(D163:D168)</f>
        <v>-4475</v>
      </c>
      <c r="E162" s="104">
        <f>SUM(E163:E168)</f>
        <v>-5351</v>
      </c>
      <c r="F162" s="104">
        <f>SUM(F163:F168)</f>
        <v>-4683</v>
      </c>
      <c r="G162" s="104">
        <f>SUM(G163:G168)</f>
        <v>-5030</v>
      </c>
      <c r="H162" s="104"/>
      <c r="I162" s="104">
        <v>-5000</v>
      </c>
      <c r="J162" s="104">
        <v>-5000</v>
      </c>
      <c r="K162" s="104">
        <v>-6000</v>
      </c>
      <c r="L162" s="104">
        <v>-7000</v>
      </c>
      <c r="M162" s="108"/>
      <c r="N162" s="108"/>
      <c r="O162" s="109"/>
      <c r="P162" s="109"/>
      <c r="Q162" s="109"/>
      <c r="R162" s="109"/>
      <c r="S162" s="109"/>
      <c r="T162" s="109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</row>
    <row r="163" spans="1:43" ht="15.75" outlineLevel="1">
      <c r="A163" s="83"/>
      <c r="B163" s="106" t="s">
        <v>126</v>
      </c>
      <c r="C163" s="95">
        <v>-413</v>
      </c>
      <c r="D163" s="95">
        <v>-684</v>
      </c>
      <c r="E163" s="95">
        <v>-1053</v>
      </c>
      <c r="F163" s="95">
        <v>-959</v>
      </c>
      <c r="G163" s="95">
        <v>-1035</v>
      </c>
      <c r="H163" s="95"/>
      <c r="I163" s="95"/>
      <c r="J163" s="95"/>
      <c r="K163" s="95"/>
      <c r="L163" s="95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</row>
    <row r="164" spans="1:43" ht="15.75" outlineLevel="1">
      <c r="A164" s="83"/>
      <c r="B164" s="106" t="s">
        <v>627</v>
      </c>
      <c r="C164" s="95">
        <v>-510</v>
      </c>
      <c r="D164" s="95">
        <v>-551</v>
      </c>
      <c r="E164" s="95">
        <v>-1184</v>
      </c>
      <c r="F164" s="95">
        <v>-940</v>
      </c>
      <c r="G164" s="95">
        <v>-880</v>
      </c>
      <c r="H164" s="95"/>
      <c r="I164" s="95"/>
      <c r="J164" s="95"/>
      <c r="K164" s="95"/>
      <c r="L164" s="95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</row>
    <row r="165" spans="1:43" ht="15.75" outlineLevel="1">
      <c r="A165" s="83"/>
      <c r="B165" s="106" t="s">
        <v>382</v>
      </c>
      <c r="C165" s="95">
        <v>-257</v>
      </c>
      <c r="D165" s="95">
        <v>-257</v>
      </c>
      <c r="E165" s="95">
        <v>-130</v>
      </c>
      <c r="F165" s="95">
        <v>-199</v>
      </c>
      <c r="G165" s="95">
        <v>-341</v>
      </c>
      <c r="H165" s="95"/>
      <c r="I165" s="95"/>
      <c r="J165" s="95"/>
      <c r="K165" s="95"/>
      <c r="L165" s="95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</row>
    <row r="166" spans="1:43" ht="15.75" outlineLevel="1">
      <c r="A166" s="83"/>
      <c r="B166" s="106" t="s">
        <v>514</v>
      </c>
      <c r="C166" s="95">
        <v>-2945</v>
      </c>
      <c r="D166" s="95">
        <v>-2983</v>
      </c>
      <c r="E166" s="95">
        <v>-2956</v>
      </c>
      <c r="F166" s="95">
        <v>-2585</v>
      </c>
      <c r="G166" s="95">
        <v>-2774</v>
      </c>
      <c r="H166" s="95"/>
      <c r="I166" s="95"/>
      <c r="J166" s="95"/>
      <c r="K166" s="95"/>
      <c r="L166" s="95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</row>
    <row r="167" spans="1:43" ht="15.75" outlineLevel="1">
      <c r="A167" s="83"/>
      <c r="B167" s="106" t="s">
        <v>628</v>
      </c>
      <c r="C167" s="95"/>
      <c r="D167" s="95"/>
      <c r="E167" s="95">
        <v>-28</v>
      </c>
      <c r="F167" s="95"/>
      <c r="G167" s="95"/>
      <c r="H167" s="95"/>
      <c r="I167" s="95"/>
      <c r="J167" s="95"/>
      <c r="K167" s="95"/>
      <c r="L167" s="95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</row>
    <row r="168" spans="1:43" ht="15.75" outlineLevel="1">
      <c r="A168" s="83"/>
      <c r="B168" s="106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</row>
    <row r="169" spans="1:43" ht="15.75">
      <c r="A169" s="107"/>
      <c r="B169" s="97" t="s">
        <v>21</v>
      </c>
      <c r="C169" s="104">
        <f>C171+C179</f>
        <v>-124554</v>
      </c>
      <c r="D169" s="104">
        <f>D171+D179</f>
        <v>-132099</v>
      </c>
      <c r="E169" s="104">
        <f>E171+E179</f>
        <v>-193760</v>
      </c>
      <c r="F169" s="104">
        <f>F171+F179</f>
        <v>-194669</v>
      </c>
      <c r="G169" s="104">
        <f>G171+G179</f>
        <v>-191170</v>
      </c>
      <c r="H169" s="104"/>
      <c r="I169" s="104">
        <v>-204117</v>
      </c>
      <c r="J169" s="104">
        <f>-205117-60000</f>
        <v>-265117</v>
      </c>
      <c r="K169" s="104">
        <f>J169</f>
        <v>-265117</v>
      </c>
      <c r="L169" s="104">
        <f>K169</f>
        <v>-265117</v>
      </c>
      <c r="M169" s="108"/>
      <c r="N169" s="108" t="s">
        <v>891</v>
      </c>
      <c r="O169" s="109"/>
      <c r="P169" s="109"/>
      <c r="Q169" s="109"/>
      <c r="R169" s="109"/>
      <c r="S169" s="109"/>
      <c r="T169" s="109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</row>
    <row r="170" spans="1:43" s="96" customFormat="1" ht="12.75" outlineLevel="1">
      <c r="A170" s="93"/>
      <c r="B170" s="106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</row>
    <row r="171" spans="1:43" s="92" customFormat="1" ht="12.75" outlineLevel="1">
      <c r="A171" s="90"/>
      <c r="B171" s="105" t="s">
        <v>182</v>
      </c>
      <c r="C171" s="91">
        <f>SUM(C172:C178)</f>
        <v>-110130</v>
      </c>
      <c r="D171" s="91">
        <f>SUM(D172:D178)</f>
        <v>-115573</v>
      </c>
      <c r="E171" s="91">
        <f>SUM(E172:E178)</f>
        <v>-169693</v>
      </c>
      <c r="F171" s="91">
        <f>SUM(F172:F178)</f>
        <v>-172392</v>
      </c>
      <c r="G171" s="91">
        <f>SUM(G172:G178)</f>
        <v>-167095</v>
      </c>
      <c r="H171" s="91"/>
      <c r="I171" s="91"/>
      <c r="J171" s="91"/>
      <c r="K171" s="91"/>
      <c r="L171" s="91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</row>
    <row r="172" spans="1:43" ht="15.75" outlineLevel="2">
      <c r="A172" s="83"/>
      <c r="B172" s="106" t="s">
        <v>182</v>
      </c>
      <c r="C172" s="95">
        <v>-90470</v>
      </c>
      <c r="D172" s="95">
        <v>-99318</v>
      </c>
      <c r="E172" s="95">
        <v>-142924</v>
      </c>
      <c r="F172" s="95">
        <v>-141042</v>
      </c>
      <c r="G172" s="95">
        <v>-152182</v>
      </c>
      <c r="H172" s="95"/>
      <c r="I172" s="95"/>
      <c r="J172" s="95"/>
      <c r="K172" s="95"/>
      <c r="L172" s="95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</row>
    <row r="173" spans="1:43" ht="15.75" outlineLevel="2">
      <c r="A173" s="83"/>
      <c r="B173" s="106" t="s">
        <v>629</v>
      </c>
      <c r="C173" s="95">
        <v>-153</v>
      </c>
      <c r="D173" s="95">
        <v>-236</v>
      </c>
      <c r="E173" s="95">
        <v>-236</v>
      </c>
      <c r="F173" s="95">
        <v>-330</v>
      </c>
      <c r="G173" s="95"/>
      <c r="H173" s="95"/>
      <c r="I173" s="95"/>
      <c r="J173" s="95"/>
      <c r="K173" s="95"/>
      <c r="L173" s="95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</row>
    <row r="174" spans="1:43" ht="15.75" outlineLevel="2">
      <c r="A174" s="83"/>
      <c r="B174" s="106" t="s">
        <v>388</v>
      </c>
      <c r="C174" s="95">
        <v>-13500</v>
      </c>
      <c r="D174" s="95">
        <v>-13000</v>
      </c>
      <c r="E174" s="95">
        <v>-19200</v>
      </c>
      <c r="F174" s="95">
        <v>-23400</v>
      </c>
      <c r="G174" s="95"/>
      <c r="H174" s="95"/>
      <c r="I174" s="95"/>
      <c r="J174" s="95"/>
      <c r="K174" s="95"/>
      <c r="L174" s="95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</row>
    <row r="175" spans="1:43" ht="15.75" outlineLevel="2">
      <c r="A175" s="83"/>
      <c r="B175" s="106" t="s">
        <v>524</v>
      </c>
      <c r="C175" s="95">
        <v>-1398</v>
      </c>
      <c r="D175" s="95">
        <v>-271</v>
      </c>
      <c r="E175" s="95">
        <v>-3177</v>
      </c>
      <c r="F175" s="95">
        <v>207</v>
      </c>
      <c r="G175" s="95">
        <v>-245</v>
      </c>
      <c r="H175" s="95"/>
      <c r="I175" s="95"/>
      <c r="J175" s="95"/>
      <c r="K175" s="95"/>
      <c r="L175" s="95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</row>
    <row r="176" spans="1:43" ht="15.75" outlineLevel="2">
      <c r="A176" s="83"/>
      <c r="B176" s="106" t="s">
        <v>630</v>
      </c>
      <c r="C176" s="95">
        <v>-3802</v>
      </c>
      <c r="D176" s="95">
        <v>-748</v>
      </c>
      <c r="E176" s="95">
        <v>-264</v>
      </c>
      <c r="F176" s="95"/>
      <c r="G176" s="95"/>
      <c r="H176" s="95"/>
      <c r="I176" s="95"/>
      <c r="J176" s="95"/>
      <c r="K176" s="95"/>
      <c r="L176" s="95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  <row r="177" spans="1:43" ht="15.75" outlineLevel="2">
      <c r="A177" s="83"/>
      <c r="B177" s="106" t="s">
        <v>392</v>
      </c>
      <c r="C177" s="95">
        <v>-807</v>
      </c>
      <c r="D177" s="95">
        <v>-2000</v>
      </c>
      <c r="E177" s="95">
        <v>-3892</v>
      </c>
      <c r="F177" s="95">
        <v>-7827</v>
      </c>
      <c r="G177" s="95">
        <v>-14668</v>
      </c>
      <c r="H177" s="95"/>
      <c r="I177" s="95"/>
      <c r="J177" s="95"/>
      <c r="K177" s="95"/>
      <c r="L177" s="95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</row>
    <row r="178" spans="1:43" ht="15.75" outlineLevel="2">
      <c r="A178" s="83"/>
      <c r="B178" s="106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</row>
    <row r="179" spans="1:43" s="92" customFormat="1" ht="12.75" outlineLevel="1">
      <c r="A179" s="90"/>
      <c r="B179" s="105" t="s">
        <v>19</v>
      </c>
      <c r="C179" s="91">
        <f>SUM(C180:C186)</f>
        <v>-14424</v>
      </c>
      <c r="D179" s="91">
        <f>SUM(D180:D186)</f>
        <v>-16526</v>
      </c>
      <c r="E179" s="91">
        <f>SUM(E180:E186)</f>
        <v>-24067</v>
      </c>
      <c r="F179" s="91">
        <f>SUM(F180:F186)</f>
        <v>-22277</v>
      </c>
      <c r="G179" s="91">
        <f>SUM(G180:G186)</f>
        <v>-24075</v>
      </c>
      <c r="H179" s="91"/>
      <c r="I179" s="91"/>
      <c r="J179" s="91"/>
      <c r="K179" s="91"/>
      <c r="L179" s="91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</row>
    <row r="180" spans="1:43" ht="15.75" outlineLevel="2">
      <c r="A180" s="83"/>
      <c r="B180" s="106" t="s">
        <v>631</v>
      </c>
      <c r="C180" s="95">
        <v>-10529</v>
      </c>
      <c r="D180" s="95">
        <v>-12696</v>
      </c>
      <c r="E180" s="95">
        <v>-17879</v>
      </c>
      <c r="F180" s="95">
        <v>-17289</v>
      </c>
      <c r="G180" s="95">
        <v>-18395</v>
      </c>
      <c r="H180" s="95"/>
      <c r="I180" s="95"/>
      <c r="J180" s="95"/>
      <c r="K180" s="95"/>
      <c r="L180" s="95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</row>
    <row r="181" spans="1:43" ht="15.75" outlineLevel="2">
      <c r="A181" s="83"/>
      <c r="B181" s="106" t="s">
        <v>399</v>
      </c>
      <c r="C181" s="95">
        <v>-687</v>
      </c>
      <c r="D181" s="95">
        <v>-1201</v>
      </c>
      <c r="E181" s="95">
        <v>-2531</v>
      </c>
      <c r="F181" s="95">
        <v>-2289</v>
      </c>
      <c r="G181" s="95">
        <v>-2444</v>
      </c>
      <c r="H181" s="95"/>
      <c r="I181" s="95"/>
      <c r="J181" s="95"/>
      <c r="K181" s="95"/>
      <c r="L181" s="95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</row>
    <row r="182" spans="1:43" ht="15.75" outlineLevel="2">
      <c r="A182" s="83"/>
      <c r="B182" s="106" t="s">
        <v>652</v>
      </c>
      <c r="C182" s="95">
        <v>-1684</v>
      </c>
      <c r="D182" s="95">
        <v>-1806</v>
      </c>
      <c r="E182" s="95">
        <v>-2404</v>
      </c>
      <c r="F182" s="95">
        <v>-2239</v>
      </c>
      <c r="G182" s="95">
        <v>-2353</v>
      </c>
      <c r="H182" s="95"/>
      <c r="I182" s="95"/>
      <c r="J182" s="95"/>
      <c r="K182" s="95"/>
      <c r="L182" s="95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</row>
    <row r="183" spans="1:43" ht="15.75" outlineLevel="2">
      <c r="A183" s="83"/>
      <c r="B183" s="106" t="s">
        <v>651</v>
      </c>
      <c r="C183" s="95">
        <v>-1015</v>
      </c>
      <c r="D183" s="95">
        <v>-340</v>
      </c>
      <c r="E183" s="95"/>
      <c r="F183" s="95"/>
      <c r="G183" s="95"/>
      <c r="H183" s="95"/>
      <c r="I183" s="95"/>
      <c r="J183" s="95"/>
      <c r="K183" s="95"/>
      <c r="L183" s="95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</row>
    <row r="184" spans="1:43" ht="15.75" outlineLevel="2">
      <c r="A184" s="83"/>
      <c r="B184" s="106" t="s">
        <v>632</v>
      </c>
      <c r="C184" s="95">
        <v>-119</v>
      </c>
      <c r="D184" s="95">
        <v>-63</v>
      </c>
      <c r="E184" s="95">
        <v>-626</v>
      </c>
      <c r="F184" s="95">
        <v>132</v>
      </c>
      <c r="G184" s="95">
        <v>-244</v>
      </c>
      <c r="H184" s="95"/>
      <c r="I184" s="95"/>
      <c r="J184" s="95"/>
      <c r="K184" s="95"/>
      <c r="L184" s="95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</row>
    <row r="185" spans="1:43" ht="15.75" outlineLevel="2">
      <c r="A185" s="83"/>
      <c r="B185" s="106" t="s">
        <v>408</v>
      </c>
      <c r="C185" s="95">
        <v>-390</v>
      </c>
      <c r="D185" s="32">
        <v>-420</v>
      </c>
      <c r="E185" s="95">
        <v>-627</v>
      </c>
      <c r="F185" s="95">
        <v>-592</v>
      </c>
      <c r="G185" s="95">
        <v>-639</v>
      </c>
      <c r="H185" s="95"/>
      <c r="I185" s="95"/>
      <c r="J185" s="95"/>
      <c r="K185" s="95"/>
      <c r="L185" s="95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</row>
    <row r="186" spans="1:43" ht="15.75" outlineLevel="1">
      <c r="A186" s="83"/>
      <c r="B186" s="243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</row>
    <row r="187" spans="1:43" ht="15.75">
      <c r="A187" s="83"/>
      <c r="B187" s="97" t="s">
        <v>20</v>
      </c>
      <c r="C187" s="89">
        <v>0</v>
      </c>
      <c r="D187" s="89">
        <v>0</v>
      </c>
      <c r="E187" s="89">
        <v>0</v>
      </c>
      <c r="F187" s="89">
        <v>0</v>
      </c>
      <c r="G187" s="89">
        <v>0</v>
      </c>
      <c r="H187" s="89"/>
      <c r="I187" s="89"/>
      <c r="J187" s="89"/>
      <c r="K187" s="89"/>
      <c r="L187" s="89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</row>
    <row r="188" spans="1:43" ht="15.75">
      <c r="A188" s="83"/>
      <c r="B188" s="100" t="s">
        <v>24</v>
      </c>
      <c r="C188" s="110">
        <f>C157+C159+C162+C169+C187</f>
        <v>68168</v>
      </c>
      <c r="D188" s="110">
        <f>D157+D159+D162+D169+D187</f>
        <v>72896</v>
      </c>
      <c r="E188" s="110">
        <f>E157+E159+E162+E169+E187</f>
        <v>138564</v>
      </c>
      <c r="F188" s="110">
        <f>F157+F159+F162+F169+F187</f>
        <v>150063</v>
      </c>
      <c r="G188" s="110">
        <f>G157+G159+G162+G169+G187</f>
        <v>170579</v>
      </c>
      <c r="H188" s="277"/>
      <c r="I188" s="110">
        <f t="shared" ref="I188:L188" si="18">I157+I159+I162+I169+I187</f>
        <v>108034.04999999993</v>
      </c>
      <c r="J188" s="110">
        <f t="shared" si="18"/>
        <v>134423.43999999994</v>
      </c>
      <c r="K188" s="110">
        <f t="shared" si="18"/>
        <v>186796.51</v>
      </c>
      <c r="L188" s="110">
        <f t="shared" si="18"/>
        <v>243710.82000000007</v>
      </c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</row>
    <row r="189" spans="1:43" ht="16.5" thickBot="1">
      <c r="A189" s="83"/>
      <c r="B189" s="101" t="s">
        <v>106</v>
      </c>
      <c r="C189" s="102">
        <f>C188/C57</f>
        <v>7.9570909133355516E-2</v>
      </c>
      <c r="D189" s="102">
        <f t="shared" ref="D189:G189" si="19">D188/D57</f>
        <v>8.5484739139969304E-2</v>
      </c>
      <c r="E189" s="102">
        <f t="shared" si="19"/>
        <v>8.5904312698542595E-2</v>
      </c>
      <c r="F189" s="102">
        <f t="shared" si="19"/>
        <v>7.6591398722073101E-2</v>
      </c>
      <c r="G189" s="102">
        <f t="shared" si="19"/>
        <v>8.297148416124521E-2</v>
      </c>
      <c r="H189" s="276"/>
      <c r="I189" s="102">
        <f t="shared" ref="I189:L189" si="20">I188/I57</f>
        <v>5.1027743258313094E-2</v>
      </c>
      <c r="J189" s="102">
        <f t="shared" si="20"/>
        <v>5.7720233640305034E-2</v>
      </c>
      <c r="K189" s="102">
        <f t="shared" si="20"/>
        <v>7.6389299082370715E-2</v>
      </c>
      <c r="L189" s="102">
        <f t="shared" si="20"/>
        <v>9.4918158630528507E-2</v>
      </c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</row>
    <row r="190" spans="1:43" ht="15.75">
      <c r="A190" s="83"/>
      <c r="B190" s="97" t="s">
        <v>183</v>
      </c>
      <c r="C190" s="89">
        <f>SUM(C191:C192)</f>
        <v>3751</v>
      </c>
      <c r="D190" s="89">
        <f>SUM(D191:D192)</f>
        <v>6</v>
      </c>
      <c r="E190" s="89">
        <f>SUM(E191:E192)</f>
        <v>3064</v>
      </c>
      <c r="F190" s="89">
        <f>SUM(F191:F192)</f>
        <v>1002</v>
      </c>
      <c r="G190" s="89">
        <f>SUM(G191:G192)</f>
        <v>285</v>
      </c>
      <c r="H190" s="89"/>
      <c r="I190" s="89"/>
      <c r="J190" s="89"/>
      <c r="K190" s="89"/>
      <c r="L190" s="89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</row>
    <row r="191" spans="1:43" ht="15.75" outlineLevel="1">
      <c r="A191" s="83"/>
      <c r="B191" s="106" t="s">
        <v>580</v>
      </c>
      <c r="C191" s="95">
        <v>3751</v>
      </c>
      <c r="D191" s="95">
        <v>6</v>
      </c>
      <c r="E191" s="95">
        <v>3064</v>
      </c>
      <c r="F191" s="95">
        <v>1002</v>
      </c>
      <c r="G191" s="95">
        <v>285</v>
      </c>
      <c r="H191" s="95"/>
      <c r="I191" s="95"/>
      <c r="J191" s="95"/>
      <c r="K191" s="95"/>
      <c r="L191" s="95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</row>
    <row r="192" spans="1:43" ht="15.75" outlineLevel="1">
      <c r="A192" s="83"/>
      <c r="B192" s="106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</row>
    <row r="193" spans="1:43" ht="15.75">
      <c r="A193" s="83"/>
      <c r="B193" s="97" t="s">
        <v>12</v>
      </c>
      <c r="C193" s="89">
        <f t="shared" ref="C193:G193" si="21">C194</f>
        <v>8</v>
      </c>
      <c r="D193" s="89">
        <f t="shared" si="21"/>
        <v>970</v>
      </c>
      <c r="E193" s="89">
        <f t="shared" si="21"/>
        <v>29</v>
      </c>
      <c r="F193" s="89">
        <f t="shared" si="21"/>
        <v>1256</v>
      </c>
      <c r="G193" s="89">
        <f t="shared" si="21"/>
        <v>76</v>
      </c>
      <c r="H193" s="89"/>
      <c r="I193" s="89"/>
      <c r="J193" s="89"/>
      <c r="K193" s="89"/>
      <c r="L193" s="89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</row>
    <row r="194" spans="1:43" ht="15.75" outlineLevel="1">
      <c r="A194" s="83"/>
      <c r="B194" s="106" t="s">
        <v>581</v>
      </c>
      <c r="C194" s="95">
        <v>8</v>
      </c>
      <c r="D194" s="95">
        <v>970</v>
      </c>
      <c r="E194" s="95">
        <v>29</v>
      </c>
      <c r="F194" s="95">
        <v>1256</v>
      </c>
      <c r="G194" s="95">
        <v>76</v>
      </c>
      <c r="H194" s="95"/>
      <c r="I194" s="95"/>
      <c r="J194" s="95"/>
      <c r="K194" s="95"/>
      <c r="L194" s="95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</row>
    <row r="195" spans="1:43" ht="15.75" outlineLevel="1">
      <c r="A195" s="83"/>
      <c r="B195" s="106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</row>
    <row r="196" spans="1:43" ht="15.75">
      <c r="A196" s="83"/>
      <c r="B196" s="97" t="s">
        <v>184</v>
      </c>
      <c r="C196" s="89">
        <f>SUM(C197:C199)</f>
        <v>-38169</v>
      </c>
      <c r="D196" s="89">
        <f>SUM(D197:D199)</f>
        <v>-39462</v>
      </c>
      <c r="E196" s="89">
        <f>SUM(E197:E199)</f>
        <v>-40701</v>
      </c>
      <c r="F196" s="89">
        <f>SUM(F197:F199)</f>
        <v>-40946</v>
      </c>
      <c r="G196" s="89">
        <f>SUM(G197:G199)</f>
        <v>-53892</v>
      </c>
      <c r="H196" s="89"/>
      <c r="I196" s="89">
        <v>-54000</v>
      </c>
      <c r="J196" s="89">
        <v>-54000</v>
      </c>
      <c r="K196" s="89">
        <v>-54000</v>
      </c>
      <c r="L196" s="89">
        <v>-54000</v>
      </c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</row>
    <row r="197" spans="1:43" ht="15.75" outlineLevel="1">
      <c r="A197" s="83"/>
      <c r="B197" s="106" t="s">
        <v>409</v>
      </c>
      <c r="C197" s="95">
        <v>-1392</v>
      </c>
      <c r="D197" s="95">
        <v>-1392</v>
      </c>
      <c r="E197" s="95">
        <v>-1270</v>
      </c>
      <c r="F197" s="95">
        <v>-169</v>
      </c>
      <c r="G197" s="95"/>
      <c r="H197" s="95"/>
      <c r="I197" s="95"/>
      <c r="J197" s="95"/>
      <c r="K197" s="95"/>
      <c r="L197" s="95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</row>
    <row r="198" spans="1:43" ht="15.75" outlineLevel="1">
      <c r="A198" s="83"/>
      <c r="B198" s="106" t="s">
        <v>410</v>
      </c>
      <c r="C198" s="95">
        <v>-36777</v>
      </c>
      <c r="D198" s="95">
        <v>-38070</v>
      </c>
      <c r="E198" s="95">
        <v>-39431</v>
      </c>
      <c r="F198" s="95">
        <v>-40777</v>
      </c>
      <c r="G198" s="95">
        <v>-53892</v>
      </c>
      <c r="H198" s="95"/>
      <c r="I198" s="95"/>
      <c r="J198" s="95"/>
      <c r="K198" s="95"/>
      <c r="L198" s="95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</row>
    <row r="199" spans="1:43" ht="15.75" outlineLevel="1">
      <c r="A199" s="83"/>
      <c r="B199" s="106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</row>
    <row r="200" spans="1:43" ht="15.75">
      <c r="A200" s="83"/>
      <c r="B200" s="97" t="s">
        <v>23</v>
      </c>
      <c r="C200" s="89">
        <f>SUM(C201:C202)</f>
        <v>-4</v>
      </c>
      <c r="D200" s="89">
        <f>SUM(D201:D202)</f>
        <v>-11</v>
      </c>
      <c r="E200" s="89">
        <f>SUM(E201:E202)</f>
        <v>-7</v>
      </c>
      <c r="F200" s="89">
        <f>SUM(F201:F202)</f>
        <v>-56</v>
      </c>
      <c r="G200" s="89">
        <f>G201</f>
        <v>-19</v>
      </c>
      <c r="H200" s="89"/>
      <c r="I200" s="89"/>
      <c r="J200" s="89"/>
      <c r="K200" s="89"/>
      <c r="L200" s="89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</row>
    <row r="201" spans="1:43" ht="15.75" outlineLevel="1">
      <c r="A201" s="83"/>
      <c r="B201" s="106" t="s">
        <v>633</v>
      </c>
      <c r="C201" s="95">
        <v>-4</v>
      </c>
      <c r="D201" s="95">
        <v>-11</v>
      </c>
      <c r="E201" s="95">
        <v>-7</v>
      </c>
      <c r="F201" s="95">
        <v>-56</v>
      </c>
      <c r="G201" s="95">
        <v>-19</v>
      </c>
      <c r="H201" s="95"/>
      <c r="I201" s="95"/>
      <c r="J201" s="95"/>
      <c r="K201" s="95"/>
      <c r="L201" s="95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</row>
    <row r="202" spans="1:43" ht="15.75" outlineLevel="1">
      <c r="A202" s="83"/>
      <c r="B202" s="106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</row>
    <row r="203" spans="1:43" ht="15.75">
      <c r="A203" s="83"/>
      <c r="B203" s="100" t="s">
        <v>26</v>
      </c>
      <c r="C203" s="110">
        <f>C188+C190+C193+C200+C196</f>
        <v>33754</v>
      </c>
      <c r="D203" s="110">
        <f>D188+D190+D193+D200+D196</f>
        <v>34399</v>
      </c>
      <c r="E203" s="110">
        <f>E188+E190+E193+E200+E196</f>
        <v>100949</v>
      </c>
      <c r="F203" s="110">
        <f>F188+F190+F193+F200+F196</f>
        <v>111319</v>
      </c>
      <c r="G203" s="110">
        <f>G188+G190+G193+G200+G196</f>
        <v>117029</v>
      </c>
      <c r="H203" s="277"/>
      <c r="I203" s="110">
        <f t="shared" ref="I203:L203" si="22">I188+I190+I193+I200+I196</f>
        <v>54034.04999999993</v>
      </c>
      <c r="J203" s="110">
        <f t="shared" si="22"/>
        <v>80423.439999999944</v>
      </c>
      <c r="K203" s="110">
        <f t="shared" si="22"/>
        <v>132796.51</v>
      </c>
      <c r="L203" s="110">
        <f t="shared" si="22"/>
        <v>189710.82000000007</v>
      </c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</row>
    <row r="204" spans="1:43" ht="16.5" thickBot="1">
      <c r="A204" s="83"/>
      <c r="B204" s="101" t="s">
        <v>106</v>
      </c>
      <c r="C204" s="102">
        <f>C203/C57</f>
        <v>3.9400253299015399E-2</v>
      </c>
      <c r="D204" s="102">
        <f t="shared" ref="D204:G204" si="23">D203/D57</f>
        <v>4.0339518515087304E-2</v>
      </c>
      <c r="E204" s="102">
        <f t="shared" si="23"/>
        <v>6.2584469722331754E-2</v>
      </c>
      <c r="F204" s="102">
        <f t="shared" si="23"/>
        <v>5.6816656433247743E-2</v>
      </c>
      <c r="G204" s="102">
        <f t="shared" si="23"/>
        <v>5.6924180701647717E-2</v>
      </c>
      <c r="H204" s="276"/>
      <c r="I204" s="102">
        <f t="shared" ref="I204:L204" si="24">I203/I57</f>
        <v>2.5521913050624789E-2</v>
      </c>
      <c r="J204" s="102">
        <f t="shared" si="24"/>
        <v>3.453311228277637E-2</v>
      </c>
      <c r="K204" s="102">
        <f t="shared" si="24"/>
        <v>5.4306326812449728E-2</v>
      </c>
      <c r="L204" s="102">
        <f t="shared" si="24"/>
        <v>7.3886755240032603E-2</v>
      </c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</row>
    <row r="205" spans="1:43" s="111" customFormat="1" ht="15.75">
      <c r="A205" s="83"/>
      <c r="B205" s="97" t="s">
        <v>29</v>
      </c>
      <c r="C205" s="89">
        <f>C206+C207</f>
        <v>-5114</v>
      </c>
      <c r="D205" s="89">
        <f>D206+D207</f>
        <v>-7016</v>
      </c>
      <c r="E205" s="89">
        <f>E206+E207</f>
        <v>-5632</v>
      </c>
      <c r="F205" s="89">
        <f>F206+F207</f>
        <v>-19080</v>
      </c>
      <c r="G205" s="89">
        <f>G206+G207</f>
        <v>-33649</v>
      </c>
      <c r="H205" s="89"/>
      <c r="I205" s="89">
        <f t="shared" ref="I205:L205" si="25">I206+I207</f>
        <v>-30000</v>
      </c>
      <c r="J205" s="89">
        <f t="shared" si="25"/>
        <v>-27000</v>
      </c>
      <c r="K205" s="89">
        <f t="shared" si="25"/>
        <v>-23000</v>
      </c>
      <c r="L205" s="89">
        <f t="shared" si="25"/>
        <v>-20000</v>
      </c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</row>
    <row r="206" spans="1:43" ht="15.75" outlineLevel="1">
      <c r="A206" s="83"/>
      <c r="B206" s="105" t="s">
        <v>27</v>
      </c>
      <c r="C206" s="91"/>
      <c r="D206" s="91"/>
      <c r="E206" s="91"/>
      <c r="F206" s="91"/>
      <c r="G206" s="91"/>
      <c r="H206" s="91"/>
      <c r="I206" s="95"/>
      <c r="J206" s="95"/>
      <c r="K206" s="95"/>
      <c r="L206" s="95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</row>
    <row r="207" spans="1:43" ht="15.75" outlineLevel="1">
      <c r="A207" s="83"/>
      <c r="B207" s="105" t="s">
        <v>185</v>
      </c>
      <c r="C207" s="91">
        <f>SUM(C208:C218)</f>
        <v>-5114</v>
      </c>
      <c r="D207" s="91">
        <f t="shared" ref="D207:G207" si="26">SUM(D208:D218)</f>
        <v>-7016</v>
      </c>
      <c r="E207" s="91">
        <f t="shared" si="26"/>
        <v>-5632</v>
      </c>
      <c r="F207" s="91">
        <f t="shared" si="26"/>
        <v>-19080</v>
      </c>
      <c r="G207" s="91">
        <f t="shared" si="26"/>
        <v>-33649</v>
      </c>
      <c r="H207" s="91"/>
      <c r="I207" s="91">
        <v>-30000</v>
      </c>
      <c r="J207" s="91">
        <v>-27000</v>
      </c>
      <c r="K207" s="91">
        <v>-23000</v>
      </c>
      <c r="L207" s="91">
        <v>-20000</v>
      </c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</row>
    <row r="208" spans="1:43" ht="15.75" outlineLevel="2">
      <c r="A208" s="83"/>
      <c r="B208" s="106" t="s">
        <v>862</v>
      </c>
      <c r="C208" s="95"/>
      <c r="D208" s="95"/>
      <c r="E208" s="95"/>
      <c r="F208" s="95"/>
      <c r="G208" s="95">
        <v>-4448</v>
      </c>
      <c r="H208" s="95"/>
      <c r="I208" s="95"/>
      <c r="J208" s="95"/>
      <c r="K208" s="95"/>
      <c r="L208" s="95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</row>
    <row r="209" spans="1:43" ht="15.75" outlineLevel="2">
      <c r="A209" s="83"/>
      <c r="B209" s="106" t="s">
        <v>634</v>
      </c>
      <c r="C209" s="95">
        <v>-551</v>
      </c>
      <c r="D209" s="95">
        <v>-510</v>
      </c>
      <c r="E209" s="95">
        <v>-38</v>
      </c>
      <c r="F209" s="95">
        <v>-133</v>
      </c>
      <c r="G209" s="95">
        <v>-23</v>
      </c>
      <c r="H209" s="95"/>
      <c r="I209" s="95"/>
      <c r="J209" s="95"/>
      <c r="K209" s="95"/>
      <c r="L209" s="95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</row>
    <row r="210" spans="1:43" ht="15.75" outlineLevel="2">
      <c r="A210" s="83"/>
      <c r="B210" s="106" t="s">
        <v>655</v>
      </c>
      <c r="C210" s="95">
        <v>-44</v>
      </c>
      <c r="D210" s="95">
        <v>-13</v>
      </c>
      <c r="E210" s="95"/>
      <c r="F210" s="95"/>
      <c r="G210" s="95"/>
      <c r="H210" s="95"/>
      <c r="I210" s="95"/>
      <c r="J210" s="95"/>
      <c r="K210" s="95"/>
      <c r="L210" s="95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</row>
    <row r="211" spans="1:43" ht="15.75" outlineLevel="2">
      <c r="A211" s="83"/>
      <c r="B211" s="106" t="s">
        <v>634</v>
      </c>
      <c r="C211" s="95">
        <v>-74</v>
      </c>
      <c r="D211" s="95">
        <v>-36</v>
      </c>
      <c r="E211" s="95">
        <v>-4</v>
      </c>
      <c r="F211" s="95"/>
      <c r="G211" s="95"/>
      <c r="H211" s="95"/>
      <c r="I211" s="95"/>
      <c r="J211" s="95"/>
      <c r="K211" s="95"/>
      <c r="L211" s="95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</row>
    <row r="212" spans="1:43" ht="15.75" outlineLevel="2">
      <c r="A212" s="83"/>
      <c r="B212" s="106" t="s">
        <v>635</v>
      </c>
      <c r="C212" s="95">
        <v>-750</v>
      </c>
      <c r="D212" s="95">
        <v>-1467</v>
      </c>
      <c r="E212" s="95">
        <v>-813</v>
      </c>
      <c r="F212" s="95">
        <v>-612</v>
      </c>
      <c r="G212" s="95">
        <v>-409</v>
      </c>
      <c r="H212" s="95"/>
      <c r="I212" s="95"/>
      <c r="J212" s="95"/>
      <c r="K212" s="95"/>
      <c r="L212" s="95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</row>
    <row r="213" spans="1:43" ht="15.75" outlineLevel="2">
      <c r="A213" s="83"/>
      <c r="B213" s="106" t="s">
        <v>654</v>
      </c>
      <c r="C213" s="95">
        <v>-807</v>
      </c>
      <c r="D213" s="95">
        <v>-1049</v>
      </c>
      <c r="E213" s="95">
        <v>-957</v>
      </c>
      <c r="F213" s="95">
        <v>-864</v>
      </c>
      <c r="G213" s="95">
        <v>-770</v>
      </c>
      <c r="H213" s="95"/>
      <c r="I213" s="95"/>
      <c r="J213" s="95"/>
      <c r="K213" s="95"/>
      <c r="L213" s="95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</row>
    <row r="214" spans="1:43" ht="15.75" outlineLevel="2">
      <c r="A214" s="83"/>
      <c r="B214" s="106" t="s">
        <v>653</v>
      </c>
      <c r="C214" s="95">
        <v>-366</v>
      </c>
      <c r="D214" s="95">
        <v>-130</v>
      </c>
      <c r="E214" s="95"/>
      <c r="F214" s="95"/>
      <c r="G214" s="95"/>
      <c r="H214" s="95"/>
      <c r="I214" s="95"/>
      <c r="J214" s="95"/>
      <c r="K214" s="95"/>
      <c r="L214" s="95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</row>
    <row r="215" spans="1:43" ht="15.75" outlineLevel="2">
      <c r="A215" s="83"/>
      <c r="B215" s="106" t="s">
        <v>636</v>
      </c>
      <c r="C215" s="95"/>
      <c r="D215" s="95">
        <v>-220</v>
      </c>
      <c r="E215" s="95">
        <v>-656</v>
      </c>
      <c r="F215" s="95">
        <v>-530</v>
      </c>
      <c r="G215" s="95">
        <v>-365</v>
      </c>
      <c r="H215" s="95"/>
      <c r="I215" s="95"/>
      <c r="J215" s="95"/>
      <c r="K215" s="95"/>
      <c r="L215" s="95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</row>
    <row r="216" spans="1:43" ht="15.75" outlineLevel="2">
      <c r="A216" s="83"/>
      <c r="B216" s="106" t="s">
        <v>637</v>
      </c>
      <c r="C216" s="95"/>
      <c r="D216" s="95">
        <v>-171</v>
      </c>
      <c r="E216" s="95">
        <v>-543</v>
      </c>
      <c r="F216" s="95">
        <v>-403</v>
      </c>
      <c r="G216" s="95">
        <v>-275</v>
      </c>
      <c r="H216" s="95"/>
      <c r="I216" s="95"/>
      <c r="J216" s="95"/>
      <c r="K216" s="95"/>
      <c r="L216" s="95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</row>
    <row r="217" spans="1:43" ht="15.75" outlineLevel="2">
      <c r="A217" s="83"/>
      <c r="B217" s="106" t="s">
        <v>638</v>
      </c>
      <c r="C217" s="95">
        <v>-2522</v>
      </c>
      <c r="D217" s="95">
        <v>-3420</v>
      </c>
      <c r="E217" s="95">
        <v>-2621</v>
      </c>
      <c r="F217" s="95">
        <v>-16538</v>
      </c>
      <c r="G217" s="95">
        <v>-27359</v>
      </c>
      <c r="H217" s="95"/>
      <c r="I217" s="95"/>
      <c r="J217" s="95"/>
      <c r="K217" s="95"/>
      <c r="L217" s="95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</row>
    <row r="218" spans="1:43" ht="15.75" outlineLevel="1">
      <c r="A218" s="83"/>
      <c r="B218" s="106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</row>
    <row r="219" spans="1:43" s="96" customFormat="1" ht="15.75">
      <c r="A219" s="93"/>
      <c r="B219" s="100" t="s">
        <v>264</v>
      </c>
      <c r="C219" s="110">
        <f>+C203+C205</f>
        <v>28640</v>
      </c>
      <c r="D219" s="110">
        <f>+D203+D205</f>
        <v>27383</v>
      </c>
      <c r="E219" s="110">
        <f>+E203+E205</f>
        <v>95317</v>
      </c>
      <c r="F219" s="110">
        <f>+F203+F205</f>
        <v>92239</v>
      </c>
      <c r="G219" s="110">
        <f>+G203+G205</f>
        <v>83380</v>
      </c>
      <c r="H219" s="277"/>
      <c r="I219" s="110">
        <f t="shared" ref="I219:L219" si="27">+I203+I205</f>
        <v>24034.04999999993</v>
      </c>
      <c r="J219" s="110">
        <f t="shared" si="27"/>
        <v>53423.439999999944</v>
      </c>
      <c r="K219" s="110">
        <f t="shared" si="27"/>
        <v>109796.51000000001</v>
      </c>
      <c r="L219" s="110">
        <f t="shared" si="27"/>
        <v>169710.82000000007</v>
      </c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</row>
    <row r="220" spans="1:43" s="96" customFormat="1" ht="16.5" thickBot="1">
      <c r="A220" s="93"/>
      <c r="B220" s="101" t="s">
        <v>106</v>
      </c>
      <c r="C220" s="102">
        <f>+C219/C57</f>
        <v>3.3430800926817598E-2</v>
      </c>
      <c r="D220" s="102">
        <f t="shared" ref="D220:G220" si="28">+D219/D57</f>
        <v>3.2111893819548112E-2</v>
      </c>
      <c r="E220" s="102">
        <f t="shared" si="28"/>
        <v>5.9092847878864527E-2</v>
      </c>
      <c r="F220" s="102">
        <f t="shared" si="28"/>
        <v>4.7078320616842931E-2</v>
      </c>
      <c r="G220" s="102">
        <f t="shared" si="28"/>
        <v>4.0556940475466652E-2</v>
      </c>
      <c r="H220" s="276"/>
      <c r="I220" s="102">
        <f t="shared" ref="I220:L220" si="29">+I219/I57</f>
        <v>1.135200737968684E-2</v>
      </c>
      <c r="J220" s="102">
        <f t="shared" si="29"/>
        <v>2.2939551604012034E-2</v>
      </c>
      <c r="K220" s="102">
        <f t="shared" si="29"/>
        <v>4.4900616401187088E-2</v>
      </c>
      <c r="L220" s="102">
        <f t="shared" si="29"/>
        <v>6.6097346576885971E-2</v>
      </c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</row>
    <row r="221" spans="1:43" ht="15.75">
      <c r="A221" s="83"/>
      <c r="B221" s="97" t="s">
        <v>30</v>
      </c>
      <c r="C221" s="89">
        <f t="shared" ref="C221:L221" si="30">C222+C227</f>
        <v>9047</v>
      </c>
      <c r="D221" s="89">
        <f t="shared" si="30"/>
        <v>4392</v>
      </c>
      <c r="E221" s="89">
        <f t="shared" si="30"/>
        <v>13764</v>
      </c>
      <c r="F221" s="89">
        <f t="shared" si="30"/>
        <v>5636</v>
      </c>
      <c r="G221" s="89">
        <f t="shared" si="30"/>
        <v>32819</v>
      </c>
      <c r="H221" s="89"/>
      <c r="I221" s="89">
        <f t="shared" si="30"/>
        <v>10570</v>
      </c>
      <c r="J221" s="89">
        <f t="shared" si="30"/>
        <v>10570</v>
      </c>
      <c r="K221" s="89">
        <f t="shared" si="30"/>
        <v>10570</v>
      </c>
      <c r="L221" s="89">
        <f t="shared" si="30"/>
        <v>10570</v>
      </c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</row>
    <row r="222" spans="1:43" ht="15.75" outlineLevel="1">
      <c r="A222" s="83"/>
      <c r="B222" s="105" t="s">
        <v>186</v>
      </c>
      <c r="C222" s="91">
        <f>SUM(C223:C225)</f>
        <v>12986</v>
      </c>
      <c r="D222" s="91">
        <f t="shared" ref="D222:G222" si="31">SUM(D223:D225)</f>
        <v>4762</v>
      </c>
      <c r="E222" s="91">
        <f t="shared" si="31"/>
        <v>16889</v>
      </c>
      <c r="F222" s="91">
        <f t="shared" si="31"/>
        <v>5636</v>
      </c>
      <c r="G222" s="91">
        <f t="shared" si="31"/>
        <v>32997</v>
      </c>
      <c r="H222" s="91"/>
      <c r="I222" s="91">
        <f>I224</f>
        <v>10570</v>
      </c>
      <c r="J222" s="91">
        <f>J224</f>
        <v>10570</v>
      </c>
      <c r="K222" s="91">
        <f>K224</f>
        <v>10570</v>
      </c>
      <c r="L222" s="91">
        <f>L224</f>
        <v>10570</v>
      </c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</row>
    <row r="223" spans="1:43" ht="15.75" outlineLevel="2">
      <c r="A223" s="83"/>
      <c r="B223" s="106" t="s">
        <v>639</v>
      </c>
      <c r="C223" s="95">
        <v>8500</v>
      </c>
      <c r="D223" s="95"/>
      <c r="E223" s="95">
        <v>12000</v>
      </c>
      <c r="F223" s="95"/>
      <c r="G223" s="95">
        <v>19000</v>
      </c>
      <c r="H223" s="95"/>
      <c r="I223" s="95"/>
      <c r="J223" s="95"/>
      <c r="K223" s="95"/>
      <c r="L223" s="95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</row>
    <row r="224" spans="1:43" ht="15.75" outlineLevel="2">
      <c r="A224" s="83"/>
      <c r="B224" s="106" t="s">
        <v>640</v>
      </c>
      <c r="C224" s="95">
        <v>4486</v>
      </c>
      <c r="D224" s="95">
        <v>4762</v>
      </c>
      <c r="E224" s="95">
        <v>4762</v>
      </c>
      <c r="F224" s="95">
        <v>5636</v>
      </c>
      <c r="G224" s="95">
        <v>10570</v>
      </c>
      <c r="H224" s="95"/>
      <c r="I224" s="95">
        <f>G224</f>
        <v>10570</v>
      </c>
      <c r="J224" s="95">
        <f>I224</f>
        <v>10570</v>
      </c>
      <c r="K224" s="95">
        <f>J224</f>
        <v>10570</v>
      </c>
      <c r="L224" s="95">
        <f>K224</f>
        <v>10570</v>
      </c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</row>
    <row r="225" spans="1:43" ht="15.75" outlineLevel="2">
      <c r="A225" s="83"/>
      <c r="B225" s="106" t="s">
        <v>641</v>
      </c>
      <c r="C225" s="95"/>
      <c r="D225" s="95"/>
      <c r="E225" s="95">
        <v>127</v>
      </c>
      <c r="F225" s="95"/>
      <c r="G225" s="95">
        <v>3427</v>
      </c>
      <c r="H225" s="95"/>
      <c r="I225" s="95"/>
      <c r="J225" s="95"/>
      <c r="K225" s="95"/>
      <c r="L225" s="95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</row>
    <row r="226" spans="1:43" ht="15.75" outlineLevel="2">
      <c r="A226" s="83"/>
      <c r="B226" s="106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</row>
    <row r="227" spans="1:43" s="92" customFormat="1" ht="12.75" outlineLevel="1">
      <c r="A227" s="90"/>
      <c r="B227" s="105" t="s">
        <v>187</v>
      </c>
      <c r="C227" s="91">
        <f>SUM(C228:C231)</f>
        <v>-3939</v>
      </c>
      <c r="D227" s="91">
        <f t="shared" ref="D227:G227" si="32">SUM(D228:D231)</f>
        <v>-370</v>
      </c>
      <c r="E227" s="91">
        <f t="shared" si="32"/>
        <v>-3125</v>
      </c>
      <c r="F227" s="91">
        <f t="shared" si="32"/>
        <v>0</v>
      </c>
      <c r="G227" s="91">
        <f t="shared" si="32"/>
        <v>-178</v>
      </c>
      <c r="H227" s="91"/>
      <c r="I227" s="91"/>
      <c r="J227" s="91"/>
      <c r="K227" s="91"/>
      <c r="L227" s="91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</row>
    <row r="228" spans="1:43" ht="15.75" outlineLevel="2">
      <c r="A228" s="83"/>
      <c r="B228" s="106" t="s">
        <v>660</v>
      </c>
      <c r="C228" s="95">
        <v>-200</v>
      </c>
      <c r="D228" s="95"/>
      <c r="E228" s="95"/>
      <c r="F228" s="95"/>
      <c r="G228" s="95"/>
      <c r="H228" s="95"/>
      <c r="I228" s="95"/>
      <c r="J228" s="95"/>
      <c r="K228" s="95"/>
      <c r="L228" s="95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</row>
    <row r="229" spans="1:43" ht="15.75" outlineLevel="2">
      <c r="A229" s="83"/>
      <c r="B229" s="106" t="s">
        <v>642</v>
      </c>
      <c r="C229" s="95">
        <v>-3739</v>
      </c>
      <c r="D229" s="95"/>
      <c r="E229" s="95">
        <v>-960</v>
      </c>
      <c r="F229" s="95"/>
      <c r="G229" s="95">
        <v>-178</v>
      </c>
      <c r="H229" s="95"/>
      <c r="I229" s="95"/>
      <c r="J229" s="95"/>
      <c r="K229" s="95"/>
      <c r="L229" s="95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</row>
    <row r="230" spans="1:43" ht="15.75" outlineLevel="2">
      <c r="A230" s="83"/>
      <c r="B230" s="106" t="s">
        <v>643</v>
      </c>
      <c r="C230" s="95"/>
      <c r="D230" s="95">
        <v>-370</v>
      </c>
      <c r="E230" s="95">
        <v>-2165</v>
      </c>
      <c r="F230" s="95"/>
      <c r="G230" s="95"/>
      <c r="H230" s="95"/>
      <c r="I230" s="95"/>
      <c r="J230" s="95"/>
      <c r="K230" s="95"/>
      <c r="L230" s="95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</row>
    <row r="231" spans="1:43" ht="15.75" outlineLevel="1">
      <c r="A231" s="83"/>
      <c r="B231" s="106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</row>
    <row r="232" spans="1:43" ht="15.75">
      <c r="A232" s="83"/>
      <c r="B232" s="83" t="s">
        <v>259</v>
      </c>
      <c r="C232" s="89">
        <f>SUM(C233:C235)</f>
        <v>-5684</v>
      </c>
      <c r="D232" s="89">
        <f t="shared" ref="D232:G232" si="33">SUM(D233:D235)</f>
        <v>-4767</v>
      </c>
      <c r="E232" s="89">
        <f t="shared" si="33"/>
        <v>-24523</v>
      </c>
      <c r="F232" s="89">
        <f t="shared" si="33"/>
        <v>-20079</v>
      </c>
      <c r="G232" s="89">
        <f t="shared" si="33"/>
        <v>-24799</v>
      </c>
      <c r="H232" s="89"/>
      <c r="I232" s="89">
        <f>I233</f>
        <v>-3605.1074999999896</v>
      </c>
      <c r="J232" s="89">
        <f>J233</f>
        <v>-9105.859999999986</v>
      </c>
      <c r="K232" s="89">
        <f>K233</f>
        <v>-23199.127500000002</v>
      </c>
      <c r="L232" s="89">
        <f>L233</f>
        <v>-38177.705000000016</v>
      </c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</row>
    <row r="233" spans="1:43" ht="15.75" outlineLevel="1">
      <c r="A233" s="83"/>
      <c r="B233" s="183" t="s">
        <v>644</v>
      </c>
      <c r="C233" s="95">
        <v>-5684</v>
      </c>
      <c r="D233" s="95">
        <v>-4767</v>
      </c>
      <c r="E233" s="95">
        <v>-24523</v>
      </c>
      <c r="F233" s="95">
        <v>-20319</v>
      </c>
      <c r="G233" s="95">
        <v>-24799</v>
      </c>
      <c r="H233" s="95"/>
      <c r="I233" s="95">
        <f>-0.15*I219</f>
        <v>-3605.1074999999896</v>
      </c>
      <c r="J233" s="95">
        <f>-0.15*42500-0.25*(J219-42500)</f>
        <v>-9105.859999999986</v>
      </c>
      <c r="K233" s="95">
        <f>-0.15*42500-0.25*(K219-42500)</f>
        <v>-23199.127500000002</v>
      </c>
      <c r="L233" s="95">
        <f>-0.15*42500-0.25*(L219-42500)</f>
        <v>-38177.705000000016</v>
      </c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</row>
    <row r="234" spans="1:43" ht="15.75" outlineLevel="1">
      <c r="A234" s="83"/>
      <c r="B234" s="183" t="s">
        <v>645</v>
      </c>
      <c r="C234" s="95"/>
      <c r="D234" s="95"/>
      <c r="E234" s="95"/>
      <c r="F234" s="95">
        <v>240</v>
      </c>
      <c r="G234" s="95"/>
      <c r="H234" s="95"/>
      <c r="I234" s="95"/>
      <c r="J234" s="95"/>
      <c r="K234" s="95"/>
      <c r="L234" s="95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</row>
    <row r="235" spans="1:43" ht="15.75" outlineLevel="1">
      <c r="A235" s="83"/>
      <c r="B235" s="83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</row>
    <row r="236" spans="1:43" ht="15.75" outlineLevel="1">
      <c r="A236" s="83"/>
      <c r="B236" s="212" t="s">
        <v>265</v>
      </c>
      <c r="C236" s="89">
        <v>3</v>
      </c>
      <c r="D236" s="89">
        <v>7</v>
      </c>
      <c r="E236" s="89">
        <v>3</v>
      </c>
      <c r="F236" s="89">
        <v>-1</v>
      </c>
      <c r="G236" s="89">
        <v>-2</v>
      </c>
      <c r="H236" s="89"/>
      <c r="I236" s="89"/>
      <c r="J236" s="89"/>
      <c r="K236" s="89"/>
      <c r="L236" s="89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</row>
    <row r="237" spans="1:43" ht="15.75" outlineLevel="1">
      <c r="A237" s="83"/>
      <c r="B237" s="83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</row>
    <row r="238" spans="1:43" ht="15.75">
      <c r="A238" s="83"/>
      <c r="B238" s="100" t="s">
        <v>32</v>
      </c>
      <c r="C238" s="182">
        <f>C203+C205+C221+C232+C236</f>
        <v>32006</v>
      </c>
      <c r="D238" s="182">
        <f>D203+D205+D221+D232+D236</f>
        <v>27015</v>
      </c>
      <c r="E238" s="182">
        <f>E203+E205+E221+E232+E236</f>
        <v>84561</v>
      </c>
      <c r="F238" s="182">
        <f>F203+F205+F221+F232+F236</f>
        <v>77795</v>
      </c>
      <c r="G238" s="182">
        <f>G203+G205+G221+G232+G236</f>
        <v>91398</v>
      </c>
      <c r="H238" s="277"/>
      <c r="I238" s="182">
        <f t="shared" ref="I238:L238" si="34">I203+I205+I221+I232+I236</f>
        <v>30998.942499999939</v>
      </c>
      <c r="J238" s="182">
        <f t="shared" si="34"/>
        <v>54887.579999999958</v>
      </c>
      <c r="K238" s="182">
        <f t="shared" si="34"/>
        <v>97167.382500000007</v>
      </c>
      <c r="L238" s="182">
        <f t="shared" si="34"/>
        <v>142103.11500000005</v>
      </c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</row>
    <row r="239" spans="1:43" ht="16.5" thickBot="1">
      <c r="A239" s="83"/>
      <c r="B239" s="101" t="s">
        <v>106</v>
      </c>
      <c r="C239" s="102">
        <f>C238/C57</f>
        <v>3.7359853856973602E-2</v>
      </c>
      <c r="D239" s="102">
        <f t="shared" ref="D239:G239" si="35">D238/D57</f>
        <v>3.1680342239166354E-2</v>
      </c>
      <c r="E239" s="102">
        <f t="shared" si="35"/>
        <v>5.2424544514458736E-2</v>
      </c>
      <c r="F239" s="102">
        <f t="shared" si="35"/>
        <v>3.9706175830042559E-2</v>
      </c>
      <c r="G239" s="102">
        <f t="shared" si="35"/>
        <v>4.4456983036420018E-2</v>
      </c>
      <c r="H239" s="276"/>
      <c r="I239" s="102">
        <f t="shared" ref="I239:L239" si="36">I238/I57</f>
        <v>1.4641736370794285E-2</v>
      </c>
      <c r="J239" s="102">
        <f t="shared" si="36"/>
        <v>2.3568240342241892E-2</v>
      </c>
      <c r="K239" s="102">
        <f t="shared" si="36"/>
        <v>3.9736011357190855E-2</v>
      </c>
      <c r="L239" s="102">
        <f t="shared" si="36"/>
        <v>5.5344961752056131E-2</v>
      </c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</row>
    <row r="240" spans="1:43" ht="15.75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</row>
    <row r="241" spans="1:43" ht="15.75">
      <c r="A241" s="83"/>
      <c r="B241" s="112" t="s">
        <v>189</v>
      </c>
      <c r="C241" s="113"/>
      <c r="D241" s="113"/>
      <c r="E241" s="113"/>
      <c r="F241" s="113"/>
      <c r="G241" s="113"/>
      <c r="H241" s="278"/>
      <c r="I241" s="113"/>
      <c r="J241" s="113"/>
      <c r="K241" s="113"/>
      <c r="L241" s="11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</row>
    <row r="242" spans="1:43" ht="15.75">
      <c r="A242" s="83"/>
      <c r="B242" s="114" t="s">
        <v>34</v>
      </c>
      <c r="C242" s="115" t="str">
        <f>IFERROR(C52/#REF!-1,"na ")</f>
        <v xml:space="preserve">na </v>
      </c>
      <c r="D242" s="115">
        <f t="shared" ref="D242:L242" si="37">IFERROR(D52/C52-1,"na ")</f>
        <v>3.5817387152458968E-2</v>
      </c>
      <c r="E242" s="115">
        <f t="shared" si="37"/>
        <v>0.98942162904548825</v>
      </c>
      <c r="F242" s="115">
        <f t="shared" si="37"/>
        <v>0.12085502340210397</v>
      </c>
      <c r="G242" s="115">
        <f t="shared" si="37"/>
        <v>0.11518851607889946</v>
      </c>
      <c r="H242" s="279"/>
      <c r="I242" s="115">
        <f>IFERROR(I52/G52-1,"na ")</f>
        <v>6.2953974441970484E-3</v>
      </c>
      <c r="J242" s="115">
        <f t="shared" si="37"/>
        <v>9.9999858300943378E-2</v>
      </c>
      <c r="K242" s="115">
        <f t="shared" si="37"/>
        <v>5.0000021469556843E-2</v>
      </c>
      <c r="L242" s="115">
        <f t="shared" si="37"/>
        <v>4.9999938658410459E-2</v>
      </c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</row>
    <row r="243" spans="1:43" ht="15.75">
      <c r="A243" s="83"/>
      <c r="B243" s="114" t="s">
        <v>16</v>
      </c>
      <c r="C243" s="115">
        <f t="shared" ref="C243:L243" si="38">C77/C52</f>
        <v>0.35733891602698303</v>
      </c>
      <c r="D243" s="115">
        <f t="shared" si="38"/>
        <v>0.41967647913992523</v>
      </c>
      <c r="E243" s="115">
        <f t="shared" si="38"/>
        <v>0.37828173067440124</v>
      </c>
      <c r="F243" s="115">
        <f t="shared" si="38"/>
        <v>0.33496395373059407</v>
      </c>
      <c r="G243" s="115">
        <f t="shared" si="38"/>
        <v>0.36250462232843678</v>
      </c>
      <c r="H243" s="279"/>
      <c r="I243" s="115">
        <f t="shared" si="38"/>
        <v>0.35</v>
      </c>
      <c r="J243" s="115">
        <f t="shared" si="38"/>
        <v>0.36</v>
      </c>
      <c r="K243" s="115">
        <f t="shared" si="38"/>
        <v>0.37</v>
      </c>
      <c r="L243" s="115">
        <f t="shared" si="38"/>
        <v>0.38</v>
      </c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</row>
    <row r="244" spans="1:43" ht="15.75">
      <c r="A244" s="83"/>
      <c r="B244" s="114" t="s">
        <v>24</v>
      </c>
      <c r="C244" s="115">
        <f t="shared" ref="C244:L244" si="39">C188/C52</f>
        <v>8.3456372963112591E-2</v>
      </c>
      <c r="D244" s="115">
        <f t="shared" si="39"/>
        <v>8.6158763027943452E-2</v>
      </c>
      <c r="E244" s="115">
        <f t="shared" si="39"/>
        <v>8.2322648412352317E-2</v>
      </c>
      <c r="F244" s="115">
        <f t="shared" si="39"/>
        <v>7.9541376749639431E-2</v>
      </c>
      <c r="G244" s="115">
        <f t="shared" si="39"/>
        <v>8.107682903991506E-2</v>
      </c>
      <c r="H244" s="279"/>
      <c r="I244" s="115">
        <f t="shared" si="39"/>
        <v>5.1027743258313094E-2</v>
      </c>
      <c r="J244" s="115">
        <f t="shared" si="39"/>
        <v>5.7720233640305034E-2</v>
      </c>
      <c r="K244" s="115">
        <f t="shared" si="39"/>
        <v>7.6389299082370715E-2</v>
      </c>
      <c r="L244" s="115">
        <f t="shared" si="39"/>
        <v>9.4918158630528507E-2</v>
      </c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</row>
    <row r="245" spans="1:43" ht="15.75">
      <c r="A245" s="83"/>
      <c r="B245" s="114" t="s">
        <v>26</v>
      </c>
      <c r="C245" s="115">
        <f t="shared" ref="C245:L245" si="40">C203/C52</f>
        <v>4.1324175756907972E-2</v>
      </c>
      <c r="D245" s="115">
        <f t="shared" si="40"/>
        <v>4.0657584632877337E-2</v>
      </c>
      <c r="E245" s="115">
        <f t="shared" si="40"/>
        <v>5.9975094790699998E-2</v>
      </c>
      <c r="F245" s="115">
        <f t="shared" si="40"/>
        <v>5.9004994691516974E-2</v>
      </c>
      <c r="G245" s="115">
        <f t="shared" si="40"/>
        <v>5.5624316156808393E-2</v>
      </c>
      <c r="H245" s="279"/>
      <c r="I245" s="115">
        <f t="shared" si="40"/>
        <v>2.5521913050624789E-2</v>
      </c>
      <c r="J245" s="115">
        <f t="shared" si="40"/>
        <v>3.453311228277637E-2</v>
      </c>
      <c r="K245" s="115">
        <f t="shared" si="40"/>
        <v>5.4306326812449728E-2</v>
      </c>
      <c r="L245" s="115">
        <f t="shared" si="40"/>
        <v>7.3886755240032603E-2</v>
      </c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</row>
    <row r="246" spans="1:43" ht="15.75">
      <c r="A246" s="83"/>
      <c r="B246" s="116" t="s">
        <v>35</v>
      </c>
      <c r="C246" s="117">
        <f t="shared" ref="C246:L246" si="41">C238/C52</f>
        <v>3.9184143191195016E-2</v>
      </c>
      <c r="D246" s="117">
        <f t="shared" si="41"/>
        <v>3.1930133110182897E-2</v>
      </c>
      <c r="E246" s="117">
        <f t="shared" si="41"/>
        <v>5.0238773941261257E-2</v>
      </c>
      <c r="F246" s="117">
        <f t="shared" si="41"/>
        <v>4.1235490455596643E-2</v>
      </c>
      <c r="G246" s="117">
        <f t="shared" si="41"/>
        <v>4.3441807142673809E-2</v>
      </c>
      <c r="H246" s="279"/>
      <c r="I246" s="117">
        <f t="shared" si="41"/>
        <v>1.4641736370794285E-2</v>
      </c>
      <c r="J246" s="117">
        <f t="shared" si="41"/>
        <v>2.3568240342241892E-2</v>
      </c>
      <c r="K246" s="117">
        <f t="shared" si="41"/>
        <v>3.9736011357190855E-2</v>
      </c>
      <c r="L246" s="117">
        <f t="shared" si="41"/>
        <v>5.5344961752056131E-2</v>
      </c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</row>
    <row r="247" spans="1:43" ht="15.75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</row>
    <row r="248" spans="1:43" ht="15.7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</row>
    <row r="249" spans="1:43" ht="15.75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</row>
    <row r="250" spans="1:43" ht="15.75">
      <c r="A250" s="107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9"/>
      <c r="P250" s="109"/>
      <c r="Q250" s="109"/>
      <c r="R250" s="109"/>
      <c r="S250" s="109"/>
      <c r="T250" s="109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</row>
    <row r="251" spans="1:43" ht="15.75">
      <c r="A251" s="107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9"/>
      <c r="P251" s="109"/>
      <c r="Q251" s="109"/>
      <c r="R251" s="109"/>
      <c r="S251" s="109"/>
      <c r="T251" s="109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</row>
    <row r="252" spans="1:43" ht="15.75">
      <c r="A252" s="107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9"/>
      <c r="P252" s="109"/>
      <c r="Q252" s="109"/>
      <c r="R252" s="109"/>
      <c r="S252" s="109"/>
      <c r="T252" s="109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</row>
    <row r="253" spans="1:43" ht="15.75">
      <c r="A253" s="107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9"/>
      <c r="P253" s="109"/>
      <c r="Q253" s="109"/>
      <c r="R253" s="109"/>
      <c r="S253" s="109"/>
      <c r="T253" s="109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</row>
    <row r="254" spans="1:43" ht="15.75">
      <c r="A254" s="107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9"/>
      <c r="P254" s="109"/>
      <c r="Q254" s="109"/>
      <c r="R254" s="109"/>
      <c r="S254" s="109"/>
      <c r="T254" s="109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</row>
    <row r="255" spans="1:43" ht="15.75">
      <c r="A255" s="107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9"/>
      <c r="P255" s="109"/>
      <c r="Q255" s="109"/>
      <c r="R255" s="109"/>
      <c r="S255" s="109"/>
      <c r="T255" s="109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</row>
    <row r="256" spans="1:43" ht="15.75">
      <c r="A256" s="107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9"/>
      <c r="P256" s="109"/>
      <c r="Q256" s="109"/>
      <c r="R256" s="109"/>
      <c r="S256" s="109"/>
      <c r="T256" s="109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</row>
    <row r="257" spans="1:43" ht="15.75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</row>
    <row r="258" spans="1:43" ht="15.75">
      <c r="A258" s="107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9"/>
      <c r="P258" s="109"/>
      <c r="Q258" s="109"/>
      <c r="R258" s="109"/>
      <c r="S258" s="109"/>
      <c r="T258" s="109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</row>
    <row r="259" spans="1:43" ht="15.75">
      <c r="A259" s="107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9"/>
      <c r="P259" s="109"/>
      <c r="Q259" s="109"/>
      <c r="R259" s="109"/>
      <c r="S259" s="109"/>
      <c r="T259" s="109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</row>
    <row r="260" spans="1:43" ht="15.75">
      <c r="A260" s="107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9"/>
      <c r="P260" s="109"/>
      <c r="Q260" s="109"/>
      <c r="R260" s="109"/>
      <c r="S260" s="109"/>
      <c r="T260" s="109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</row>
    <row r="261" spans="1:43" ht="15.75">
      <c r="A261" s="107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9"/>
      <c r="P261" s="109"/>
      <c r="Q261" s="109"/>
      <c r="R261" s="109"/>
      <c r="S261" s="109"/>
      <c r="T261" s="109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</row>
    <row r="262" spans="1:43" ht="15.75">
      <c r="A262" s="107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9"/>
      <c r="P262" s="109"/>
      <c r="Q262" s="109"/>
      <c r="R262" s="109"/>
      <c r="S262" s="109"/>
      <c r="T262" s="109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</row>
    <row r="263" spans="1:43" ht="15.75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</row>
    <row r="264" spans="1:43" ht="15.75">
      <c r="A264" s="107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9"/>
      <c r="P264" s="109"/>
      <c r="Q264" s="109"/>
      <c r="R264" s="109"/>
      <c r="S264" s="109"/>
      <c r="T264" s="109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</row>
    <row r="265" spans="1:43" ht="15.75">
      <c r="A265" s="107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9"/>
      <c r="P265" s="109"/>
      <c r="Q265" s="109"/>
      <c r="R265" s="109"/>
      <c r="S265" s="109"/>
      <c r="T265" s="109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</row>
    <row r="266" spans="1:43" ht="15.75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</row>
    <row r="267" spans="1:43" ht="15.75">
      <c r="A267" s="107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9"/>
      <c r="P267" s="109"/>
      <c r="Q267" s="109"/>
      <c r="R267" s="109"/>
      <c r="S267" s="109"/>
      <c r="T267" s="109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</row>
    <row r="268" spans="1:43" ht="15.75">
      <c r="A268" s="107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9"/>
      <c r="P268" s="109"/>
      <c r="Q268" s="109"/>
      <c r="R268" s="109"/>
      <c r="S268" s="109"/>
      <c r="T268" s="109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</row>
    <row r="269" spans="1:43" ht="15.75">
      <c r="A269" s="107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9"/>
      <c r="P269" s="109"/>
      <c r="Q269" s="109"/>
      <c r="R269" s="109"/>
      <c r="S269" s="109"/>
      <c r="T269" s="109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</row>
    <row r="270" spans="1:43" ht="15.75">
      <c r="A270" s="107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9"/>
      <c r="P270" s="109"/>
      <c r="Q270" s="109"/>
      <c r="R270" s="109"/>
      <c r="S270" s="109"/>
      <c r="T270" s="109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</row>
    <row r="271" spans="1:43" ht="15.75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</row>
    <row r="272" spans="1:43" ht="15.75">
      <c r="A272" s="107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9"/>
      <c r="P272" s="109"/>
      <c r="Q272" s="109"/>
      <c r="R272" s="109"/>
      <c r="S272" s="109"/>
      <c r="T272" s="109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</row>
    <row r="273" spans="1:43" ht="15.75">
      <c r="A273" s="107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9"/>
      <c r="P273" s="109"/>
      <c r="Q273" s="109"/>
      <c r="R273" s="109"/>
      <c r="S273" s="109"/>
      <c r="T273" s="109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</row>
    <row r="274" spans="1:43" ht="15.75">
      <c r="A274" s="107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9"/>
      <c r="P274" s="109"/>
      <c r="Q274" s="109"/>
      <c r="R274" s="109"/>
      <c r="S274" s="109"/>
      <c r="T274" s="109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</row>
    <row r="275" spans="1:43" ht="15.75">
      <c r="A275" s="107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9"/>
      <c r="P275" s="109"/>
      <c r="Q275" s="109"/>
      <c r="R275" s="109"/>
      <c r="S275" s="109"/>
      <c r="T275" s="109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</row>
    <row r="276" spans="1:43" ht="15.7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</row>
    <row r="277" spans="1:43" ht="15.75">
      <c r="A277" s="107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9"/>
      <c r="P277" s="109"/>
      <c r="Q277" s="109"/>
      <c r="R277" s="109"/>
      <c r="S277" s="109"/>
      <c r="T277" s="109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</row>
    <row r="278" spans="1:43" ht="15.75">
      <c r="A278" s="107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9"/>
      <c r="P278" s="109"/>
      <c r="Q278" s="109"/>
      <c r="R278" s="109"/>
      <c r="S278" s="109"/>
      <c r="T278" s="109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</row>
    <row r="279" spans="1:43" ht="15.75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3"/>
      <c r="AK279" s="83"/>
      <c r="AL279" s="83"/>
      <c r="AM279" s="83"/>
      <c r="AN279" s="83"/>
      <c r="AO279" s="83"/>
      <c r="AP279" s="83"/>
      <c r="AQ279" s="83"/>
    </row>
    <row r="280" spans="1:43" ht="15.75">
      <c r="A280" s="107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9"/>
      <c r="P280" s="109"/>
      <c r="Q280" s="109"/>
      <c r="R280" s="109"/>
      <c r="S280" s="109"/>
      <c r="T280" s="109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</row>
    <row r="281" spans="1:43" ht="15.75">
      <c r="A281" s="107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9"/>
      <c r="P281" s="109"/>
      <c r="Q281" s="109"/>
      <c r="R281" s="109"/>
      <c r="S281" s="109"/>
      <c r="T281" s="109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</row>
    <row r="282" spans="1:43" ht="15.75">
      <c r="A282" s="107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9"/>
      <c r="P282" s="109"/>
      <c r="Q282" s="109"/>
      <c r="R282" s="109"/>
      <c r="S282" s="109"/>
      <c r="T282" s="109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</row>
    <row r="283" spans="1:43" ht="15.75">
      <c r="A283" s="107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9"/>
      <c r="P283" s="109"/>
      <c r="Q283" s="109"/>
      <c r="R283" s="109"/>
      <c r="S283" s="109"/>
      <c r="T283" s="109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</row>
    <row r="284" spans="1:43" ht="15.75">
      <c r="A284" s="107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9"/>
      <c r="P284" s="109"/>
      <c r="Q284" s="109"/>
      <c r="R284" s="109"/>
      <c r="S284" s="109"/>
      <c r="T284" s="109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</row>
    <row r="285" spans="1:43" ht="15.75">
      <c r="A285" s="107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9"/>
      <c r="P285" s="109"/>
      <c r="Q285" s="109"/>
      <c r="R285" s="109"/>
      <c r="S285" s="109"/>
      <c r="T285" s="109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</row>
    <row r="286" spans="1:43" ht="15.75">
      <c r="A286" s="107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9"/>
      <c r="P286" s="109"/>
      <c r="Q286" s="109"/>
      <c r="R286" s="109"/>
      <c r="S286" s="109"/>
      <c r="T286" s="109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</row>
    <row r="287" spans="1:43" ht="15.75">
      <c r="A287" s="107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9"/>
      <c r="P287" s="109"/>
      <c r="Q287" s="109"/>
      <c r="R287" s="109"/>
      <c r="S287" s="109"/>
      <c r="T287" s="109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</row>
    <row r="288" spans="1:43" ht="15.75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</row>
    <row r="289" spans="1:43" ht="15.75">
      <c r="A289" s="107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9"/>
      <c r="P289" s="109"/>
      <c r="Q289" s="109"/>
      <c r="R289" s="109"/>
      <c r="S289" s="109"/>
      <c r="T289" s="109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</row>
    <row r="290" spans="1:43" ht="15.75">
      <c r="A290" s="107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9"/>
      <c r="P290" s="109"/>
      <c r="Q290" s="109"/>
      <c r="R290" s="109"/>
      <c r="S290" s="109"/>
      <c r="T290" s="109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</row>
    <row r="291" spans="1:43" ht="15.75">
      <c r="A291" s="107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9"/>
      <c r="P291" s="109"/>
      <c r="Q291" s="109"/>
      <c r="R291" s="109"/>
      <c r="S291" s="109"/>
      <c r="T291" s="109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</row>
    <row r="292" spans="1:43" ht="15.75">
      <c r="A292" s="107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9"/>
      <c r="P292" s="109"/>
      <c r="Q292" s="109"/>
      <c r="R292" s="109"/>
      <c r="S292" s="109"/>
      <c r="T292" s="109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</row>
    <row r="293" spans="1:43" ht="15.75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</row>
    <row r="294" spans="1:43" ht="15.75">
      <c r="A294" s="107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9"/>
      <c r="P294" s="109"/>
      <c r="Q294" s="109"/>
      <c r="R294" s="109"/>
      <c r="S294" s="109"/>
      <c r="T294" s="109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</row>
    <row r="295" spans="1:43" ht="15.75">
      <c r="A295" s="107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9"/>
      <c r="P295" s="109"/>
      <c r="Q295" s="109"/>
      <c r="R295" s="109"/>
      <c r="S295" s="109"/>
      <c r="T295" s="109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</row>
    <row r="296" spans="1:43" ht="15.75">
      <c r="A296" s="107"/>
      <c r="B296" s="118"/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</row>
    <row r="297" spans="1:43" ht="15.75">
      <c r="A297" s="107"/>
      <c r="B297" s="118"/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</row>
    <row r="298" spans="1:43" ht="15.75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F1DC1-F0D6-A74E-9CFB-22495DF02E3B}">
  <sheetPr codeName="Feuil44">
    <tabColor rgb="FF006C4C"/>
  </sheetPr>
  <dimension ref="B2:Q89"/>
  <sheetViews>
    <sheetView showGridLines="0" zoomScale="85" zoomScaleNormal="85" workbookViewId="0">
      <pane xSplit="2" ySplit="5" topLeftCell="C6" activePane="bottomRight" state="frozen"/>
      <selection pane="topRight" activeCell="C1" sqref="C1"/>
      <selection pane="bottomLeft" activeCell="A4" sqref="A4"/>
      <selection pane="bottomRight" activeCell="I9" sqref="I9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/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8">
        <v>45900</v>
      </c>
      <c r="J3" s="248">
        <v>46265</v>
      </c>
      <c r="K3" s="248">
        <v>46630</v>
      </c>
      <c r="L3" s="248">
        <v>46996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218"/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150"/>
      <c r="H7" s="219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>
        <f>'BSB - P&amp;L'!D203</f>
        <v>34399</v>
      </c>
      <c r="E8" s="191">
        <f>'BSB - P&amp;L'!E203</f>
        <v>100949</v>
      </c>
      <c r="F8" s="191">
        <f>'BSB - P&amp;L'!F203</f>
        <v>111319</v>
      </c>
      <c r="G8" s="191">
        <f>'BSB - P&amp;L'!G203</f>
        <v>117029</v>
      </c>
      <c r="H8" s="152"/>
      <c r="I8" s="191">
        <f>'BSB - P&amp;L (2)'!I203</f>
        <v>54034.04999999993</v>
      </c>
      <c r="J8" s="191">
        <f>'BSB - P&amp;L (2)'!J203</f>
        <v>80423.439999999944</v>
      </c>
      <c r="K8" s="191">
        <f>'BSB - P&amp;L (2)'!K203</f>
        <v>132796.51</v>
      </c>
      <c r="L8" s="191">
        <f>'BSB - P&amp;L (2)'!L203</f>
        <v>189710.82000000007</v>
      </c>
      <c r="M8" s="191"/>
    </row>
    <row r="9" spans="2:13">
      <c r="B9" s="148" t="s">
        <v>225</v>
      </c>
      <c r="C9" s="191"/>
      <c r="D9" s="191">
        <f>'BSB - P&amp;L'!D227</f>
        <v>-370</v>
      </c>
      <c r="E9" s="191">
        <f>'BSB - P&amp;L'!E227</f>
        <v>-3125</v>
      </c>
      <c r="F9" s="191">
        <f>'BSB - P&amp;L'!F227</f>
        <v>0</v>
      </c>
      <c r="G9" s="191">
        <f>'BSB - P&amp;L'!G227</f>
        <v>-178</v>
      </c>
      <c r="H9" s="152"/>
      <c r="I9" s="191">
        <f>'BSB - P&amp;L (2)'!I227</f>
        <v>0</v>
      </c>
      <c r="J9" s="191">
        <f>'BSB - P&amp;L (2)'!J227</f>
        <v>0</v>
      </c>
      <c r="K9" s="191">
        <f>'BSB - P&amp;L (2)'!K227</f>
        <v>0</v>
      </c>
      <c r="L9" s="191">
        <f>'BSB - P&amp;L (2)'!L227</f>
        <v>0</v>
      </c>
      <c r="M9" s="191"/>
    </row>
    <row r="10" spans="2:13">
      <c r="B10" s="148" t="s">
        <v>226</v>
      </c>
      <c r="C10" s="191"/>
      <c r="D10" s="191">
        <f>'BSB - P&amp;L'!D222</f>
        <v>4762</v>
      </c>
      <c r="E10" s="191">
        <f>'BSB - P&amp;L'!E222</f>
        <v>16889</v>
      </c>
      <c r="F10" s="191">
        <f>'BSB - P&amp;L'!F222</f>
        <v>5636</v>
      </c>
      <c r="G10" s="191">
        <f>'BSB - P&amp;L'!G222</f>
        <v>32997</v>
      </c>
      <c r="H10" s="152"/>
      <c r="I10" s="191">
        <f>'BSB - P&amp;L (2)'!I222</f>
        <v>10570</v>
      </c>
      <c r="J10" s="191">
        <f>'BSB - P&amp;L (2)'!J222</f>
        <v>10570</v>
      </c>
      <c r="K10" s="191">
        <f>'BSB - P&amp;L (2)'!K222</f>
        <v>10570</v>
      </c>
      <c r="L10" s="191">
        <f>'BSB - P&amp;L (2)'!L222</f>
        <v>10570</v>
      </c>
      <c r="M10" s="191"/>
    </row>
    <row r="11" spans="2:13">
      <c r="B11" s="148" t="s">
        <v>227</v>
      </c>
      <c r="C11" s="152"/>
      <c r="D11" s="152">
        <f>'BSB - P&amp;L'!D232</f>
        <v>-4767</v>
      </c>
      <c r="E11" s="152">
        <f>'BSB - P&amp;L'!E232</f>
        <v>-24523</v>
      </c>
      <c r="F11" s="152">
        <f>'BSB - P&amp;L'!F232</f>
        <v>-20079</v>
      </c>
      <c r="G11" s="152">
        <f>'BSB - P&amp;L'!G232</f>
        <v>-24799</v>
      </c>
      <c r="H11" s="152"/>
      <c r="I11" s="152">
        <f>'BSB - P&amp;L (2)'!I233</f>
        <v>-3605.1074999999896</v>
      </c>
      <c r="J11" s="152">
        <f>'BSB - P&amp;L (2)'!J233</f>
        <v>-9105.859999999986</v>
      </c>
      <c r="K11" s="152">
        <f>'BSB - P&amp;L (2)'!K233</f>
        <v>-23199.127500000002</v>
      </c>
      <c r="L11" s="152">
        <f>'BSB - P&amp;L (2)'!L233</f>
        <v>-38177.705000000016</v>
      </c>
      <c r="M11" s="191"/>
    </row>
    <row r="12" spans="2:13">
      <c r="B12" s="153" t="s">
        <v>228</v>
      </c>
      <c r="C12" s="154"/>
      <c r="D12" s="154">
        <f>SUM(D8:D11)</f>
        <v>34024</v>
      </c>
      <c r="E12" s="154">
        <f>SUM(E8:E11)</f>
        <v>90190</v>
      </c>
      <c r="F12" s="154">
        <f>SUM(F8:F11)</f>
        <v>96876</v>
      </c>
      <c r="G12" s="154">
        <f>SUM(G8:G11)</f>
        <v>125049</v>
      </c>
      <c r="H12" s="154"/>
      <c r="I12" s="154">
        <f>SUM(I8:I11)</f>
        <v>60998.942499999939</v>
      </c>
      <c r="J12" s="154">
        <f t="shared" ref="J12:L12" si="0">SUM(J8:J11)</f>
        <v>81887.579999999958</v>
      </c>
      <c r="K12" s="154">
        <f t="shared" si="0"/>
        <v>120167.38250000001</v>
      </c>
      <c r="L12" s="154">
        <f t="shared" si="0"/>
        <v>162103.11500000005</v>
      </c>
      <c r="M12" s="199"/>
    </row>
    <row r="13" spans="2:13">
      <c r="B13" s="148" t="s">
        <v>229</v>
      </c>
      <c r="C13" s="191"/>
      <c r="D13" s="191">
        <f>-'BSB - P&amp;L'!D196</f>
        <v>39462</v>
      </c>
      <c r="E13" s="191">
        <f>-'BSB - P&amp;L'!E196</f>
        <v>40701</v>
      </c>
      <c r="F13" s="191">
        <f>-'BSB - P&amp;L'!F196</f>
        <v>40946</v>
      </c>
      <c r="G13" s="191">
        <f>-'BSB - P&amp;L'!G196</f>
        <v>53892</v>
      </c>
      <c r="H13" s="152"/>
      <c r="I13" s="191">
        <f>-'BSB - P&amp;L (2)'!I196</f>
        <v>54000</v>
      </c>
      <c r="J13" s="191">
        <f>-'BSB - P&amp;L (2)'!J196</f>
        <v>54000</v>
      </c>
      <c r="K13" s="191">
        <f>-'BSB - P&amp;L (2)'!K196</f>
        <v>54000</v>
      </c>
      <c r="L13" s="191">
        <f>-'BSB - P&amp;L (2)'!L196</f>
        <v>54000</v>
      </c>
      <c r="M13" s="191"/>
    </row>
    <row r="14" spans="2:13">
      <c r="B14" s="148" t="s">
        <v>230</v>
      </c>
      <c r="C14" s="191"/>
      <c r="D14" s="191">
        <f>-'BSB - P&amp;L'!D224</f>
        <v>-4762</v>
      </c>
      <c r="E14" s="191">
        <f>-'BSB - P&amp;L'!E224</f>
        <v>-4762</v>
      </c>
      <c r="F14" s="191">
        <f>-'BSB - P&amp;L'!F224</f>
        <v>-5636</v>
      </c>
      <c r="G14" s="191">
        <f>-'BSB - P&amp;L'!G224</f>
        <v>-10570</v>
      </c>
      <c r="H14" s="152"/>
      <c r="I14" s="191">
        <f>-'BSB - P&amp;L (2)'!I222</f>
        <v>-10570</v>
      </c>
      <c r="J14" s="191">
        <f>-'BSB - P&amp;L (2)'!J222</f>
        <v>-10570</v>
      </c>
      <c r="K14" s="191">
        <f>-'BSB - P&amp;L (2)'!K222</f>
        <v>-10570</v>
      </c>
      <c r="L14" s="191">
        <f>-'BSB - P&amp;L (2)'!L222</f>
        <v>-10570</v>
      </c>
      <c r="M14" s="191"/>
    </row>
    <row r="15" spans="2:13">
      <c r="B15" s="153" t="s">
        <v>231</v>
      </c>
      <c r="C15" s="154"/>
      <c r="D15" s="154">
        <f>SUM(D16:D27)</f>
        <v>-58892</v>
      </c>
      <c r="E15" s="154">
        <f>SUM(E16:E27)</f>
        <v>23505</v>
      </c>
      <c r="F15" s="154">
        <f>SUM(F16:F27)</f>
        <v>-284571</v>
      </c>
      <c r="G15" s="154">
        <f>SUM(G16:G27)</f>
        <v>1759</v>
      </c>
      <c r="H15" s="154"/>
      <c r="I15" s="154">
        <f>SUM(I16:I27)</f>
        <v>-12362</v>
      </c>
      <c r="J15" s="154">
        <f t="shared" ref="J15:L15" si="1">SUM(J16:J27)</f>
        <v>-50066</v>
      </c>
      <c r="K15" s="154">
        <f t="shared" si="1"/>
        <v>-60000</v>
      </c>
      <c r="L15" s="154">
        <f t="shared" si="1"/>
        <v>-40000</v>
      </c>
      <c r="M15" s="199"/>
    </row>
    <row r="16" spans="2:13" s="145" customFormat="1" ht="15" hidden="1" outlineLevel="1">
      <c r="B16" s="155" t="s">
        <v>232</v>
      </c>
      <c r="C16" s="156"/>
      <c r="D16" s="156">
        <f>-('BSB - Bilan'!D14-'BSB - Bilan'!C14)</f>
        <v>-58621</v>
      </c>
      <c r="E16" s="156">
        <f>-('BSB - Bilan'!E14-'BSB - Bilan'!D14)</f>
        <v>-234036</v>
      </c>
      <c r="F16" s="156">
        <f>-('BSB - Bilan'!F14-'BSB - Bilan'!E14)</f>
        <v>-62510</v>
      </c>
      <c r="G16" s="156">
        <f>-('BSB - Bilan'!G14-'BSB - Bilan'!F14)</f>
        <v>-4469</v>
      </c>
      <c r="H16" s="156"/>
      <c r="I16" s="156">
        <f>-('BSB - Bilan (2)'!I14-'BSB - Bilan (2)'!G14)</f>
        <v>-8263</v>
      </c>
      <c r="J16" s="156">
        <f>-('BSB - Bilan (2)'!J14-'BSB - Bilan (2)'!I14)</f>
        <v>-75000</v>
      </c>
      <c r="K16" s="156">
        <f>-('BSB - Bilan (2)'!K14-'BSB - Bilan (2)'!J14)</f>
        <v>-50000</v>
      </c>
      <c r="L16" s="156">
        <f>-('BSB - Bilan (2)'!L14-'BSB - Bilan (2)'!K14)</f>
        <v>-40000</v>
      </c>
      <c r="M16" s="200"/>
    </row>
    <row r="17" spans="2:13" s="145" customFormat="1" ht="15" hidden="1" outlineLevel="1">
      <c r="B17" s="155" t="s">
        <v>233</v>
      </c>
      <c r="C17" s="156"/>
      <c r="D17" s="156">
        <f>-('BSB - Bilan'!D15-'BSB - Bilan'!C15)</f>
        <v>0</v>
      </c>
      <c r="E17" s="156">
        <f>-('BSB - Bilan'!E15-'BSB - Bilan'!D15)</f>
        <v>0</v>
      </c>
      <c r="F17" s="156">
        <f>-('BSB - Bilan'!F15-'BSB - Bilan'!E15)</f>
        <v>0</v>
      </c>
      <c r="G17" s="156">
        <f>-('BSB - Bilan'!G15-'BSB - Bilan'!F15)</f>
        <v>0</v>
      </c>
      <c r="H17" s="156"/>
      <c r="I17" s="156">
        <f>-('BSB - Bilan (2)'!I15-'BSB - Bilan (2)'!G15)</f>
        <v>0</v>
      </c>
      <c r="J17" s="156">
        <f>-('BSB - Bilan (2)'!J15-'BSB - Bilan (2)'!I15)</f>
        <v>0</v>
      </c>
      <c r="K17" s="156">
        <f>-('BSB - Bilan (2)'!K15-'BSB - Bilan (2)'!J15)</f>
        <v>0</v>
      </c>
      <c r="L17" s="156">
        <f>-('BSB - Bilan (2)'!L15-'BSB - Bilan (2)'!K15)</f>
        <v>0</v>
      </c>
      <c r="M17" s="200"/>
    </row>
    <row r="18" spans="2:13" s="145" customFormat="1" ht="15" hidden="1" outlineLevel="1">
      <c r="B18" s="155" t="s">
        <v>234</v>
      </c>
      <c r="C18" s="156"/>
      <c r="D18" s="156">
        <f>-('BSB - Bilan'!D16-'BSB - Bilan'!C16)</f>
        <v>24274</v>
      </c>
      <c r="E18" s="156">
        <f>-('BSB - Bilan'!E16-'BSB - Bilan'!D16)</f>
        <v>-144105</v>
      </c>
      <c r="F18" s="156">
        <f>-('BSB - Bilan'!F16-'BSB - Bilan'!E16)</f>
        <v>32691</v>
      </c>
      <c r="G18" s="156">
        <f>-('BSB - Bilan'!G16-'BSB - Bilan'!F16)</f>
        <v>-60093</v>
      </c>
      <c r="H18" s="156"/>
      <c r="I18" s="156">
        <f>-('BSB - Bilan (2)'!I16-'BSB - Bilan (2)'!G16)</f>
        <v>0</v>
      </c>
      <c r="J18" s="156">
        <f>-('BSB - Bilan (2)'!J16-'BSB - Bilan (2)'!I16)</f>
        <v>-15066</v>
      </c>
      <c r="K18" s="156">
        <f>-('BSB - Bilan (2)'!K16-'BSB - Bilan (2)'!J16)</f>
        <v>-30000</v>
      </c>
      <c r="L18" s="156">
        <f>-('BSB - Bilan (2)'!L16-'BSB - Bilan (2)'!K16)</f>
        <v>-20000</v>
      </c>
      <c r="M18" s="200"/>
    </row>
    <row r="19" spans="2:13" s="145" customFormat="1" ht="15" hidden="1" outlineLevel="1">
      <c r="B19" s="155" t="s">
        <v>235</v>
      </c>
      <c r="C19" s="156"/>
      <c r="D19" s="156">
        <f>-('BSB - Bilan'!D17-'BSB - Bilan'!C17)</f>
        <v>8295</v>
      </c>
      <c r="E19" s="156">
        <f>-('BSB - Bilan'!E17-'BSB - Bilan'!D17)</f>
        <v>-11320</v>
      </c>
      <c r="F19" s="156">
        <f>-('BSB - Bilan'!F17-'BSB - Bilan'!E17)</f>
        <v>-382</v>
      </c>
      <c r="G19" s="156">
        <f>-('BSB - Bilan'!G17-'BSB - Bilan'!F17)</f>
        <v>-57878</v>
      </c>
      <c r="H19" s="156"/>
      <c r="I19" s="156">
        <f>-('BSB - Bilan (2)'!I17-'BSB - Bilan (2)'!G17)</f>
        <v>0</v>
      </c>
      <c r="J19" s="156">
        <f>-('BSB - Bilan (2)'!J17-'BSB - Bilan (2)'!I17)</f>
        <v>0</v>
      </c>
      <c r="K19" s="156">
        <f>-('BSB - Bilan (2)'!K17-'BSB - Bilan (2)'!J17)</f>
        <v>0</v>
      </c>
      <c r="L19" s="156">
        <f>-('BSB - Bilan (2)'!L17-'BSB - Bilan (2)'!K17)</f>
        <v>0</v>
      </c>
      <c r="M19" s="200"/>
    </row>
    <row r="20" spans="2:13" s="145" customFormat="1" ht="15" hidden="1" outlineLevel="1">
      <c r="B20" s="155" t="s">
        <v>236</v>
      </c>
      <c r="C20" s="156"/>
      <c r="D20" s="156">
        <f>-('BSB - Bilan'!D19-'BSB - Bilan'!C19)</f>
        <v>-225</v>
      </c>
      <c r="E20" s="156">
        <f>-('BSB - Bilan'!E19-'BSB - Bilan'!D19)</f>
        <v>-109</v>
      </c>
      <c r="F20" s="156">
        <f>-('BSB - Bilan'!F19-'BSB - Bilan'!E19)</f>
        <v>-381</v>
      </c>
      <c r="G20" s="156">
        <f>-('BSB - Bilan'!G19-'BSB - Bilan'!F19)</f>
        <v>-18280</v>
      </c>
      <c r="H20" s="156"/>
      <c r="I20" s="156">
        <f>-('BSB - Bilan (2)'!I19-'BSB - Bilan (2)'!G19)</f>
        <v>0</v>
      </c>
      <c r="J20" s="156">
        <f>-('BSB - Bilan (2)'!J19-'BSB - Bilan (2)'!I19)</f>
        <v>0</v>
      </c>
      <c r="K20" s="156">
        <f>-('BSB - Bilan (2)'!K19-'BSB - Bilan (2)'!J19)</f>
        <v>0</v>
      </c>
      <c r="L20" s="156">
        <f>-('BSB - Bilan (2)'!L19-'BSB - Bilan (2)'!K19)</f>
        <v>0</v>
      </c>
      <c r="M20" s="200"/>
    </row>
    <row r="21" spans="2:13" s="145" customFormat="1" ht="15" hidden="1" outlineLevel="1">
      <c r="B21" s="155" t="s">
        <v>237</v>
      </c>
      <c r="C21" s="156"/>
      <c r="D21" s="156">
        <f>'BSB - Bilan'!D56-'BSB - Bilan'!C56</f>
        <v>0</v>
      </c>
      <c r="E21" s="156">
        <f>'BSB - Bilan'!E56-'BSB - Bilan'!D56</f>
        <v>0</v>
      </c>
      <c r="F21" s="156">
        <f>'BSB - Bilan'!F56-'BSB - Bilan'!E56</f>
        <v>0</v>
      </c>
      <c r="G21" s="156">
        <f>'BSB - Bilan'!G56-'BSB - Bilan'!F56</f>
        <v>514</v>
      </c>
      <c r="H21" s="156"/>
      <c r="I21" s="156">
        <f>'BSB - Bilan (2)'!I56-'BSB - Bilan (2)'!G56</f>
        <v>0</v>
      </c>
      <c r="J21" s="156">
        <f>'BSB - Bilan (2)'!J56-'BSB - Bilan (2)'!I56</f>
        <v>0</v>
      </c>
      <c r="K21" s="156">
        <f>'BSB - Bilan (2)'!K56-'BSB - Bilan (2)'!J56</f>
        <v>0</v>
      </c>
      <c r="L21" s="156">
        <f>'BSB - Bilan (2)'!L56-'BSB - Bilan (2)'!K56</f>
        <v>0</v>
      </c>
      <c r="M21" s="200"/>
    </row>
    <row r="22" spans="2:13" s="145" customFormat="1" ht="15" hidden="1" outlineLevel="1">
      <c r="B22" s="155" t="s">
        <v>238</v>
      </c>
      <c r="C22" s="156"/>
      <c r="D22" s="156">
        <f>'BSB - Bilan'!D57-'BSB - Bilan'!C57</f>
        <v>-24647</v>
      </c>
      <c r="E22" s="156">
        <f>'BSB - Bilan'!E57-'BSB - Bilan'!D57</f>
        <v>382664</v>
      </c>
      <c r="F22" s="156">
        <f>'BSB - Bilan'!F57-'BSB - Bilan'!E57</f>
        <v>-242494</v>
      </c>
      <c r="G22" s="156">
        <f>'BSB - Bilan'!G57-'BSB - Bilan'!F57</f>
        <v>135563</v>
      </c>
      <c r="H22" s="156"/>
      <c r="I22" s="156">
        <f>'BSB - Bilan (2)'!I57-'BSB - Bilan (2)'!G57</f>
        <v>-4099</v>
      </c>
      <c r="J22" s="156">
        <f>'BSB - Bilan (2)'!J57-'BSB - Bilan (2)'!I57</f>
        <v>40000</v>
      </c>
      <c r="K22" s="156">
        <f>'BSB - Bilan (2)'!K57-'BSB - Bilan (2)'!J57</f>
        <v>20000</v>
      </c>
      <c r="L22" s="156">
        <f>'BSB - Bilan (2)'!L57-'BSB - Bilan (2)'!K57</f>
        <v>20000</v>
      </c>
      <c r="M22" s="200"/>
    </row>
    <row r="23" spans="2:13" s="145" customFormat="1" ht="15" hidden="1" outlineLevel="1">
      <c r="B23" s="155" t="s">
        <v>239</v>
      </c>
      <c r="C23" s="156"/>
      <c r="D23" s="156">
        <f>'BSB - Bilan'!D58-'BSB - Bilan'!C58</f>
        <v>-7950</v>
      </c>
      <c r="E23" s="156">
        <f>'BSB - Bilan'!E58-'BSB - Bilan'!D58</f>
        <v>30408</v>
      </c>
      <c r="F23" s="156">
        <f>'BSB - Bilan'!F58-'BSB - Bilan'!E58</f>
        <v>-11497</v>
      </c>
      <c r="G23" s="156">
        <f>'BSB - Bilan'!G58-'BSB - Bilan'!F58</f>
        <v>6408</v>
      </c>
      <c r="H23" s="156"/>
      <c r="I23" s="156">
        <f>'BSB - Bilan (2)'!I58-'BSB - Bilan (2)'!G58</f>
        <v>0</v>
      </c>
      <c r="J23" s="156">
        <f>'BSB - Bilan (2)'!J58-'BSB - Bilan (2)'!I58</f>
        <v>0</v>
      </c>
      <c r="K23" s="156">
        <f>'BSB - Bilan (2)'!K58-'BSB - Bilan (2)'!J58</f>
        <v>0</v>
      </c>
      <c r="L23" s="156">
        <f>'BSB - Bilan (2)'!L58-'BSB - Bilan (2)'!K58</f>
        <v>0</v>
      </c>
      <c r="M23" s="200"/>
    </row>
    <row r="24" spans="2:13" s="145" customFormat="1" ht="15" hidden="1" outlineLevel="1">
      <c r="B24" s="155" t="s">
        <v>251</v>
      </c>
      <c r="C24" s="156"/>
      <c r="D24" s="156">
        <f>'BSB - Bilan'!D59-'BSB - Bilan'!C59</f>
        <v>0</v>
      </c>
      <c r="E24" s="156">
        <f>'BSB - Bilan'!E59-'BSB - Bilan'!D59</f>
        <v>0</v>
      </c>
      <c r="F24" s="156">
        <f>'BSB - Bilan'!F59-'BSB - Bilan'!E59</f>
        <v>0</v>
      </c>
      <c r="G24" s="156">
        <f>'BSB - Bilan'!G59-'BSB - Bilan'!F59</f>
        <v>0</v>
      </c>
      <c r="H24" s="156"/>
      <c r="I24" s="156">
        <f>'BSB - Bilan (2)'!I59-'BSB - Bilan (2)'!G59</f>
        <v>0</v>
      </c>
      <c r="J24" s="156">
        <f>'BSB - Bilan (2)'!J59-'BSB - Bilan (2)'!I59</f>
        <v>0</v>
      </c>
      <c r="K24" s="156">
        <f>'BSB - Bilan (2)'!K59-'BSB - Bilan (2)'!J59</f>
        <v>0</v>
      </c>
      <c r="L24" s="156">
        <f>'BSB - Bilan (2)'!L59-'BSB - Bilan (2)'!K59</f>
        <v>0</v>
      </c>
      <c r="M24" s="200"/>
    </row>
    <row r="25" spans="2:13" s="145" customFormat="1" ht="15" hidden="1" outlineLevel="1">
      <c r="B25" s="155" t="s">
        <v>240</v>
      </c>
      <c r="C25" s="200"/>
      <c r="D25" s="156">
        <f>'BSB - Bilan'!D60-'BSB - Bilan'!C60</f>
        <v>-18</v>
      </c>
      <c r="E25" s="156">
        <f>'BSB - Bilan'!E60-'BSB - Bilan'!D60</f>
        <v>3</v>
      </c>
      <c r="F25" s="156">
        <f>'BSB - Bilan'!F60-'BSB - Bilan'!E60</f>
        <v>2</v>
      </c>
      <c r="G25" s="156">
        <f>'BSB - Bilan'!G60-'BSB - Bilan'!F60</f>
        <v>-6</v>
      </c>
      <c r="H25" s="156"/>
      <c r="I25" s="156">
        <f>'BSB - Bilan (2)'!I60-'BSB - Bilan (2)'!G60</f>
        <v>0</v>
      </c>
      <c r="J25" s="156">
        <f>'BSB - Bilan (2)'!J60-'BSB - Bilan (2)'!I60</f>
        <v>0</v>
      </c>
      <c r="K25" s="156">
        <f>'BSB - Bilan (2)'!K60-'BSB - Bilan (2)'!J60</f>
        <v>0</v>
      </c>
      <c r="L25" s="156">
        <f>'BSB - Bilan (2)'!L60-'BSB - Bilan (2)'!K60</f>
        <v>0</v>
      </c>
      <c r="M25" s="200"/>
    </row>
    <row r="26" spans="2:13" s="145" customFormat="1" ht="15" hidden="1" outlineLevel="1">
      <c r="B26" s="157" t="s">
        <v>241</v>
      </c>
      <c r="C26" s="156"/>
      <c r="D26" s="156">
        <f>'BSB - Bilan'!D61-'BSB - Bilan'!C61</f>
        <v>0</v>
      </c>
      <c r="E26" s="156">
        <f>'BSB - Bilan'!E61-'BSB - Bilan'!D61</f>
        <v>0</v>
      </c>
      <c r="F26" s="156">
        <f>'BSB - Bilan'!F61-'BSB - Bilan'!E61</f>
        <v>0</v>
      </c>
      <c r="G26" s="156">
        <f>'BSB - Bilan'!G61-'BSB - Bilan'!F61</f>
        <v>0</v>
      </c>
      <c r="H26" s="156"/>
      <c r="I26" s="156">
        <f>'BSB - Bilan (2)'!I61-'BSB - Bilan (2)'!G61</f>
        <v>0</v>
      </c>
      <c r="J26" s="156">
        <f>'BSB - Bilan (2)'!J61-'BSB - Bilan (2)'!I61</f>
        <v>0</v>
      </c>
      <c r="K26" s="156">
        <f>'BSB - Bilan (2)'!K61-'BSB - Bilan (2)'!J61</f>
        <v>0</v>
      </c>
      <c r="L26" s="156">
        <f>'BSB - Bilan (2)'!L61-'BSB - Bilan (2)'!K61</f>
        <v>0</v>
      </c>
      <c r="M26" s="200"/>
    </row>
    <row r="27" spans="2:13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G28" si="2">SUM(D12:D15)</f>
        <v>9832</v>
      </c>
      <c r="E28" s="160">
        <f t="shared" si="2"/>
        <v>149634</v>
      </c>
      <c r="F28" s="160">
        <f t="shared" si="2"/>
        <v>-152385</v>
      </c>
      <c r="G28" s="160">
        <f t="shared" si="2"/>
        <v>170130</v>
      </c>
      <c r="H28" s="160"/>
      <c r="I28" s="160">
        <f t="shared" ref="I28:L28" si="3">SUM(I12:I15)</f>
        <v>92066.942499999946</v>
      </c>
      <c r="J28" s="160">
        <f t="shared" si="3"/>
        <v>75251.579999999958</v>
      </c>
      <c r="K28" s="160">
        <f t="shared" si="3"/>
        <v>103597.38250000001</v>
      </c>
      <c r="L28" s="160">
        <f t="shared" si="3"/>
        <v>165533.11500000005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150"/>
      <c r="H30" s="219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>
        <f>-('BSB - Bilan'!D9-'BSB - Bilan'!C9-'BSB - P&amp;L'!D197)</f>
        <v>1</v>
      </c>
      <c r="E31" s="158">
        <f>-('BSB - Bilan'!E9-'BSB - Bilan'!D9-'BSB - P&amp;L'!E197)</f>
        <v>0</v>
      </c>
      <c r="F31" s="158">
        <f>-('BSB - Bilan'!F9-'BSB - Bilan'!E9-'BSB - P&amp;L'!F197)</f>
        <v>0</v>
      </c>
      <c r="G31" s="158">
        <f>-('BSB - Bilan'!G9-'BSB - Bilan'!F9-'BSB - P&amp;L'!G197)</f>
        <v>-2250</v>
      </c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>
        <f>-('BSB - Bilan'!D10-'BSB - Bilan'!C10-'BSB - P&amp;L'!D198)</f>
        <v>-85321</v>
      </c>
      <c r="E32" s="158">
        <f>-('BSB - Bilan'!E10-'BSB - Bilan'!D10-'BSB - P&amp;L'!E198)</f>
        <v>-75932</v>
      </c>
      <c r="F32" s="158">
        <f>-('BSB - Bilan'!F10-'BSB - Bilan'!E10-'BSB - P&amp;L'!F198)</f>
        <v>-85329</v>
      </c>
      <c r="G32" s="158">
        <f>-('BSB - Bilan'!G10-'BSB - Bilan'!F10-'BSB - P&amp;L'!G198)</f>
        <v>-198589</v>
      </c>
      <c r="H32" s="158"/>
      <c r="I32" s="158">
        <v>-25000</v>
      </c>
      <c r="J32" s="158">
        <v>-25000</v>
      </c>
      <c r="K32" s="158">
        <v>-25000</v>
      </c>
      <c r="L32" s="158">
        <v>-25000</v>
      </c>
      <c r="M32" s="201"/>
    </row>
    <row r="33" spans="2:17">
      <c r="B33" s="151" t="s">
        <v>197</v>
      </c>
      <c r="C33" s="158"/>
      <c r="D33" s="158">
        <f>-('BSB - Bilan'!D11-'BSB - Bilan'!C11-'BSB - P&amp;L'!D199)</f>
        <v>0</v>
      </c>
      <c r="E33" s="158">
        <f>-('BSB - Bilan'!E11-'BSB - Bilan'!D11-'BSB - P&amp;L'!E199)</f>
        <v>0</v>
      </c>
      <c r="F33" s="158">
        <f>-('BSB - Bilan'!F11-'BSB - Bilan'!E11-'BSB - P&amp;L'!F199)</f>
        <v>0</v>
      </c>
      <c r="G33" s="158">
        <f>-('BSB - Bilan'!G11-'BSB - Bilan'!F11-'BSB - P&amp;L'!G199)</f>
        <v>-153</v>
      </c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-85320</v>
      </c>
      <c r="E35" s="160">
        <f>SUM(E31:E34)</f>
        <v>-75932</v>
      </c>
      <c r="F35" s="160">
        <f>SUM(F31:F34)</f>
        <v>-85329</v>
      </c>
      <c r="G35" s="160">
        <f>SUM(G31:G34)</f>
        <v>-200992</v>
      </c>
      <c r="H35" s="160"/>
      <c r="I35" s="160">
        <f t="shared" ref="I35:L35" si="4">SUM(I31:I33)</f>
        <v>-25000</v>
      </c>
      <c r="J35" s="160">
        <f t="shared" si="4"/>
        <v>-25000</v>
      </c>
      <c r="K35" s="160">
        <f t="shared" si="4"/>
        <v>-25000</v>
      </c>
      <c r="L35" s="160">
        <f t="shared" si="4"/>
        <v>-25000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149"/>
      <c r="H37" s="220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/>
      <c r="E38" s="205"/>
      <c r="F38" s="205"/>
      <c r="G38" s="205"/>
      <c r="H38" s="134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>
      <c r="B39" s="161" t="s">
        <v>28</v>
      </c>
      <c r="C39" s="205"/>
      <c r="D39" s="205">
        <f>SUM(D40:D50)</f>
        <v>-7016</v>
      </c>
      <c r="E39" s="205">
        <f t="shared" ref="E39:G39" si="5">SUM(E40:E50)</f>
        <v>-5632</v>
      </c>
      <c r="F39" s="205">
        <f t="shared" si="5"/>
        <v>-19080</v>
      </c>
      <c r="G39" s="205">
        <f t="shared" si="5"/>
        <v>-33649</v>
      </c>
      <c r="H39" s="134"/>
      <c r="I39" s="205">
        <f>'BSB - P&amp;L (2)'!I207</f>
        <v>-30000</v>
      </c>
      <c r="J39" s="205">
        <f>'BSB - P&amp;L (2)'!J207</f>
        <v>-27000</v>
      </c>
      <c r="K39" s="205">
        <f>'BSB - P&amp;L (2)'!K207</f>
        <v>-23000</v>
      </c>
      <c r="L39" s="205">
        <f>'BSB - P&amp;L (2)'!L207</f>
        <v>-20000</v>
      </c>
      <c r="M39" s="205"/>
      <c r="N39" s="134"/>
      <c r="O39" s="134"/>
      <c r="P39" s="134"/>
      <c r="Q39" s="134"/>
    </row>
    <row r="40" spans="2:17" s="137" customFormat="1" ht="12.75" hidden="1" outlineLevel="1">
      <c r="B40" s="164" t="str">
        <f>'BSB - P&amp;L'!B208</f>
        <v>Intérêt prêt BP6059319 + BP6059320</v>
      </c>
      <c r="C40" s="206"/>
      <c r="D40" s="206"/>
      <c r="E40" s="206"/>
      <c r="F40" s="206"/>
      <c r="G40" s="206">
        <f>'BSB - P&amp;L'!G208</f>
        <v>-4448</v>
      </c>
      <c r="H40" s="133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hidden="1" outlineLevel="1">
      <c r="B41" s="164" t="str">
        <f>'BSB - P&amp;L'!B209</f>
        <v>Intérêt prêt nuger</v>
      </c>
      <c r="C41" s="206"/>
      <c r="D41" s="206">
        <f>'BSB - P&amp;L'!D209</f>
        <v>-510</v>
      </c>
      <c r="E41" s="206">
        <f>'BSB - P&amp;L'!E209</f>
        <v>-38</v>
      </c>
      <c r="F41" s="206">
        <f>'BSB - P&amp;L'!F209</f>
        <v>-133</v>
      </c>
      <c r="G41" s="206">
        <f>'BSB - P&amp;L'!G209</f>
        <v>-23</v>
      </c>
      <c r="H41" s="133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hidden="1" outlineLevel="1">
      <c r="B42" s="164" t="str">
        <f>'BSB - P&amp;L'!B210</f>
        <v>Intérêt prêt CA n°00001520180</v>
      </c>
      <c r="C42" s="206"/>
      <c r="D42" s="206">
        <f>'BSB - P&amp;L'!D210</f>
        <v>-13</v>
      </c>
      <c r="E42" s="206">
        <f>'BSB - P&amp;L'!E210</f>
        <v>0</v>
      </c>
      <c r="F42" s="206">
        <f>'BSB - P&amp;L'!F210</f>
        <v>0</v>
      </c>
      <c r="G42" s="206">
        <f>'BSB - P&amp;L'!G210</f>
        <v>0</v>
      </c>
      <c r="H42" s="133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 s="137" customFormat="1" ht="12.75" hidden="1" outlineLevel="1">
      <c r="B43" s="164" t="str">
        <f>'BSB - P&amp;L'!B211</f>
        <v>Intérêt prêt nuger</v>
      </c>
      <c r="C43" s="206"/>
      <c r="D43" s="206">
        <f>'BSB - P&amp;L'!D211</f>
        <v>-36</v>
      </c>
      <c r="E43" s="206">
        <f>'BSB - P&amp;L'!E211</f>
        <v>-4</v>
      </c>
      <c r="F43" s="206">
        <f>'BSB - P&amp;L'!F211</f>
        <v>0</v>
      </c>
      <c r="G43" s="206">
        <f>'BSB - P&amp;L'!G211</f>
        <v>0</v>
      </c>
      <c r="H43" s="133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s="137" customFormat="1" ht="12.75" hidden="1" outlineLevel="1">
      <c r="B44" s="164" t="str">
        <f>'BSB - P&amp;L'!B212</f>
        <v>Intérêt prêt CIC</v>
      </c>
      <c r="C44" s="206"/>
      <c r="D44" s="206">
        <f>'BSB - P&amp;L'!D212</f>
        <v>-1467</v>
      </c>
      <c r="E44" s="206">
        <f>'BSB - P&amp;L'!E212</f>
        <v>-813</v>
      </c>
      <c r="F44" s="206">
        <f>'BSB - P&amp;L'!F212</f>
        <v>-612</v>
      </c>
      <c r="G44" s="206">
        <f>'BSB - P&amp;L'!G212</f>
        <v>-409</v>
      </c>
      <c r="H44" s="133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hidden="1" outlineLevel="1">
      <c r="B45" s="164" t="str">
        <f>'BSB - P&amp;L'!B213</f>
        <v>Intérêt prêt CA n°0002001908</v>
      </c>
      <c r="C45" s="206"/>
      <c r="D45" s="206">
        <f>'BSB - P&amp;L'!D213</f>
        <v>-1049</v>
      </c>
      <c r="E45" s="206">
        <f>'BSB - P&amp;L'!E213</f>
        <v>-957</v>
      </c>
      <c r="F45" s="206">
        <f>'BSB - P&amp;L'!F213</f>
        <v>-864</v>
      </c>
      <c r="G45" s="206">
        <f>'BSB - P&amp;L'!G213</f>
        <v>-770</v>
      </c>
      <c r="H45" s="133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 s="137" customFormat="1" ht="12.75" hidden="1" outlineLevel="1">
      <c r="B46" s="164" t="str">
        <f>'BSB - P&amp;L'!B214</f>
        <v>Intérêt prêt CA n°0002001930</v>
      </c>
      <c r="C46" s="206"/>
      <c r="D46" s="206">
        <f>'BSB - P&amp;L'!D214</f>
        <v>-130</v>
      </c>
      <c r="E46" s="206">
        <f>'BSB - P&amp;L'!E214</f>
        <v>0</v>
      </c>
      <c r="F46" s="206">
        <f>'BSB - P&amp;L'!F214</f>
        <v>0</v>
      </c>
      <c r="G46" s="206">
        <f>'BSB - P&amp;L'!G214</f>
        <v>0</v>
      </c>
      <c r="H46" s="133"/>
      <c r="I46" s="206"/>
      <c r="J46" s="206"/>
      <c r="K46" s="206"/>
      <c r="L46" s="206"/>
      <c r="M46" s="206"/>
      <c r="N46" s="138"/>
      <c r="O46" s="138"/>
      <c r="P46" s="138"/>
      <c r="Q46" s="138"/>
    </row>
    <row r="47" spans="2:17" s="137" customFormat="1" ht="12.75" hidden="1" outlineLevel="1">
      <c r="B47" s="164" t="str">
        <f>'BSB - P&amp;L'!B215</f>
        <v>Intérêt prêt PGE CA</v>
      </c>
      <c r="C47" s="206"/>
      <c r="D47" s="206">
        <f>'BSB - P&amp;L'!D215</f>
        <v>-220</v>
      </c>
      <c r="E47" s="206">
        <f>'BSB - P&amp;L'!E215</f>
        <v>-656</v>
      </c>
      <c r="F47" s="206">
        <f>'BSB - P&amp;L'!F215</f>
        <v>-530</v>
      </c>
      <c r="G47" s="206">
        <f>'BSB - P&amp;L'!G215</f>
        <v>-365</v>
      </c>
      <c r="H47" s="133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hidden="1" outlineLevel="1">
      <c r="B48" s="164" t="str">
        <f>'BSB - P&amp;L'!B216</f>
        <v>Intérêt prêt PGE NUGER</v>
      </c>
      <c r="C48" s="206"/>
      <c r="D48" s="206">
        <f>'BSB - P&amp;L'!D216</f>
        <v>-171</v>
      </c>
      <c r="E48" s="206">
        <f>'BSB - P&amp;L'!E216</f>
        <v>-543</v>
      </c>
      <c r="F48" s="206">
        <f>'BSB - P&amp;L'!F216</f>
        <v>-403</v>
      </c>
      <c r="G48" s="206">
        <f>'BSB - P&amp;L'!G216</f>
        <v>-275</v>
      </c>
      <c r="H48" s="133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hidden="1" outlineLevel="1">
      <c r="B49" s="164" t="str">
        <f>'BSB - P&amp;L'!B217</f>
        <v>Intérêt C/C sc sucs</v>
      </c>
      <c r="C49" s="206"/>
      <c r="D49" s="206">
        <f>'BSB - P&amp;L'!D217</f>
        <v>-3420</v>
      </c>
      <c r="E49" s="206">
        <f>'BSB - P&amp;L'!E217</f>
        <v>-2621</v>
      </c>
      <c r="F49" s="206">
        <f>'BSB - P&amp;L'!F217</f>
        <v>-16538</v>
      </c>
      <c r="G49" s="206">
        <f>'BSB - P&amp;L'!G217</f>
        <v>-27359</v>
      </c>
      <c r="H49" s="133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hidden="1" outlineLevel="1">
      <c r="B50" s="164"/>
      <c r="C50" s="206"/>
      <c r="D50" s="206"/>
      <c r="E50" s="206"/>
      <c r="F50" s="206"/>
      <c r="G50" s="206"/>
      <c r="H50" s="133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 collapsed="1">
      <c r="B51" s="161" t="s">
        <v>213</v>
      </c>
      <c r="C51" s="152"/>
      <c r="D51" s="152">
        <f>SUM(D52:D63)</f>
        <v>-78872</v>
      </c>
      <c r="E51" s="152">
        <f>SUM(E52:E63)</f>
        <v>-57211</v>
      </c>
      <c r="F51" s="152">
        <f>SUM(F52:F63)</f>
        <v>-91222</v>
      </c>
      <c r="G51" s="152">
        <f>SUM(G52:G63)</f>
        <v>84312</v>
      </c>
      <c r="H51" s="152"/>
      <c r="I51" s="152">
        <f t="shared" ref="I51:L51" si="6">SUM(I52:I63)</f>
        <v>-107000</v>
      </c>
      <c r="J51" s="152">
        <f t="shared" si="6"/>
        <v>-85618</v>
      </c>
      <c r="K51" s="152">
        <f t="shared" si="6"/>
        <v>-39000</v>
      </c>
      <c r="L51" s="152">
        <f t="shared" si="6"/>
        <v>-39000</v>
      </c>
      <c r="M51" s="205"/>
      <c r="N51" s="134"/>
      <c r="O51" s="134"/>
      <c r="P51" s="134"/>
      <c r="Q51" s="134"/>
    </row>
    <row r="52" spans="2:17" s="137" customFormat="1" ht="12.75" hidden="1" outlineLevel="1">
      <c r="B52" s="165" t="str">
        <f>'BSB - Bilan'!B39</f>
        <v>Emprunt nuger</v>
      </c>
      <c r="C52" s="206"/>
      <c r="D52" s="206">
        <f>'BSB - Bilan'!D39-'BSB - Bilan'!C39</f>
        <v>-19311</v>
      </c>
      <c r="E52" s="206">
        <f>'BSB - Bilan'!E39-'BSB - Bilan'!D39</f>
        <v>-13020</v>
      </c>
      <c r="F52" s="206">
        <f>'BSB - Bilan'!F39-'BSB - Bilan'!E39</f>
        <v>-13138</v>
      </c>
      <c r="G52" s="206">
        <f>'BSB - Bilan'!G39-'BSB - Bilan'!F39</f>
        <v>-7718</v>
      </c>
      <c r="H52" s="133"/>
      <c r="I52" s="206">
        <f>'BSB - Bilan (2)'!I39-'BSB - Bilan (2)'!G39</f>
        <v>0</v>
      </c>
      <c r="J52" s="206">
        <f>'BSB - Bilan (2)'!J39-'BSB - Bilan (2)'!I39</f>
        <v>0</v>
      </c>
      <c r="K52" s="206">
        <f>'BSB - Bilan (2)'!K39-'BSB - Bilan (2)'!J39</f>
        <v>0</v>
      </c>
      <c r="L52" s="206">
        <f>'BSB - Bilan (2)'!L39-'BSB - Bilan (2)'!K39</f>
        <v>0</v>
      </c>
      <c r="M52" s="206"/>
      <c r="N52" s="138"/>
      <c r="O52" s="138"/>
      <c r="P52" s="138"/>
      <c r="Q52" s="138"/>
    </row>
    <row r="53" spans="2:17" s="137" customFormat="1" ht="12.75" hidden="1" outlineLevel="1">
      <c r="B53" s="165" t="str">
        <f>'BSB - Bilan'!B40</f>
        <v>Emprunt CA n°00001520180</v>
      </c>
      <c r="C53" s="206"/>
      <c r="D53" s="206">
        <f>'BSB - Bilan'!D40-'BSB - Bilan'!C40</f>
        <v>-3541</v>
      </c>
      <c r="E53" s="206">
        <f>'BSB - Bilan'!E40-'BSB - Bilan'!D40</f>
        <v>0</v>
      </c>
      <c r="F53" s="206">
        <f>'BSB - Bilan'!F40-'BSB - Bilan'!E40</f>
        <v>0</v>
      </c>
      <c r="G53" s="206">
        <f>'BSB - Bilan'!G40-'BSB - Bilan'!F40</f>
        <v>0</v>
      </c>
      <c r="H53" s="133"/>
      <c r="I53" s="206">
        <f>'BSB - Bilan (2)'!I40-'BSB - Bilan (2)'!G40</f>
        <v>0</v>
      </c>
      <c r="J53" s="206">
        <f>'BSB - Bilan (2)'!J40-'BSB - Bilan (2)'!I40</f>
        <v>0</v>
      </c>
      <c r="K53" s="206">
        <f>'BSB - Bilan (2)'!K40-'BSB - Bilan (2)'!J40</f>
        <v>0</v>
      </c>
      <c r="L53" s="206">
        <f>'BSB - Bilan (2)'!L40-'BSB - Bilan (2)'!K40</f>
        <v>0</v>
      </c>
      <c r="M53" s="206"/>
      <c r="N53" s="138"/>
      <c r="O53" s="138"/>
      <c r="P53" s="138"/>
      <c r="Q53" s="138"/>
    </row>
    <row r="54" spans="2:17" s="137" customFormat="1" ht="12.75" hidden="1" outlineLevel="1">
      <c r="B54" s="165" t="str">
        <f>'BSB - Bilan'!B41</f>
        <v>Emprunt nuger</v>
      </c>
      <c r="C54" s="206"/>
      <c r="D54" s="206">
        <f>'BSB - Bilan'!D41-'BSB - Bilan'!C41</f>
        <v>-3796</v>
      </c>
      <c r="E54" s="206">
        <f>'BSB - Bilan'!E41-'BSB - Bilan'!D41</f>
        <v>-1070</v>
      </c>
      <c r="F54" s="206">
        <f>'BSB - Bilan'!F41-'BSB - Bilan'!E41</f>
        <v>0</v>
      </c>
      <c r="G54" s="206">
        <f>'BSB - Bilan'!G41-'BSB - Bilan'!F41</f>
        <v>0</v>
      </c>
      <c r="H54" s="133"/>
      <c r="I54" s="206">
        <f>'BSB - Bilan (2)'!I41-'BSB - Bilan (2)'!G41</f>
        <v>0</v>
      </c>
      <c r="J54" s="206">
        <f>'BSB - Bilan (2)'!J41-'BSB - Bilan (2)'!I41</f>
        <v>0</v>
      </c>
      <c r="K54" s="206">
        <f>'BSB - Bilan (2)'!K41-'BSB - Bilan (2)'!J41</f>
        <v>0</v>
      </c>
      <c r="L54" s="206">
        <f>'BSB - Bilan (2)'!L41-'BSB - Bilan (2)'!K41</f>
        <v>0</v>
      </c>
      <c r="M54" s="206"/>
      <c r="N54" s="138"/>
      <c r="O54" s="138"/>
      <c r="P54" s="138"/>
      <c r="Q54" s="138"/>
    </row>
    <row r="55" spans="2:17" s="137" customFormat="1" ht="12.75" hidden="1" outlineLevel="1">
      <c r="B55" s="165" t="str">
        <f>'BSB - Bilan'!B42</f>
        <v>Emprunt CIC</v>
      </c>
      <c r="C55" s="206"/>
      <c r="D55" s="206">
        <f>'BSB - Bilan'!D42-'BSB - Bilan'!C42</f>
        <v>-23799</v>
      </c>
      <c r="E55" s="206">
        <f>'BSB - Bilan'!E42-'BSB - Bilan'!D42</f>
        <v>-17038</v>
      </c>
      <c r="F55" s="206">
        <f>'BSB - Bilan'!F42-'BSB - Bilan'!E42</f>
        <v>-17239</v>
      </c>
      <c r="G55" s="206">
        <f>'BSB - Bilan'!G42-'BSB - Bilan'!F42</f>
        <v>-17442</v>
      </c>
      <c r="H55" s="133"/>
      <c r="I55" s="206">
        <f>'BSB - Bilan (2)'!I42-'BSB - Bilan (2)'!G42</f>
        <v>-17000</v>
      </c>
      <c r="J55" s="206">
        <f>'BSB - Bilan (2)'!J42-'BSB - Bilan (2)'!I42</f>
        <v>-9547</v>
      </c>
      <c r="K55" s="206">
        <f>'BSB - Bilan (2)'!K42-'BSB - Bilan (2)'!J42</f>
        <v>0</v>
      </c>
      <c r="L55" s="206">
        <f>'BSB - Bilan (2)'!L42-'BSB - Bilan (2)'!K42</f>
        <v>0</v>
      </c>
      <c r="M55" s="206"/>
      <c r="N55" s="138"/>
      <c r="O55" s="138"/>
      <c r="P55" s="138"/>
      <c r="Q55" s="138"/>
    </row>
    <row r="56" spans="2:17" s="137" customFormat="1" ht="12.75" hidden="1" outlineLevel="1">
      <c r="B56" s="165" t="str">
        <f>'BSB - Bilan'!B43</f>
        <v>Emprunt CA n°0002001908</v>
      </c>
      <c r="C56" s="206"/>
      <c r="D56" s="206">
        <f>'BSB - Bilan'!D43-'BSB - Bilan'!C43</f>
        <v>-8470</v>
      </c>
      <c r="E56" s="206">
        <f>'BSB - Bilan'!E43-'BSB - Bilan'!D43</f>
        <v>-8568</v>
      </c>
      <c r="F56" s="206">
        <f>'BSB - Bilan'!F43-'BSB - Bilan'!E43</f>
        <v>-8658</v>
      </c>
      <c r="G56" s="206">
        <f>'BSB - Bilan'!G43-'BSB - Bilan'!F43</f>
        <v>-8751</v>
      </c>
      <c r="H56" s="133"/>
      <c r="I56" s="206">
        <f>'BSB - Bilan (2)'!I43-'BSB - Bilan (2)'!G43</f>
        <v>-9000</v>
      </c>
      <c r="J56" s="206">
        <f>'BSB - Bilan (2)'!J43-'BSB - Bilan (2)'!I43</f>
        <v>-9000</v>
      </c>
      <c r="K56" s="206">
        <f>'BSB - Bilan (2)'!K43-'BSB - Bilan (2)'!J43</f>
        <v>-9000</v>
      </c>
      <c r="L56" s="206">
        <f>'BSB - Bilan (2)'!L43-'BSB - Bilan (2)'!K43</f>
        <v>-9000</v>
      </c>
      <c r="M56" s="206"/>
      <c r="N56" s="138"/>
      <c r="O56" s="138"/>
      <c r="P56" s="138"/>
      <c r="Q56" s="138"/>
    </row>
    <row r="57" spans="2:17" s="137" customFormat="1" ht="12.75" hidden="1" outlineLevel="1">
      <c r="B57" s="165" t="str">
        <f>'BSB - Bilan'!B44</f>
        <v>Emprunt CA n°0002001930</v>
      </c>
      <c r="C57" s="206"/>
      <c r="D57" s="206">
        <f>'BSB - Bilan'!D44-'BSB - Bilan'!C44</f>
        <v>-20000</v>
      </c>
      <c r="E57" s="206">
        <f>'BSB - Bilan'!E44-'BSB - Bilan'!D44</f>
        <v>0</v>
      </c>
      <c r="F57" s="206">
        <f>'BSB - Bilan'!F44-'BSB - Bilan'!E44</f>
        <v>0</v>
      </c>
      <c r="G57" s="206">
        <f>'BSB - Bilan'!G44-'BSB - Bilan'!F44</f>
        <v>0</v>
      </c>
      <c r="H57" s="133"/>
      <c r="I57" s="206">
        <f>'BSB - Bilan (2)'!I44-'BSB - Bilan (2)'!G44</f>
        <v>0</v>
      </c>
      <c r="J57" s="206">
        <f>'BSB - Bilan (2)'!J44-'BSB - Bilan (2)'!I44</f>
        <v>0</v>
      </c>
      <c r="K57" s="206">
        <f>'BSB - Bilan (2)'!K44-'BSB - Bilan (2)'!J44</f>
        <v>0</v>
      </c>
      <c r="L57" s="206">
        <f>'BSB - Bilan (2)'!L44-'BSB - Bilan (2)'!K44</f>
        <v>0</v>
      </c>
      <c r="M57" s="206"/>
      <c r="N57" s="138"/>
      <c r="O57" s="138"/>
      <c r="P57" s="138"/>
      <c r="Q57" s="138"/>
    </row>
    <row r="58" spans="2:17" s="137" customFormat="1" ht="12.75" hidden="1" outlineLevel="1">
      <c r="B58" s="165" t="str">
        <f>'BSB - Bilan'!B45</f>
        <v>Emprunt PGE CA</v>
      </c>
      <c r="C58" s="206"/>
      <c r="D58" s="206">
        <f>'BSB - Bilan'!D45-'BSB - Bilan'!C45</f>
        <v>0</v>
      </c>
      <c r="E58" s="206">
        <f>'BSB - Bilan'!E45-'BSB - Bilan'!D45</f>
        <v>-9899</v>
      </c>
      <c r="F58" s="206">
        <f>'BSB - Bilan'!F45-'BSB - Bilan'!E45</f>
        <v>-29808</v>
      </c>
      <c r="G58" s="206">
        <f>'BSB - Bilan'!G45-'BSB - Bilan'!F45</f>
        <v>-29972</v>
      </c>
      <c r="H58" s="133"/>
      <c r="I58" s="206">
        <f>'BSB - Bilan (2)'!I45-'BSB - Bilan (2)'!G45</f>
        <v>-29000</v>
      </c>
      <c r="J58" s="206">
        <f>'BSB - Bilan (2)'!J45-'BSB - Bilan (2)'!I45</f>
        <v>-21321</v>
      </c>
      <c r="K58" s="206">
        <f>'BSB - Bilan (2)'!K45-'BSB - Bilan (2)'!J45</f>
        <v>0</v>
      </c>
      <c r="L58" s="206">
        <f>'BSB - Bilan (2)'!L45-'BSB - Bilan (2)'!K45</f>
        <v>0</v>
      </c>
      <c r="M58" s="206"/>
      <c r="N58" s="138"/>
      <c r="O58" s="138"/>
      <c r="P58" s="138"/>
      <c r="Q58" s="138"/>
    </row>
    <row r="59" spans="2:17" s="137" customFormat="1" ht="12.75" hidden="1" outlineLevel="1">
      <c r="B59" s="165" t="str">
        <f>'BSB - Bilan'!B46</f>
        <v>Emprunt PGE NUGER</v>
      </c>
      <c r="C59" s="206"/>
      <c r="D59" s="206">
        <f>'BSB - Bilan'!D46-'BSB - Bilan'!C46</f>
        <v>0</v>
      </c>
      <c r="E59" s="206">
        <f>'BSB - Bilan'!E46-'BSB - Bilan'!D46</f>
        <v>-7422</v>
      </c>
      <c r="F59" s="206">
        <f>'BSB - Bilan'!F46-'BSB - Bilan'!E46</f>
        <v>-22350</v>
      </c>
      <c r="G59" s="206">
        <f>'BSB - Bilan'!G46-'BSB - Bilan'!F46</f>
        <v>-22478</v>
      </c>
      <c r="H59" s="133"/>
      <c r="I59" s="206">
        <f>'BSB - Bilan (2)'!I46-'BSB - Bilan (2)'!G46</f>
        <v>-22000</v>
      </c>
      <c r="J59" s="206">
        <f>'BSB - Bilan (2)'!J46-'BSB - Bilan (2)'!I46</f>
        <v>-15750</v>
      </c>
      <c r="K59" s="206">
        <f>'BSB - Bilan (2)'!K46-'BSB - Bilan (2)'!J46</f>
        <v>0</v>
      </c>
      <c r="L59" s="206">
        <f>'BSB - Bilan (2)'!L46-'BSB - Bilan (2)'!K46</f>
        <v>0</v>
      </c>
      <c r="M59" s="206"/>
      <c r="N59" s="138"/>
      <c r="O59" s="138"/>
      <c r="P59" s="138"/>
      <c r="Q59" s="138"/>
    </row>
    <row r="60" spans="2:17" s="137" customFormat="1" ht="12.75" hidden="1" outlineLevel="1">
      <c r="B60" s="165" t="str">
        <f>'BSB - Bilan'!B47</f>
        <v>Emprunt BP n°9319</v>
      </c>
      <c r="C60" s="206"/>
      <c r="D60" s="206"/>
      <c r="E60" s="206"/>
      <c r="F60" s="206"/>
      <c r="G60" s="206">
        <f>'BSB - Bilan'!G47-'BSB - Bilan'!F47</f>
        <v>80391</v>
      </c>
      <c r="H60" s="133"/>
      <c r="I60" s="206">
        <f>'BSB - Bilan (2)'!I47-'BSB - Bilan (2)'!G47</f>
        <v>-15000</v>
      </c>
      <c r="J60" s="206">
        <f>'BSB - Bilan (2)'!J47-'BSB - Bilan (2)'!I47</f>
        <v>-15000</v>
      </c>
      <c r="K60" s="206">
        <f>'BSB - Bilan (2)'!K47-'BSB - Bilan (2)'!J47</f>
        <v>-15000</v>
      </c>
      <c r="L60" s="206">
        <f>'BSB - Bilan (2)'!L47-'BSB - Bilan (2)'!K47</f>
        <v>-15000</v>
      </c>
      <c r="M60" s="206"/>
      <c r="N60" s="138"/>
      <c r="O60" s="138"/>
      <c r="P60" s="138"/>
      <c r="Q60" s="138"/>
    </row>
    <row r="61" spans="2:17" s="137" customFormat="1" ht="12.75" hidden="1" outlineLevel="1">
      <c r="B61" s="165" t="str">
        <f>'BSB - Bilan'!B48</f>
        <v>Emprunt BP n°9320</v>
      </c>
      <c r="C61" s="206"/>
      <c r="D61" s="206"/>
      <c r="E61" s="206"/>
      <c r="F61" s="206"/>
      <c r="G61" s="206">
        <f>'BSB - Bilan'!G48-'BSB - Bilan'!F48</f>
        <v>89955</v>
      </c>
      <c r="H61" s="133"/>
      <c r="I61" s="206">
        <f>'BSB - Bilan (2)'!I48-'BSB - Bilan (2)'!G48</f>
        <v>-15000</v>
      </c>
      <c r="J61" s="206">
        <f>'BSB - Bilan (2)'!J48-'BSB - Bilan (2)'!I48</f>
        <v>-15000</v>
      </c>
      <c r="K61" s="206">
        <f>'BSB - Bilan (2)'!K48-'BSB - Bilan (2)'!J48</f>
        <v>-15000</v>
      </c>
      <c r="L61" s="206">
        <f>'BSB - Bilan (2)'!L48-'BSB - Bilan (2)'!K48</f>
        <v>-15000</v>
      </c>
      <c r="M61" s="206"/>
      <c r="N61" s="138"/>
      <c r="O61" s="138"/>
      <c r="P61" s="138"/>
      <c r="Q61" s="138"/>
    </row>
    <row r="62" spans="2:17" s="137" customFormat="1" ht="12.75" hidden="1" outlineLevel="1">
      <c r="B62" s="165" t="str">
        <f>'BSB - Bilan'!B49</f>
        <v>Intérêts courus sur emprunts</v>
      </c>
      <c r="C62" s="206"/>
      <c r="D62" s="206">
        <f>'BSB - Bilan'!D49-'BSB - Bilan'!C49</f>
        <v>45</v>
      </c>
      <c r="E62" s="206">
        <f>'BSB - Bilan'!E49-'BSB - Bilan'!D49</f>
        <v>-194</v>
      </c>
      <c r="F62" s="206">
        <f>'BSB - Bilan'!F49-'BSB - Bilan'!E49</f>
        <v>-29</v>
      </c>
      <c r="G62" s="206">
        <f>'BSB - Bilan'!G49-'BSB - Bilan'!F49</f>
        <v>327</v>
      </c>
      <c r="H62" s="133"/>
      <c r="I62" s="206">
        <f>'BSB - Bilan (2)'!I49-'BSB - Bilan (2)'!G49</f>
        <v>0</v>
      </c>
      <c r="J62" s="206">
        <f>'BSB - Bilan (2)'!J49-'BSB - Bilan (2)'!I49</f>
        <v>0</v>
      </c>
      <c r="K62" s="206">
        <f>'BSB - Bilan (2)'!K49-'BSB - Bilan (2)'!J49</f>
        <v>0</v>
      </c>
      <c r="L62" s="206">
        <f>'BSB - Bilan (2)'!L49-'BSB - Bilan (2)'!K49</f>
        <v>0</v>
      </c>
      <c r="M62" s="206"/>
      <c r="N62" s="138"/>
      <c r="O62" s="138"/>
      <c r="P62" s="138"/>
      <c r="Q62" s="138"/>
    </row>
    <row r="63" spans="2:17" s="137" customFormat="1" ht="12.75" hidden="1" outlineLevel="1">
      <c r="B63" s="164"/>
      <c r="C63" s="206"/>
      <c r="D63" s="206"/>
      <c r="E63" s="206"/>
      <c r="F63" s="206"/>
      <c r="G63" s="206"/>
      <c r="H63" s="133"/>
      <c r="I63" s="206"/>
      <c r="J63" s="206"/>
      <c r="K63" s="206"/>
      <c r="L63" s="206"/>
      <c r="M63" s="206"/>
      <c r="N63" s="138"/>
      <c r="O63" s="138"/>
      <c r="P63" s="138"/>
      <c r="Q63" s="138"/>
    </row>
    <row r="64" spans="2:17" collapsed="1">
      <c r="B64" s="161" t="s">
        <v>214</v>
      </c>
      <c r="C64" s="152"/>
      <c r="D64" s="152">
        <f>SUM(D65:D67)</f>
        <v>-61731</v>
      </c>
      <c r="E64" s="152">
        <f>SUM(E65:E67)</f>
        <v>23221</v>
      </c>
      <c r="F64" s="152">
        <f>SUM(F65:F67)</f>
        <v>378219</v>
      </c>
      <c r="G64" s="152">
        <f>SUM(G65:G67)</f>
        <v>43773</v>
      </c>
      <c r="H64" s="152"/>
      <c r="I64" s="152">
        <v>0</v>
      </c>
      <c r="J64" s="152">
        <f>'Probois 43 - Bilan'!J43</f>
        <v>0</v>
      </c>
      <c r="K64" s="152">
        <f>'Probois 43 - Bilan'!K43</f>
        <v>0</v>
      </c>
      <c r="L64" s="152">
        <f>'Probois 43 - Bilan'!L43</f>
        <v>0</v>
      </c>
      <c r="M64" s="205"/>
      <c r="N64" s="134"/>
      <c r="O64" s="134"/>
      <c r="P64" s="134"/>
      <c r="Q64" s="134"/>
    </row>
    <row r="65" spans="2:17" s="137" customFormat="1" ht="12.75" hidden="1" outlineLevel="1">
      <c r="B65" s="165" t="str">
        <f>'BSB - Bilan'!B52</f>
        <v>C/C sc des sucs</v>
      </c>
      <c r="C65" s="206"/>
      <c r="D65" s="206">
        <f>'BSB - Bilan'!D52-'BSB - Bilan'!C52</f>
        <v>-62753</v>
      </c>
      <c r="E65" s="206">
        <f>'BSB - Bilan'!E52-'BSB - Bilan'!D52</f>
        <v>23902</v>
      </c>
      <c r="F65" s="206">
        <f>'BSB - Bilan'!F52-'BSB - Bilan'!E52</f>
        <v>366551</v>
      </c>
      <c r="G65" s="206">
        <f>'BSB - Bilan'!G52-'BSB - Bilan'!F52</f>
        <v>44490</v>
      </c>
      <c r="H65" s="133"/>
      <c r="I65" s="206"/>
      <c r="J65" s="206"/>
      <c r="K65" s="206"/>
      <c r="L65" s="206"/>
      <c r="M65" s="206"/>
      <c r="N65" s="138"/>
      <c r="O65" s="138"/>
      <c r="P65" s="138"/>
      <c r="Q65" s="138"/>
    </row>
    <row r="66" spans="2:17" s="137" customFormat="1" ht="12.75" hidden="1" outlineLevel="1">
      <c r="B66" s="165" t="str">
        <f>'BSB - Bilan'!B53</f>
        <v>Associé intérêt couru</v>
      </c>
      <c r="C66" s="206"/>
      <c r="D66" s="206">
        <f>'BSB - Bilan'!D53-'BSB - Bilan'!C53</f>
        <v>1022</v>
      </c>
      <c r="E66" s="206">
        <f>'BSB - Bilan'!E53-'BSB - Bilan'!D53</f>
        <v>-681</v>
      </c>
      <c r="F66" s="206">
        <f>'BSB - Bilan'!F53-'BSB - Bilan'!E53</f>
        <v>11668</v>
      </c>
      <c r="G66" s="206">
        <f>'BSB - Bilan'!G53-'BSB - Bilan'!F53</f>
        <v>-717</v>
      </c>
      <c r="H66" s="133"/>
      <c r="I66" s="206"/>
      <c r="J66" s="206"/>
      <c r="K66" s="206"/>
      <c r="L66" s="206"/>
      <c r="M66" s="206"/>
      <c r="N66" s="138"/>
      <c r="O66" s="138"/>
      <c r="P66" s="138"/>
      <c r="Q66" s="138"/>
    </row>
    <row r="67" spans="2:17" s="137" customFormat="1" ht="12.75" hidden="1" outlineLevel="1">
      <c r="B67" s="164"/>
      <c r="C67" s="206"/>
      <c r="D67" s="206"/>
      <c r="E67" s="206"/>
      <c r="F67" s="206"/>
      <c r="G67" s="206"/>
      <c r="H67" s="133"/>
      <c r="I67" s="206"/>
      <c r="J67" s="206"/>
      <c r="K67" s="206"/>
      <c r="L67" s="206"/>
      <c r="M67" s="206"/>
      <c r="N67" s="138"/>
      <c r="O67" s="138"/>
      <c r="P67" s="138"/>
      <c r="Q67" s="138"/>
    </row>
    <row r="68" spans="2:17" collapsed="1">
      <c r="B68" s="161" t="s">
        <v>162</v>
      </c>
      <c r="C68" s="134"/>
      <c r="D68" s="134">
        <f>'BSB - Bilan'!D30-'BSB - Bilan'!C30+'BSB - P&amp;L'!D224</f>
        <v>0</v>
      </c>
      <c r="E68" s="134">
        <f>'BSB - Bilan'!E30-'BSB - Bilan'!D30+'BSB - P&amp;L'!E224</f>
        <v>1</v>
      </c>
      <c r="F68" s="134">
        <f>'BSB - Bilan'!F30-'BSB - Bilan'!E30+'BSB - P&amp;L'!F224</f>
        <v>18887</v>
      </c>
      <c r="G68" s="134">
        <f>'BSB - Bilan'!G30-'BSB - Bilan'!F30+'BSB - P&amp;L'!G224</f>
        <v>58076</v>
      </c>
      <c r="H68" s="134"/>
      <c r="I68" s="134">
        <v>0</v>
      </c>
      <c r="J68" s="134">
        <v>0</v>
      </c>
      <c r="K68" s="134">
        <f>'Probois 43 - Bilan'!J30</f>
        <v>0</v>
      </c>
      <c r="L68" s="134">
        <f>'Probois 43 - Bilan'!K30</f>
        <v>0</v>
      </c>
      <c r="M68" s="205"/>
      <c r="N68" s="134"/>
      <c r="O68" s="134"/>
      <c r="P68" s="134"/>
      <c r="Q68" s="134"/>
    </row>
    <row r="69" spans="2:17" s="137" customFormat="1" ht="12.75" hidden="1" outlineLevel="1">
      <c r="B69" s="162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207"/>
      <c r="N69" s="138"/>
      <c r="O69" s="138"/>
      <c r="P69" s="138"/>
      <c r="Q69" s="138"/>
    </row>
    <row r="70" spans="2:17" s="137" customFormat="1" collapsed="1">
      <c r="B70" s="161" t="s">
        <v>263</v>
      </c>
      <c r="C70" s="134"/>
      <c r="D70" s="134">
        <f>-('Probois 43 - Bilan'!C28+'Probois 43 - Bilan'!C29-'Probois 43 - Bilan'!D28)</f>
        <v>0</v>
      </c>
      <c r="E70" s="134"/>
      <c r="F70" s="134"/>
      <c r="G70" s="134"/>
      <c r="H70" s="134"/>
      <c r="I70" s="134">
        <v>0</v>
      </c>
      <c r="J70" s="134">
        <f>+'Probois 43 - Bilan'!J28-('Probois 43 - Bilan'!I28+'Probois 43 - Bilan'!I29)</f>
        <v>0</v>
      </c>
      <c r="K70" s="134">
        <f>+'Probois 43 - Bilan'!K28-('Probois 43 - Bilan'!J28+'Probois 43 - Bilan'!J29)</f>
        <v>0</v>
      </c>
      <c r="L70" s="134">
        <f>+'Probois 43 - Bilan'!L28-('Probois 43 - Bilan'!K28+'Probois 43 - Bilan'!K29)</f>
        <v>0</v>
      </c>
      <c r="M70" s="207"/>
      <c r="N70" s="138"/>
      <c r="O70" s="138"/>
      <c r="P70" s="138"/>
      <c r="Q70" s="138"/>
    </row>
    <row r="71" spans="2:17" s="137" customFormat="1" ht="12.75" hidden="1" outlineLevel="1">
      <c r="B71" s="162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207"/>
      <c r="N71" s="138"/>
      <c r="O71" s="138"/>
      <c r="P71" s="138"/>
      <c r="Q71" s="138"/>
    </row>
    <row r="72" spans="2:17" collapsed="1">
      <c r="B72" s="161" t="s">
        <v>252</v>
      </c>
      <c r="C72" s="205"/>
      <c r="D72" s="205">
        <v>0</v>
      </c>
      <c r="E72" s="205">
        <v>0</v>
      </c>
      <c r="F72" s="205">
        <v>0</v>
      </c>
      <c r="G72" s="205">
        <v>0</v>
      </c>
      <c r="H72" s="134"/>
      <c r="I72" s="134">
        <v>0</v>
      </c>
      <c r="J72" s="134">
        <f t="shared" ref="J72" si="7">SUM(J73:J74)</f>
        <v>0</v>
      </c>
      <c r="K72" s="134">
        <f t="shared" ref="K72:L72" si="8">SUM(K73:K74)</f>
        <v>0</v>
      </c>
      <c r="L72" s="134">
        <f t="shared" si="8"/>
        <v>0</v>
      </c>
      <c r="M72" s="205"/>
      <c r="N72" s="134"/>
      <c r="O72" s="134"/>
      <c r="P72" s="134"/>
      <c r="Q72" s="134"/>
    </row>
    <row r="73" spans="2:17" s="137" customFormat="1" ht="12.75" hidden="1" outlineLevel="1">
      <c r="B73" s="166" t="s">
        <v>101</v>
      </c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207"/>
      <c r="N73" s="138"/>
      <c r="O73" s="138"/>
      <c r="P73" s="138"/>
      <c r="Q73" s="138"/>
    </row>
    <row r="74" spans="2:17" s="137" customFormat="1" ht="12.75" hidden="1" outlineLevel="1">
      <c r="B74" s="166" t="s">
        <v>253</v>
      </c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207"/>
      <c r="N74" s="138"/>
      <c r="O74" s="138"/>
      <c r="P74" s="138"/>
      <c r="Q74" s="138"/>
    </row>
    <row r="75" spans="2:17" s="137" customFormat="1" ht="12.75" collapsed="1">
      <c r="B75" s="162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207"/>
      <c r="N75" s="138"/>
      <c r="O75" s="138"/>
      <c r="P75" s="138"/>
      <c r="Q75" s="138"/>
    </row>
    <row r="76" spans="2:17">
      <c r="B76" s="159" t="s">
        <v>246</v>
      </c>
      <c r="C76" s="208"/>
      <c r="D76" s="208">
        <f t="shared" ref="D76:L76" si="9">D38+D39+D51+D64+D68+D70+D72</f>
        <v>-147619</v>
      </c>
      <c r="E76" s="208">
        <f t="shared" si="9"/>
        <v>-39621</v>
      </c>
      <c r="F76" s="208">
        <f t="shared" si="9"/>
        <v>286804</v>
      </c>
      <c r="G76" s="208">
        <f t="shared" si="9"/>
        <v>152512</v>
      </c>
      <c r="H76" s="221"/>
      <c r="I76" s="208">
        <f t="shared" si="9"/>
        <v>-137000</v>
      </c>
      <c r="J76" s="208">
        <f t="shared" si="9"/>
        <v>-112618</v>
      </c>
      <c r="K76" s="208">
        <f t="shared" si="9"/>
        <v>-62000</v>
      </c>
      <c r="L76" s="208">
        <f t="shared" si="9"/>
        <v>-59000</v>
      </c>
      <c r="M76" s="208"/>
    </row>
    <row r="77" spans="2:17">
      <c r="B77" s="163"/>
      <c r="C77" s="163"/>
      <c r="D77" s="163"/>
      <c r="E77" s="163"/>
      <c r="F77" s="163"/>
      <c r="G77" s="163"/>
      <c r="H77" s="151"/>
      <c r="I77" s="163"/>
      <c r="J77" s="163"/>
      <c r="K77" s="163"/>
      <c r="L77" s="163"/>
      <c r="M77" s="203"/>
    </row>
    <row r="78" spans="2:17">
      <c r="B78" s="162" t="s">
        <v>247</v>
      </c>
      <c r="C78" s="138"/>
      <c r="D78" s="138">
        <v>2</v>
      </c>
      <c r="E78" s="138">
        <v>6</v>
      </c>
      <c r="F78" s="138">
        <v>-2</v>
      </c>
      <c r="G78" s="138">
        <v>2</v>
      </c>
      <c r="H78" s="138"/>
      <c r="I78" s="138"/>
      <c r="J78" s="138"/>
      <c r="K78" s="138"/>
      <c r="L78" s="138"/>
      <c r="M78" s="207"/>
    </row>
    <row r="79" spans="2:17">
      <c r="B79" s="159" t="s">
        <v>248</v>
      </c>
      <c r="C79" s="160"/>
      <c r="D79" s="160">
        <f t="shared" ref="D79:L79" si="10">D76+D78+D35+D28</f>
        <v>-223105</v>
      </c>
      <c r="E79" s="160">
        <f t="shared" si="10"/>
        <v>34087</v>
      </c>
      <c r="F79" s="160">
        <f t="shared" si="10"/>
        <v>49088</v>
      </c>
      <c r="G79" s="160">
        <f t="shared" si="10"/>
        <v>121652</v>
      </c>
      <c r="H79" s="160"/>
      <c r="I79" s="160">
        <f t="shared" si="10"/>
        <v>-69933.057500000054</v>
      </c>
      <c r="J79" s="160">
        <f t="shared" si="10"/>
        <v>-62366.420000000042</v>
      </c>
      <c r="K79" s="160">
        <f t="shared" si="10"/>
        <v>16597.382500000007</v>
      </c>
      <c r="L79" s="160">
        <f t="shared" si="10"/>
        <v>81533.115000000049</v>
      </c>
      <c r="M79" s="202"/>
    </row>
    <row r="80" spans="2:17"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203"/>
    </row>
    <row r="81" spans="2:13">
      <c r="B81" s="151" t="s">
        <v>249</v>
      </c>
      <c r="C81" s="152"/>
      <c r="D81" s="152">
        <f>C82</f>
        <v>261314</v>
      </c>
      <c r="E81" s="152">
        <f>D82</f>
        <v>38209</v>
      </c>
      <c r="F81" s="152">
        <f t="shared" ref="F81:L81" si="11">E82</f>
        <v>72296</v>
      </c>
      <c r="G81" s="152">
        <f t="shared" si="11"/>
        <v>121384</v>
      </c>
      <c r="H81" s="152"/>
      <c r="I81" s="152">
        <f>G82</f>
        <v>243036</v>
      </c>
      <c r="J81" s="152">
        <f t="shared" si="11"/>
        <v>173102.94249999995</v>
      </c>
      <c r="K81" s="152">
        <f t="shared" si="11"/>
        <v>110736.5224999999</v>
      </c>
      <c r="L81" s="152">
        <f t="shared" si="11"/>
        <v>127333.90499999991</v>
      </c>
      <c r="M81" s="191"/>
    </row>
    <row r="82" spans="2:13">
      <c r="B82" s="159" t="s">
        <v>250</v>
      </c>
      <c r="C82" s="160">
        <f>'BSB - Bilan'!C18</f>
        <v>261314</v>
      </c>
      <c r="D82" s="160">
        <f t="shared" ref="D82:G82" si="12">D79+D81</f>
        <v>38209</v>
      </c>
      <c r="E82" s="160">
        <f t="shared" si="12"/>
        <v>72296</v>
      </c>
      <c r="F82" s="160">
        <f t="shared" si="12"/>
        <v>121384</v>
      </c>
      <c r="G82" s="160">
        <f t="shared" si="12"/>
        <v>243036</v>
      </c>
      <c r="H82" s="160"/>
      <c r="I82" s="160">
        <f t="shared" ref="I82:L82" si="13">I79+I81</f>
        <v>173102.94249999995</v>
      </c>
      <c r="J82" s="160">
        <f t="shared" si="13"/>
        <v>110736.5224999999</v>
      </c>
      <c r="K82" s="160">
        <f t="shared" si="13"/>
        <v>127333.90499999991</v>
      </c>
      <c r="L82" s="160">
        <f t="shared" si="13"/>
        <v>208867.01999999996</v>
      </c>
      <c r="M82" s="202"/>
    </row>
    <row r="83" spans="2:13">
      <c r="B83" s="159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205"/>
    </row>
    <row r="84" spans="2:13">
      <c r="B84" s="168" t="s">
        <v>221</v>
      </c>
      <c r="C84" s="167"/>
      <c r="D84" s="167" t="str">
        <f>IF(ABS(D82-'BSB - Bilan'!D18)&lt;0.1,"Validé","Erreur")</f>
        <v>Validé</v>
      </c>
      <c r="E84" s="167" t="str">
        <f>IF(ABS(E82-'BSB - Bilan'!E18)&lt;0.1,"Validé","Erreur")</f>
        <v>Validé</v>
      </c>
      <c r="F84" s="167" t="str">
        <f>IF(ABS(F82-'BSB - Bilan'!F18)&lt;0.1,"Validé","Erreur")</f>
        <v>Validé</v>
      </c>
      <c r="G84" s="167" t="str">
        <f>IF(ABS(G82-'BSB - Bilan'!G18)&lt;0.1,"Validé","Erreur")</f>
        <v>Validé</v>
      </c>
      <c r="H84" s="167"/>
      <c r="I84" s="167" t="str">
        <f>IF(ABS(I82-'BSB - Bilan (2)'!I18)&lt;0.1,"Validé","Erreur")</f>
        <v>Validé</v>
      </c>
      <c r="J84" s="167" t="str">
        <f>IF(ABS(J82-'BSB - Bilan (2)'!J18)&lt;0.1,"Validé","Erreur")</f>
        <v>Validé</v>
      </c>
      <c r="K84" s="167" t="str">
        <f>IF(ABS(K82-'BSB - Bilan (2)'!K18)&lt;0.1,"Validé","Erreur")</f>
        <v>Validé</v>
      </c>
      <c r="L84" s="167" t="str">
        <f>IF(ABS(L82-'BSB - Bilan (2)'!L18)&lt;0.1,"Validé","Erreur")</f>
        <v>Validé</v>
      </c>
      <c r="M84" s="209"/>
    </row>
    <row r="85" spans="2:13">
      <c r="C85" s="151"/>
      <c r="D85" s="151"/>
      <c r="E85" s="151"/>
      <c r="F85" s="151"/>
      <c r="G85" s="151"/>
      <c r="H85" s="151"/>
    </row>
    <row r="86" spans="2:13">
      <c r="C86" s="134"/>
      <c r="D86" s="134"/>
      <c r="E86" s="134"/>
      <c r="F86" s="134"/>
      <c r="G86" s="134"/>
      <c r="H86" s="134"/>
      <c r="I86" s="134"/>
      <c r="J86" s="134"/>
    </row>
    <row r="87" spans="2:13">
      <c r="C87" s="136"/>
      <c r="D87" s="136"/>
      <c r="E87" s="136"/>
      <c r="F87" s="136"/>
      <c r="G87" s="136"/>
      <c r="H87" s="136"/>
      <c r="I87" s="136"/>
      <c r="J87" s="136"/>
      <c r="K87" s="136"/>
      <c r="L87" s="136"/>
    </row>
    <row r="88" spans="2:13">
      <c r="C88" s="134"/>
      <c r="D88" s="134"/>
      <c r="E88" s="134"/>
      <c r="F88" s="134"/>
      <c r="G88" s="134"/>
      <c r="H88" s="134"/>
      <c r="I88" s="134"/>
      <c r="J88" s="134"/>
    </row>
    <row r="89" spans="2:13">
      <c r="I89" s="273"/>
      <c r="J89" s="273"/>
      <c r="K89" s="273"/>
      <c r="L89" s="273"/>
    </row>
  </sheetData>
  <mergeCells count="1">
    <mergeCell ref="B2:B4"/>
  </mergeCells>
  <conditionalFormatting sqref="C84:L84">
    <cfRule type="containsText" dxfId="83" priority="1" operator="containsText" text="Validé">
      <formula>NOT(ISERROR(SEARCH("Validé",C84)))</formula>
    </cfRule>
    <cfRule type="containsText" dxfId="82" priority="2" operator="containsText" text="Erreur">
      <formula>NOT(ISERROR(SEARCH("Erreur",C84)))</formula>
    </cfRule>
  </conditionalFormatting>
  <conditionalFormatting sqref="C81:M81">
    <cfRule type="containsText" dxfId="81" priority="3" operator="containsText" text="Equilibré">
      <formula>NOT(ISERROR(SEARCH("Equilibré",C81)))</formula>
    </cfRule>
    <cfRule type="containsText" dxfId="80" priority="4" operator="containsText" text="Erreur">
      <formula>NOT(ISERROR(SEARCH("Erreur",C81)))</formula>
    </cfRule>
    <cfRule type="containsText" dxfId="79" priority="5" operator="containsText" text="Validé">
      <formula>NOT(ISERROR(SEARCH("Validé",C81)))</formula>
    </cfRule>
    <cfRule type="containsText" dxfId="78" priority="6" operator="containsText" text="Erreur">
      <formula>NOT(ISERROR(SEARCH("Erreur",C81)))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46C43-DF27-A84C-A813-A0D91F090512}">
  <sheetPr codeName="Feuil45">
    <tabColor rgb="FF006C4C"/>
  </sheetPr>
  <dimension ref="A2:AP81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K11" sqref="K11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 t="s">
        <v>261</v>
      </c>
      <c r="H2" s="193"/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>
        <v>45535</v>
      </c>
      <c r="H3" s="244"/>
      <c r="I3" s="248">
        <v>45900</v>
      </c>
      <c r="J3" s="248">
        <v>46265</v>
      </c>
      <c r="K3" s="248">
        <v>46630</v>
      </c>
      <c r="L3" s="248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124" t="s">
        <v>3</v>
      </c>
      <c r="H4" s="218"/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353743</v>
      </c>
      <c r="D8" s="128">
        <f t="shared" si="0"/>
        <v>399601</v>
      </c>
      <c r="E8" s="128">
        <f t="shared" si="0"/>
        <v>434832</v>
      </c>
      <c r="F8" s="128">
        <f>SUM(F9:F11)</f>
        <v>479215</v>
      </c>
      <c r="G8" s="128">
        <f>SUM(G9:G11)</f>
        <v>626315</v>
      </c>
      <c r="H8" s="128"/>
      <c r="I8" s="128">
        <f t="shared" ref="I8:L8" si="1">SUM(I9:I11)</f>
        <v>597315</v>
      </c>
      <c r="J8" s="128">
        <f t="shared" si="1"/>
        <v>568315</v>
      </c>
      <c r="K8" s="128">
        <f t="shared" si="1"/>
        <v>539315</v>
      </c>
      <c r="L8" s="128">
        <f t="shared" si="1"/>
        <v>510315</v>
      </c>
    </row>
    <row r="9" spans="2:15">
      <c r="B9" s="131" t="s">
        <v>195</v>
      </c>
      <c r="C9" s="132">
        <f>2832+5000</f>
        <v>7832</v>
      </c>
      <c r="D9" s="132">
        <v>6439</v>
      </c>
      <c r="E9" s="132">
        <v>5169</v>
      </c>
      <c r="F9" s="132">
        <v>5000</v>
      </c>
      <c r="G9" s="132">
        <f>7250</f>
        <v>7250</v>
      </c>
      <c r="H9" s="132"/>
      <c r="I9" s="132">
        <f>G9</f>
        <v>7250</v>
      </c>
      <c r="J9" s="132">
        <f>I9</f>
        <v>7250</v>
      </c>
      <c r="K9" s="132">
        <f>J9</f>
        <v>7250</v>
      </c>
      <c r="L9" s="132">
        <f>K9</f>
        <v>7250</v>
      </c>
      <c r="M9" s="211"/>
    </row>
    <row r="10" spans="2:15">
      <c r="B10" s="131" t="s">
        <v>196</v>
      </c>
      <c r="C10" s="132">
        <f>6387+32665+306859</f>
        <v>345911</v>
      </c>
      <c r="D10" s="132">
        <f>5493+73221+314448</f>
        <v>393162</v>
      </c>
      <c r="E10" s="132">
        <f>4599+144458+280606</f>
        <v>429663</v>
      </c>
      <c r="F10" s="132">
        <f>19329+132727+259759+62400</f>
        <v>474215</v>
      </c>
      <c r="G10" s="132">
        <f>18119+123147+477646</f>
        <v>618912</v>
      </c>
      <c r="H10" s="132"/>
      <c r="I10" s="132">
        <f>G10-'BSB - CF (2)'!I32+'BSB - P&amp;L (2)'!I196</f>
        <v>589912</v>
      </c>
      <c r="J10" s="132">
        <f>I10-'BSB - CF (2)'!J32+'BSB - P&amp;L (2)'!J196</f>
        <v>560912</v>
      </c>
      <c r="K10" s="132">
        <f>J10-'BSB - CF (2)'!K32+'BSB - P&amp;L (2)'!K196</f>
        <v>531912</v>
      </c>
      <c r="L10" s="132">
        <f>K10-'BSB - CF (2)'!L32+'BSB - P&amp;L (2)'!L196</f>
        <v>502912</v>
      </c>
      <c r="M10" s="188"/>
      <c r="N10" s="188"/>
      <c r="O10" s="188"/>
    </row>
    <row r="11" spans="2:15">
      <c r="B11" s="131" t="s">
        <v>197</v>
      </c>
      <c r="C11" s="132"/>
      <c r="D11" s="132"/>
      <c r="E11" s="132">
        <v>0</v>
      </c>
      <c r="F11" s="132">
        <v>0</v>
      </c>
      <c r="G11" s="132">
        <v>153</v>
      </c>
      <c r="H11" s="132"/>
      <c r="I11" s="132">
        <f>G11</f>
        <v>153</v>
      </c>
      <c r="J11" s="132">
        <f>I11</f>
        <v>153</v>
      </c>
      <c r="K11" s="132">
        <f>J11</f>
        <v>153</v>
      </c>
      <c r="L11" s="132">
        <f>K11</f>
        <v>153</v>
      </c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699197</v>
      </c>
      <c r="D13" s="128">
        <f t="shared" si="2"/>
        <v>502369</v>
      </c>
      <c r="E13" s="128">
        <f t="shared" si="2"/>
        <v>926026</v>
      </c>
      <c r="F13" s="128">
        <f>SUM(F14:F16,F17:F19)</f>
        <v>1005696</v>
      </c>
      <c r="G13" s="128">
        <f>SUM(G14:G16,G17:G19)</f>
        <v>1268068</v>
      </c>
      <c r="H13" s="128"/>
      <c r="I13" s="128">
        <f>SUM(I14:I20)</f>
        <v>1206397.9424999999</v>
      </c>
      <c r="J13" s="128">
        <f>SUM(J14:J20)</f>
        <v>1234097.5225</v>
      </c>
      <c r="K13" s="128">
        <f>SUM(K14:K20)</f>
        <v>1330694.9049999998</v>
      </c>
      <c r="L13" s="128">
        <f>SUM(L14:L20)</f>
        <v>1472228.02</v>
      </c>
      <c r="M13" s="186"/>
      <c r="N13" s="186"/>
      <c r="O13" s="186"/>
    </row>
    <row r="14" spans="2:15">
      <c r="B14" s="131" t="s">
        <v>199</v>
      </c>
      <c r="C14" s="132">
        <f>153292+103809</f>
        <v>257101</v>
      </c>
      <c r="D14" s="132">
        <f>205242+110480</f>
        <v>315722</v>
      </c>
      <c r="E14" s="132">
        <f>509456+40302</f>
        <v>549758</v>
      </c>
      <c r="F14" s="132">
        <f>499302+112966</f>
        <v>612268</v>
      </c>
      <c r="G14" s="132">
        <f>551814+64923</f>
        <v>616737</v>
      </c>
      <c r="H14" s="132"/>
      <c r="I14" s="132">
        <v>625000</v>
      </c>
      <c r="J14" s="132">
        <v>700000</v>
      </c>
      <c r="K14" s="132">
        <v>750000</v>
      </c>
      <c r="L14" s="132">
        <v>790000</v>
      </c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>
        <v>157701</v>
      </c>
      <c r="D16" s="132">
        <v>133427</v>
      </c>
      <c r="E16" s="132">
        <v>277532</v>
      </c>
      <c r="F16" s="132">
        <f>244841</f>
        <v>244841</v>
      </c>
      <c r="G16" s="132">
        <f>296078+8856</f>
        <v>304934</v>
      </c>
      <c r="H16" s="132"/>
      <c r="I16" s="132">
        <f>G16</f>
        <v>304934</v>
      </c>
      <c r="J16" s="132">
        <v>320000</v>
      </c>
      <c r="K16" s="132">
        <v>350000</v>
      </c>
      <c r="L16" s="132">
        <v>370000</v>
      </c>
      <c r="M16" s="136"/>
      <c r="N16" s="136"/>
      <c r="O16" s="136"/>
    </row>
    <row r="17" spans="2:15">
      <c r="B17" s="131" t="s">
        <v>202</v>
      </c>
      <c r="C17" s="132">
        <f>5637+13420</f>
        <v>19057</v>
      </c>
      <c r="D17" s="132">
        <f>6230+4532</f>
        <v>10762</v>
      </c>
      <c r="E17" s="132">
        <v>22082</v>
      </c>
      <c r="F17" s="132">
        <f>20097+2367</f>
        <v>22464</v>
      </c>
      <c r="G17" s="132">
        <f>80342</f>
        <v>80342</v>
      </c>
      <c r="H17" s="132"/>
      <c r="I17" s="132">
        <f>G17</f>
        <v>80342</v>
      </c>
      <c r="J17" s="132">
        <f>I17</f>
        <v>80342</v>
      </c>
      <c r="K17" s="132">
        <f>J17</f>
        <v>80342</v>
      </c>
      <c r="L17" s="132">
        <f>K17</f>
        <v>80342</v>
      </c>
      <c r="M17" s="136"/>
      <c r="N17" s="136"/>
      <c r="O17" s="136"/>
    </row>
    <row r="18" spans="2:15">
      <c r="B18" s="131" t="s">
        <v>203</v>
      </c>
      <c r="C18" s="132">
        <v>261314</v>
      </c>
      <c r="D18" s="132">
        <v>38209</v>
      </c>
      <c r="E18" s="132">
        <v>72296</v>
      </c>
      <c r="F18" s="132">
        <v>121384</v>
      </c>
      <c r="G18" s="132">
        <v>243036</v>
      </c>
      <c r="H18" s="132"/>
      <c r="I18" s="132">
        <f>'BSB - CF (2)'!I82</f>
        <v>173102.94249999995</v>
      </c>
      <c r="J18" s="132">
        <f>'BSB - CF (2)'!J82</f>
        <v>110736.5224999999</v>
      </c>
      <c r="K18" s="132">
        <f>'BSB - CF (2)'!K82</f>
        <v>127333.90499999991</v>
      </c>
      <c r="L18" s="132">
        <f>'BSB - CF (2)'!L82</f>
        <v>208867.01999999996</v>
      </c>
      <c r="M18" s="136"/>
      <c r="N18" s="136"/>
      <c r="O18" s="136"/>
    </row>
    <row r="19" spans="2:15">
      <c r="B19" s="131" t="s">
        <v>204</v>
      </c>
      <c r="C19" s="132">
        <v>4024</v>
      </c>
      <c r="D19" s="132">
        <v>4249</v>
      </c>
      <c r="E19" s="132">
        <v>4358</v>
      </c>
      <c r="F19" s="132">
        <v>4739</v>
      </c>
      <c r="G19" s="132">
        <v>23019</v>
      </c>
      <c r="H19" s="132"/>
      <c r="I19" s="132">
        <f>G19</f>
        <v>23019</v>
      </c>
      <c r="J19" s="132">
        <f>I19</f>
        <v>23019</v>
      </c>
      <c r="K19" s="132">
        <f>J19</f>
        <v>23019</v>
      </c>
      <c r="L19" s="132">
        <f>K19</f>
        <v>23019</v>
      </c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>
        <v>-1</v>
      </c>
      <c r="D21" s="132"/>
      <c r="E21" s="132">
        <v>1</v>
      </c>
      <c r="F21" s="132"/>
      <c r="G21" s="132">
        <v>1</v>
      </c>
      <c r="H21" s="132"/>
      <c r="I21" s="132">
        <f>G21</f>
        <v>1</v>
      </c>
      <c r="J21" s="132">
        <f>I21</f>
        <v>1</v>
      </c>
      <c r="K21" s="132">
        <f>J21</f>
        <v>1</v>
      </c>
      <c r="L21" s="132">
        <f>K21</f>
        <v>1</v>
      </c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1052939</v>
      </c>
      <c r="D23" s="140">
        <f t="shared" ref="D23:L23" si="3">+D6+D8+D13+D21</f>
        <v>901970</v>
      </c>
      <c r="E23" s="140">
        <f t="shared" si="3"/>
        <v>1360859</v>
      </c>
      <c r="F23" s="140">
        <f t="shared" si="3"/>
        <v>1484911</v>
      </c>
      <c r="G23" s="140">
        <f t="shared" si="3"/>
        <v>1894384</v>
      </c>
      <c r="H23" s="271"/>
      <c r="I23" s="140">
        <f t="shared" ref="I23" si="4">+I6+I8+I13+I21</f>
        <v>1803713.9424999999</v>
      </c>
      <c r="J23" s="140">
        <f t="shared" si="3"/>
        <v>1802413.5225</v>
      </c>
      <c r="K23" s="140">
        <f t="shared" si="3"/>
        <v>1870010.9049999998</v>
      </c>
      <c r="L23" s="140">
        <f t="shared" si="3"/>
        <v>1982544.02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5">SUM(C26:C31)</f>
        <v>164652</v>
      </c>
      <c r="D25" s="128">
        <f t="shared" si="5"/>
        <v>186905</v>
      </c>
      <c r="E25" s="128">
        <f t="shared" si="5"/>
        <v>266705</v>
      </c>
      <c r="F25" s="128">
        <f t="shared" ref="F25:L25" si="6">SUM(F26:F31)</f>
        <v>357751</v>
      </c>
      <c r="G25" s="128">
        <f t="shared" si="6"/>
        <v>496655</v>
      </c>
      <c r="H25" s="128"/>
      <c r="I25" s="128">
        <f t="shared" ref="I25" si="7">SUM(I26:I31)</f>
        <v>517083.94249999995</v>
      </c>
      <c r="J25" s="128">
        <f t="shared" si="6"/>
        <v>561401.52249999996</v>
      </c>
      <c r="K25" s="128">
        <f t="shared" si="6"/>
        <v>647998.90499999991</v>
      </c>
      <c r="L25" s="128">
        <f t="shared" si="6"/>
        <v>779532.02</v>
      </c>
    </row>
    <row r="26" spans="2:15">
      <c r="B26" s="131" t="s">
        <v>206</v>
      </c>
      <c r="C26" s="132">
        <v>10000</v>
      </c>
      <c r="D26" s="132">
        <v>10000</v>
      </c>
      <c r="E26" s="132">
        <v>10000</v>
      </c>
      <c r="F26" s="132">
        <v>10000</v>
      </c>
      <c r="G26" s="132">
        <f>F26</f>
        <v>10000</v>
      </c>
      <c r="H26" s="132"/>
      <c r="I26" s="132">
        <f>G26</f>
        <v>10000</v>
      </c>
      <c r="J26" s="132">
        <f>I26</f>
        <v>10000</v>
      </c>
      <c r="K26" s="132">
        <f>J26</f>
        <v>10000</v>
      </c>
      <c r="L26" s="132">
        <f>K26</f>
        <v>10000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>
        <f>1000+57770</f>
        <v>58770</v>
      </c>
      <c r="D28" s="132">
        <f>1000+89776</f>
        <v>90776</v>
      </c>
      <c r="E28" s="132">
        <f>1000+116791</f>
        <v>117791</v>
      </c>
      <c r="F28" s="132">
        <f>1000+201352</f>
        <v>202352</v>
      </c>
      <c r="G28" s="132">
        <f>F28+F29</f>
        <v>280147</v>
      </c>
      <c r="H28" s="132"/>
      <c r="I28" s="132">
        <f>G28+G29</f>
        <v>371545</v>
      </c>
      <c r="J28" s="132">
        <f>I28+I29</f>
        <v>402543.94249999995</v>
      </c>
      <c r="K28" s="132">
        <f>J28+J29</f>
        <v>457431.5224999999</v>
      </c>
      <c r="L28" s="132">
        <f>K28+K29</f>
        <v>554598.90499999991</v>
      </c>
      <c r="N28" s="134"/>
      <c r="O28" s="134"/>
    </row>
    <row r="29" spans="2:15">
      <c r="B29" s="131" t="s">
        <v>32</v>
      </c>
      <c r="C29" s="132">
        <f>'BSB - P&amp;L'!C238</f>
        <v>32006</v>
      </c>
      <c r="D29" s="132">
        <f>'BSB - P&amp;L'!D238</f>
        <v>27015</v>
      </c>
      <c r="E29" s="132">
        <f>'BSB - P&amp;L'!E238</f>
        <v>84561</v>
      </c>
      <c r="F29" s="132">
        <f>'BSB - P&amp;L'!F238</f>
        <v>77795</v>
      </c>
      <c r="G29" s="132">
        <f>'BSB - P&amp;L'!G238</f>
        <v>91398</v>
      </c>
      <c r="H29" s="132"/>
      <c r="I29" s="132">
        <f>'BSB - P&amp;L (2)'!I238</f>
        <v>30998.942499999939</v>
      </c>
      <c r="J29" s="132">
        <f>'BSB - P&amp;L (2)'!J238</f>
        <v>54887.579999999958</v>
      </c>
      <c r="K29" s="132">
        <f>'BSB - P&amp;L (2)'!K238</f>
        <v>97167.382500000007</v>
      </c>
      <c r="L29" s="132">
        <f>'BSB - P&amp;L (2)'!L238</f>
        <v>142103.11500000005</v>
      </c>
      <c r="N29" s="134"/>
    </row>
    <row r="30" spans="2:15">
      <c r="B30" s="131" t="s">
        <v>208</v>
      </c>
      <c r="C30" s="132">
        <v>63876</v>
      </c>
      <c r="D30" s="132">
        <v>59114</v>
      </c>
      <c r="E30" s="132">
        <v>54353</v>
      </c>
      <c r="F30" s="132">
        <v>67604</v>
      </c>
      <c r="G30" s="132">
        <v>115110</v>
      </c>
      <c r="H30" s="132"/>
      <c r="I30" s="132">
        <f>G30-'BSB - P&amp;L (2)'!I222</f>
        <v>104540</v>
      </c>
      <c r="J30" s="132">
        <f>I30-'BSB - P&amp;L (2)'!J222</f>
        <v>93970</v>
      </c>
      <c r="K30" s="132">
        <f>J30-'BSB - P&amp;L (2)'!K222</f>
        <v>83400</v>
      </c>
      <c r="L30" s="132">
        <f>K30-'BSB - P&amp;L (2)'!L222</f>
        <v>72830</v>
      </c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8">SUM(C34:C36)</f>
        <v>0</v>
      </c>
      <c r="D33" s="128">
        <f t="shared" si="8"/>
        <v>0</v>
      </c>
      <c r="E33" s="128">
        <f t="shared" si="8"/>
        <v>0</v>
      </c>
      <c r="F33" s="128">
        <f t="shared" si="8"/>
        <v>0</v>
      </c>
      <c r="G33" s="128">
        <f t="shared" si="8"/>
        <v>0</v>
      </c>
      <c r="H33" s="128"/>
      <c r="I33" s="128">
        <f t="shared" si="8"/>
        <v>0</v>
      </c>
      <c r="J33" s="128">
        <f t="shared" si="8"/>
        <v>0</v>
      </c>
      <c r="K33" s="128">
        <f t="shared" si="8"/>
        <v>0</v>
      </c>
      <c r="L33" s="128">
        <f t="shared" si="8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L37" si="9">+C38+C51</f>
        <v>699507</v>
      </c>
      <c r="D37" s="185">
        <f t="shared" si="9"/>
        <v>558904</v>
      </c>
      <c r="E37" s="185">
        <f t="shared" si="9"/>
        <v>524914</v>
      </c>
      <c r="F37" s="185">
        <f t="shared" si="9"/>
        <v>811911</v>
      </c>
      <c r="G37" s="185">
        <f t="shared" si="9"/>
        <v>939996</v>
      </c>
      <c r="H37" s="185"/>
      <c r="I37" s="185">
        <f t="shared" si="9"/>
        <v>832996</v>
      </c>
      <c r="J37" s="185">
        <f t="shared" si="9"/>
        <v>747378</v>
      </c>
      <c r="K37" s="185">
        <f t="shared" si="9"/>
        <v>708378</v>
      </c>
      <c r="L37" s="185">
        <f t="shared" si="9"/>
        <v>669378</v>
      </c>
      <c r="M37" s="190"/>
      <c r="N37" s="190"/>
      <c r="O37" s="190"/>
    </row>
    <row r="38" spans="2:17">
      <c r="B38" s="131" t="s">
        <v>213</v>
      </c>
      <c r="C38" s="132">
        <f>SUM(C39:C50)</f>
        <v>495553</v>
      </c>
      <c r="D38" s="132">
        <f>SUM(D39:D50)</f>
        <v>416681</v>
      </c>
      <c r="E38" s="132">
        <f>SUM(E39:E50)</f>
        <v>359470</v>
      </c>
      <c r="F38" s="132">
        <f>SUM(F39:F50)</f>
        <v>268248</v>
      </c>
      <c r="G38" s="132">
        <f>SUM(G39:G50)</f>
        <v>352560</v>
      </c>
      <c r="H38" s="132"/>
      <c r="I38" s="132">
        <f t="shared" ref="I38:L38" si="10">SUM(I39:I50)</f>
        <v>245560</v>
      </c>
      <c r="J38" s="132">
        <f t="shared" si="10"/>
        <v>159942</v>
      </c>
      <c r="K38" s="132">
        <f t="shared" si="10"/>
        <v>120942</v>
      </c>
      <c r="L38" s="132">
        <f t="shared" si="10"/>
        <v>81942</v>
      </c>
      <c r="M38" s="189"/>
      <c r="N38" s="189"/>
      <c r="O38" s="189"/>
      <c r="Q38" s="134"/>
    </row>
    <row r="39" spans="2:17" s="192" customFormat="1" ht="12.75" hidden="1" outlineLevel="1">
      <c r="B39" s="147" t="s">
        <v>864</v>
      </c>
      <c r="C39" s="133">
        <v>53187</v>
      </c>
      <c r="D39" s="133">
        <v>33876</v>
      </c>
      <c r="E39" s="133">
        <v>20856</v>
      </c>
      <c r="F39" s="133">
        <v>7718</v>
      </c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865</v>
      </c>
      <c r="C40" s="133">
        <v>3541</v>
      </c>
      <c r="D40" s="133"/>
      <c r="E40" s="133"/>
      <c r="F40" s="133"/>
      <c r="G40" s="133"/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s="192" customFormat="1" ht="12.75" hidden="1" outlineLevel="1">
      <c r="B41" s="147" t="s">
        <v>864</v>
      </c>
      <c r="C41" s="133">
        <v>4866</v>
      </c>
      <c r="D41" s="133">
        <v>1070</v>
      </c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s="192" customFormat="1" ht="12.75" hidden="1" outlineLevel="1">
      <c r="B42" s="147" t="s">
        <v>866</v>
      </c>
      <c r="C42" s="133">
        <v>102065</v>
      </c>
      <c r="D42" s="133">
        <v>78266</v>
      </c>
      <c r="E42" s="133">
        <v>61228</v>
      </c>
      <c r="F42" s="133">
        <v>43989</v>
      </c>
      <c r="G42" s="133">
        <v>26547</v>
      </c>
      <c r="H42" s="133"/>
      <c r="I42" s="133">
        <f>G42-17000</f>
        <v>9547</v>
      </c>
      <c r="J42" s="133">
        <v>0</v>
      </c>
      <c r="K42" s="133">
        <f>J42</f>
        <v>0</v>
      </c>
      <c r="L42" s="133">
        <f>K42</f>
        <v>0</v>
      </c>
      <c r="M42" s="216"/>
      <c r="N42" s="216"/>
      <c r="O42" s="216"/>
      <c r="Q42" s="217"/>
    </row>
    <row r="43" spans="2:17" s="192" customFormat="1" ht="12.75" hidden="1" outlineLevel="1">
      <c r="B43" s="147" t="s">
        <v>867</v>
      </c>
      <c r="C43" s="133">
        <v>101597</v>
      </c>
      <c r="D43" s="133">
        <v>93127</v>
      </c>
      <c r="E43" s="133">
        <v>84559</v>
      </c>
      <c r="F43" s="133">
        <v>75901</v>
      </c>
      <c r="G43" s="133">
        <v>67150</v>
      </c>
      <c r="H43" s="133"/>
      <c r="I43" s="133">
        <f>G43-9000</f>
        <v>58150</v>
      </c>
      <c r="J43" s="133">
        <f>I43-9000</f>
        <v>49150</v>
      </c>
      <c r="K43" s="133">
        <f>J43-9000</f>
        <v>40150</v>
      </c>
      <c r="L43" s="133">
        <f>K43-9000</f>
        <v>31150</v>
      </c>
      <c r="M43" s="216"/>
      <c r="N43" s="216"/>
      <c r="O43" s="216"/>
      <c r="Q43" s="217"/>
    </row>
    <row r="44" spans="2:17" s="192" customFormat="1" ht="12.75" hidden="1" outlineLevel="1">
      <c r="B44" s="147" t="s">
        <v>868</v>
      </c>
      <c r="C44" s="133">
        <v>20000</v>
      </c>
      <c r="D44" s="133"/>
      <c r="E44" s="133"/>
      <c r="F44" s="133"/>
      <c r="G44" s="133"/>
      <c r="H44" s="133"/>
      <c r="I44" s="133"/>
      <c r="J44" s="133"/>
      <c r="K44" s="133"/>
      <c r="L44" s="133"/>
      <c r="M44" s="216"/>
      <c r="N44" s="216"/>
      <c r="O44" s="216"/>
      <c r="Q44" s="217"/>
    </row>
    <row r="45" spans="2:17" s="192" customFormat="1" ht="12.75" hidden="1" outlineLevel="1">
      <c r="B45" s="147" t="s">
        <v>869</v>
      </c>
      <c r="C45" s="133">
        <v>120000</v>
      </c>
      <c r="D45" s="133">
        <v>120000</v>
      </c>
      <c r="E45" s="133">
        <v>110101</v>
      </c>
      <c r="F45" s="133">
        <v>80293</v>
      </c>
      <c r="G45" s="133">
        <v>50321</v>
      </c>
      <c r="H45" s="133"/>
      <c r="I45" s="133">
        <f>G45-29000</f>
        <v>21321</v>
      </c>
      <c r="J45" s="133">
        <v>0</v>
      </c>
      <c r="K45" s="133">
        <f>J45</f>
        <v>0</v>
      </c>
      <c r="L45" s="133">
        <f>K45</f>
        <v>0</v>
      </c>
      <c r="M45" s="216"/>
      <c r="N45" s="216"/>
      <c r="O45" s="216"/>
      <c r="Q45" s="217"/>
    </row>
    <row r="46" spans="2:17" s="192" customFormat="1" ht="12.75" hidden="1" outlineLevel="1">
      <c r="B46" s="147" t="s">
        <v>870</v>
      </c>
      <c r="C46" s="133">
        <v>90000</v>
      </c>
      <c r="D46" s="133">
        <v>90000</v>
      </c>
      <c r="E46" s="133">
        <v>82578</v>
      </c>
      <c r="F46" s="133">
        <v>60228</v>
      </c>
      <c r="G46" s="133">
        <v>37750</v>
      </c>
      <c r="H46" s="133"/>
      <c r="I46" s="133">
        <f>G46-22000</f>
        <v>15750</v>
      </c>
      <c r="J46" s="133">
        <v>0</v>
      </c>
      <c r="K46" s="133">
        <f t="shared" ref="J46:K49" si="11">J46</f>
        <v>0</v>
      </c>
      <c r="L46" s="133">
        <f t="shared" ref="L46" si="12">K46</f>
        <v>0</v>
      </c>
      <c r="M46" s="216"/>
      <c r="N46" s="216"/>
      <c r="O46" s="216"/>
      <c r="Q46" s="217"/>
    </row>
    <row r="47" spans="2:17" s="192" customFormat="1" ht="12.75" hidden="1" outlineLevel="1">
      <c r="B47" s="147" t="s">
        <v>871</v>
      </c>
      <c r="C47" s="133"/>
      <c r="D47" s="133"/>
      <c r="E47" s="133"/>
      <c r="F47" s="133"/>
      <c r="G47" s="133">
        <v>80391</v>
      </c>
      <c r="H47" s="133"/>
      <c r="I47" s="133">
        <f>G47-15000</f>
        <v>65391</v>
      </c>
      <c r="J47" s="133">
        <f t="shared" ref="J47:L48" si="13">I47-15000</f>
        <v>50391</v>
      </c>
      <c r="K47" s="133">
        <f t="shared" si="13"/>
        <v>35391</v>
      </c>
      <c r="L47" s="133">
        <f t="shared" si="13"/>
        <v>20391</v>
      </c>
      <c r="M47" s="216"/>
      <c r="N47" s="216"/>
      <c r="O47" s="216"/>
      <c r="Q47" s="217"/>
    </row>
    <row r="48" spans="2:17" s="192" customFormat="1" ht="12.75" hidden="1" outlineLevel="1">
      <c r="B48" s="147" t="s">
        <v>872</v>
      </c>
      <c r="C48" s="133"/>
      <c r="D48" s="133"/>
      <c r="E48" s="133"/>
      <c r="F48" s="133"/>
      <c r="G48" s="133">
        <v>89955</v>
      </c>
      <c r="H48" s="133"/>
      <c r="I48" s="133">
        <f>G48-15000</f>
        <v>74955</v>
      </c>
      <c r="J48" s="133">
        <f t="shared" si="13"/>
        <v>59955</v>
      </c>
      <c r="K48" s="133">
        <f t="shared" si="13"/>
        <v>44955</v>
      </c>
      <c r="L48" s="133">
        <f t="shared" si="13"/>
        <v>29955</v>
      </c>
      <c r="M48" s="216"/>
      <c r="N48" s="216"/>
      <c r="O48" s="216"/>
      <c r="Q48" s="217"/>
    </row>
    <row r="49" spans="2:17" s="192" customFormat="1" ht="12.75" hidden="1" outlineLevel="1">
      <c r="B49" s="147" t="s">
        <v>661</v>
      </c>
      <c r="C49" s="133">
        <v>297</v>
      </c>
      <c r="D49" s="133">
        <v>342</v>
      </c>
      <c r="E49" s="133">
        <v>148</v>
      </c>
      <c r="F49" s="133">
        <v>119</v>
      </c>
      <c r="G49" s="133">
        <v>446</v>
      </c>
      <c r="H49" s="133"/>
      <c r="I49" s="133">
        <f t="shared" ref="I49" si="14">G49</f>
        <v>446</v>
      </c>
      <c r="J49" s="133">
        <f t="shared" si="11"/>
        <v>446</v>
      </c>
      <c r="K49" s="133">
        <f t="shared" si="11"/>
        <v>446</v>
      </c>
      <c r="L49" s="133">
        <f t="shared" ref="L49" si="15">K49</f>
        <v>446</v>
      </c>
      <c r="M49" s="216"/>
      <c r="N49" s="216"/>
      <c r="O49" s="216"/>
      <c r="Q49" s="217"/>
    </row>
    <row r="50" spans="2:17" hidden="1" outlineLevel="1">
      <c r="B50" s="131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89"/>
      <c r="N50" s="189"/>
      <c r="O50" s="189"/>
      <c r="Q50" s="134"/>
    </row>
    <row r="51" spans="2:17" collapsed="1">
      <c r="B51" s="131" t="s">
        <v>214</v>
      </c>
      <c r="C51" s="132">
        <f>SUM(C52:C54)</f>
        <v>203954</v>
      </c>
      <c r="D51" s="132">
        <f t="shared" ref="D51:G51" si="16">SUM(D52:D54)</f>
        <v>142223</v>
      </c>
      <c r="E51" s="132">
        <f t="shared" si="16"/>
        <v>165444</v>
      </c>
      <c r="F51" s="132">
        <f t="shared" si="16"/>
        <v>543663</v>
      </c>
      <c r="G51" s="132">
        <f t="shared" si="16"/>
        <v>587436</v>
      </c>
      <c r="H51" s="132"/>
      <c r="I51" s="132">
        <f>SUM(I52:I54)</f>
        <v>587436</v>
      </c>
      <c r="J51" s="132">
        <f t="shared" ref="J51:L51" si="17">SUM(J52:J54)</f>
        <v>587436</v>
      </c>
      <c r="K51" s="132">
        <f t="shared" si="17"/>
        <v>587436</v>
      </c>
      <c r="L51" s="132">
        <f t="shared" si="17"/>
        <v>587436</v>
      </c>
      <c r="M51" s="189"/>
      <c r="N51" s="189"/>
      <c r="O51" s="189"/>
    </row>
    <row r="52" spans="2:17" s="192" customFormat="1" ht="12.75" hidden="1" outlineLevel="1">
      <c r="B52" s="147" t="s">
        <v>444</v>
      </c>
      <c r="C52" s="133">
        <v>202290</v>
      </c>
      <c r="D52" s="133">
        <v>139537</v>
      </c>
      <c r="E52" s="133">
        <v>163439</v>
      </c>
      <c r="F52" s="133">
        <v>529990</v>
      </c>
      <c r="G52" s="133">
        <v>574480</v>
      </c>
      <c r="H52" s="133"/>
      <c r="I52" s="133">
        <f>G52</f>
        <v>574480</v>
      </c>
      <c r="J52" s="133">
        <f>I52</f>
        <v>574480</v>
      </c>
      <c r="K52" s="133">
        <f t="shared" ref="K52:L52" si="18">J52</f>
        <v>574480</v>
      </c>
      <c r="L52" s="133">
        <f t="shared" si="18"/>
        <v>574480</v>
      </c>
      <c r="M52" s="216"/>
      <c r="N52" s="216"/>
      <c r="O52" s="216"/>
      <c r="Q52" s="217"/>
    </row>
    <row r="53" spans="2:17" s="192" customFormat="1" ht="12.75" hidden="1" outlineLevel="1">
      <c r="B53" s="147" t="s">
        <v>445</v>
      </c>
      <c r="C53" s="133">
        <v>1664</v>
      </c>
      <c r="D53" s="133">
        <v>2686</v>
      </c>
      <c r="E53" s="133">
        <v>2005</v>
      </c>
      <c r="F53" s="133">
        <v>13673</v>
      </c>
      <c r="G53" s="133">
        <v>12956</v>
      </c>
      <c r="H53" s="133"/>
      <c r="I53" s="133">
        <f>G53</f>
        <v>12956</v>
      </c>
      <c r="J53" s="133">
        <f>I53</f>
        <v>12956</v>
      </c>
      <c r="K53" s="133">
        <f t="shared" ref="K53:L53" si="19">J53</f>
        <v>12956</v>
      </c>
      <c r="L53" s="133">
        <f t="shared" si="19"/>
        <v>12956</v>
      </c>
      <c r="M53" s="216"/>
      <c r="N53" s="216"/>
      <c r="O53" s="216"/>
      <c r="Q53" s="217"/>
    </row>
    <row r="54" spans="2:17" collapsed="1">
      <c r="B54" s="147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211"/>
    </row>
    <row r="55" spans="2:17">
      <c r="B55" s="130" t="s">
        <v>215</v>
      </c>
      <c r="C55" s="128">
        <f t="shared" ref="C55:L55" si="20">SUM(C56:C62)</f>
        <v>188780</v>
      </c>
      <c r="D55" s="128">
        <f t="shared" si="20"/>
        <v>156165</v>
      </c>
      <c r="E55" s="128">
        <f t="shared" si="20"/>
        <v>569240</v>
      </c>
      <c r="F55" s="128">
        <f t="shared" si="20"/>
        <v>315251</v>
      </c>
      <c r="G55" s="128">
        <f t="shared" si="20"/>
        <v>457730</v>
      </c>
      <c r="H55" s="128"/>
      <c r="I55" s="128">
        <f t="shared" si="20"/>
        <v>453631</v>
      </c>
      <c r="J55" s="128">
        <f t="shared" si="20"/>
        <v>493631</v>
      </c>
      <c r="K55" s="128">
        <f t="shared" si="20"/>
        <v>513631</v>
      </c>
      <c r="L55" s="128">
        <f t="shared" si="20"/>
        <v>533631</v>
      </c>
      <c r="M55" s="187"/>
      <c r="N55" s="187"/>
      <c r="O55" s="187"/>
    </row>
    <row r="56" spans="2:17">
      <c r="B56" s="131" t="s">
        <v>216</v>
      </c>
      <c r="C56" s="132"/>
      <c r="D56" s="132"/>
      <c r="E56" s="132"/>
      <c r="F56" s="132"/>
      <c r="G56" s="132">
        <v>514</v>
      </c>
      <c r="H56" s="132"/>
      <c r="I56" s="132">
        <f>G56</f>
        <v>514</v>
      </c>
      <c r="J56" s="132">
        <f>I56</f>
        <v>514</v>
      </c>
      <c r="K56" s="132">
        <f>J56</f>
        <v>514</v>
      </c>
      <c r="L56" s="132">
        <f>K56</f>
        <v>514</v>
      </c>
      <c r="M56" s="134"/>
      <c r="N56" s="134"/>
      <c r="O56" s="134"/>
    </row>
    <row r="57" spans="2:17">
      <c r="B57" s="131" t="s">
        <v>44</v>
      </c>
      <c r="C57" s="132">
        <v>163013</v>
      </c>
      <c r="D57" s="132">
        <v>138366</v>
      </c>
      <c r="E57" s="132">
        <v>521030</v>
      </c>
      <c r="F57" s="132">
        <v>278536</v>
      </c>
      <c r="G57" s="132">
        <v>414099</v>
      </c>
      <c r="H57" s="132"/>
      <c r="I57" s="132">
        <v>410000</v>
      </c>
      <c r="J57" s="132">
        <v>450000</v>
      </c>
      <c r="K57" s="132">
        <v>470000</v>
      </c>
      <c r="L57" s="132">
        <v>490000</v>
      </c>
      <c r="M57" s="134"/>
      <c r="N57" s="134"/>
      <c r="O57" s="134"/>
    </row>
    <row r="58" spans="2:17">
      <c r="B58" s="131" t="s">
        <v>217</v>
      </c>
      <c r="C58" s="132">
        <v>25748</v>
      </c>
      <c r="D58" s="132">
        <v>17798</v>
      </c>
      <c r="E58" s="132">
        <v>48206</v>
      </c>
      <c r="F58" s="132">
        <v>36709</v>
      </c>
      <c r="G58" s="132">
        <v>43117</v>
      </c>
      <c r="H58" s="132"/>
      <c r="I58" s="132">
        <f>G58</f>
        <v>43117</v>
      </c>
      <c r="J58" s="132">
        <f>I58</f>
        <v>43117</v>
      </c>
      <c r="K58" s="132">
        <f>J58</f>
        <v>43117</v>
      </c>
      <c r="L58" s="132">
        <f>K58</f>
        <v>43117</v>
      </c>
      <c r="M58" s="134"/>
      <c r="N58" s="134"/>
      <c r="O58" s="134"/>
    </row>
    <row r="59" spans="2:17">
      <c r="B59" s="131" t="s">
        <v>222</v>
      </c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4"/>
      <c r="N59" s="134"/>
      <c r="O59" s="134"/>
    </row>
    <row r="60" spans="2:17">
      <c r="B60" s="131" t="s">
        <v>218</v>
      </c>
      <c r="C60" s="132">
        <v>19</v>
      </c>
      <c r="D60" s="132">
        <v>1</v>
      </c>
      <c r="E60" s="132">
        <v>4</v>
      </c>
      <c r="F60" s="132">
        <v>6</v>
      </c>
      <c r="G60" s="132"/>
      <c r="H60" s="132"/>
      <c r="I60" s="132">
        <f>G60</f>
        <v>0</v>
      </c>
      <c r="J60" s="132">
        <f>I60</f>
        <v>0</v>
      </c>
      <c r="K60" s="132">
        <f>J60</f>
        <v>0</v>
      </c>
      <c r="L60" s="132">
        <f>K60</f>
        <v>0</v>
      </c>
      <c r="M60" s="134"/>
      <c r="N60" s="134"/>
      <c r="O60" s="134"/>
    </row>
    <row r="61" spans="2:17">
      <c r="B61" s="131" t="s">
        <v>219</v>
      </c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4"/>
      <c r="N61" s="134"/>
      <c r="O61" s="134"/>
    </row>
    <row r="62" spans="2:17">
      <c r="B62" s="131"/>
      <c r="C62" s="135"/>
      <c r="D62" s="135"/>
      <c r="E62" s="135"/>
      <c r="F62" s="135"/>
      <c r="G62" s="135"/>
      <c r="H62" s="135"/>
      <c r="I62" s="135"/>
      <c r="J62" s="135"/>
      <c r="K62" s="135"/>
      <c r="L62" s="135"/>
    </row>
    <row r="63" spans="2:17">
      <c r="B63" s="130" t="s">
        <v>188</v>
      </c>
      <c r="C63" s="132"/>
      <c r="D63" s="135">
        <v>-4</v>
      </c>
      <c r="E63" s="132"/>
      <c r="F63" s="132">
        <v>-2</v>
      </c>
      <c r="G63" s="132">
        <v>3</v>
      </c>
      <c r="H63" s="132"/>
      <c r="I63" s="132">
        <f>G63</f>
        <v>3</v>
      </c>
      <c r="J63" s="132">
        <f>I63</f>
        <v>3</v>
      </c>
      <c r="K63" s="132">
        <f>J63</f>
        <v>3</v>
      </c>
      <c r="L63" s="132">
        <f>K63</f>
        <v>3</v>
      </c>
    </row>
    <row r="64" spans="2:17">
      <c r="B64" s="130"/>
      <c r="C64" s="135"/>
      <c r="D64" s="135"/>
      <c r="E64" s="135"/>
      <c r="F64" s="135"/>
      <c r="G64" s="135"/>
      <c r="H64" s="135"/>
      <c r="I64" s="135"/>
      <c r="J64" s="135"/>
      <c r="K64" s="135"/>
      <c r="L64" s="135"/>
    </row>
    <row r="65" spans="1:42">
      <c r="B65" s="139" t="s">
        <v>220</v>
      </c>
      <c r="C65" s="140">
        <f t="shared" ref="C65:L65" si="21">+C25+C33+C37+C55+C63</f>
        <v>1052939</v>
      </c>
      <c r="D65" s="140">
        <f t="shared" si="21"/>
        <v>901970</v>
      </c>
      <c r="E65" s="140">
        <f t="shared" si="21"/>
        <v>1360859</v>
      </c>
      <c r="F65" s="140">
        <f t="shared" si="21"/>
        <v>1484911</v>
      </c>
      <c r="G65" s="140">
        <f t="shared" si="21"/>
        <v>1894384</v>
      </c>
      <c r="H65" s="271"/>
      <c r="I65" s="140">
        <f t="shared" ref="I65" si="22">+I25+I33+I37+I55+I63</f>
        <v>1803713.9424999999</v>
      </c>
      <c r="J65" s="140">
        <f t="shared" si="21"/>
        <v>1802413.5225</v>
      </c>
      <c r="K65" s="140">
        <f t="shared" si="21"/>
        <v>1870010.9049999998</v>
      </c>
      <c r="L65" s="140">
        <f t="shared" si="21"/>
        <v>1982544.02</v>
      </c>
    </row>
    <row r="66" spans="1:42">
      <c r="B66" s="141"/>
      <c r="C66" s="135"/>
      <c r="D66" s="135"/>
      <c r="E66" s="135"/>
      <c r="F66" s="135"/>
      <c r="G66" s="135"/>
      <c r="H66" s="135"/>
      <c r="I66" s="135"/>
      <c r="J66" s="135"/>
      <c r="K66" s="135"/>
      <c r="L66" s="135"/>
    </row>
    <row r="67" spans="1:42">
      <c r="B67" s="143" t="s">
        <v>221</v>
      </c>
      <c r="C67" s="144" t="str">
        <f t="shared" ref="C67:L67" si="23">IF(ABS(C65-C23)&lt;2,"Equilibré","Erreur")</f>
        <v>Equilibré</v>
      </c>
      <c r="D67" s="144" t="str">
        <f t="shared" si="23"/>
        <v>Equilibré</v>
      </c>
      <c r="E67" s="144" t="str">
        <f t="shared" si="23"/>
        <v>Equilibré</v>
      </c>
      <c r="F67" s="144" t="str">
        <f t="shared" si="23"/>
        <v>Equilibré</v>
      </c>
      <c r="G67" s="144" t="str">
        <f t="shared" si="23"/>
        <v>Equilibré</v>
      </c>
      <c r="H67" s="252"/>
      <c r="I67" s="144" t="str">
        <f t="shared" ref="I67" si="24">IF(ABS(I65-I23)&lt;2,"Equilibré","Erreur")</f>
        <v>Equilibré</v>
      </c>
      <c r="J67" s="144" t="str">
        <f t="shared" si="23"/>
        <v>Equilibré</v>
      </c>
      <c r="K67" s="144" t="str">
        <f t="shared" si="23"/>
        <v>Equilibré</v>
      </c>
      <c r="L67" s="144" t="str">
        <f t="shared" si="23"/>
        <v>Equilibré</v>
      </c>
    </row>
    <row r="68" spans="1:42">
      <c r="I68" s="146"/>
      <c r="J68" s="146"/>
      <c r="K68" s="146"/>
      <c r="L68" s="146"/>
    </row>
    <row r="69" spans="1:42" s="32" customFormat="1">
      <c r="A69" s="83"/>
      <c r="B69" s="13" t="s">
        <v>68</v>
      </c>
      <c r="C69" s="14"/>
      <c r="D69" s="14"/>
      <c r="E69" s="14"/>
      <c r="F69" s="14"/>
      <c r="G69" s="14"/>
      <c r="H69" s="52"/>
      <c r="I69" s="14"/>
      <c r="J69" s="14"/>
      <c r="K69" s="14"/>
      <c r="L69" s="14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</row>
    <row r="70" spans="1:42" s="32" customFormat="1">
      <c r="A70" s="83"/>
      <c r="B70" s="15" t="s">
        <v>42</v>
      </c>
      <c r="C70" s="23">
        <f>C14/('BSB - P&amp;L'!C52/365)</f>
        <v>114.8882420636378</v>
      </c>
      <c r="D70" s="23">
        <f>D14/('BSB - P&amp;L'!D52/365)</f>
        <v>136.20513056900998</v>
      </c>
      <c r="E70" s="23">
        <f>E14/('BSB - P&amp;L'!E52/365)</f>
        <v>119.21567008202322</v>
      </c>
      <c r="F70" s="23">
        <f>F14/('BSB - P&amp;L'!F52/365)</f>
        <v>118.45513868047492</v>
      </c>
      <c r="G70" s="23">
        <f>G14/('BSB - P&amp;L'!G52/365)</f>
        <v>106.99514192093037</v>
      </c>
      <c r="H70" s="272"/>
      <c r="I70" s="23">
        <f>I14/('BSB - P&amp;L (2)'!I52/365)</f>
        <v>107.75032437275732</v>
      </c>
      <c r="J70" s="23">
        <f>J14/('BSB - P&amp;L (2)'!J52/365)</f>
        <v>109.70943531201063</v>
      </c>
      <c r="K70" s="23">
        <f>K14/('BSB - P&amp;L (2)'!K52/365)</f>
        <v>111.94840109057168</v>
      </c>
      <c r="L70" s="23">
        <f>L14/('BSB - P&amp;L (2)'!L52/365)</f>
        <v>112.30379940091657</v>
      </c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</row>
    <row r="71" spans="1:42" s="32" customFormat="1">
      <c r="A71" s="83"/>
      <c r="B71" s="15" t="s">
        <v>69</v>
      </c>
      <c r="C71" s="23">
        <f>C16/('BSB - P&amp;L'!C52/365)</f>
        <v>70.470323575862196</v>
      </c>
      <c r="D71" s="23">
        <f>D16/('BSB - P&amp;L'!D52/365)</f>
        <v>57.561531842669481</v>
      </c>
      <c r="E71" s="23">
        <f>E16/('BSB - P&amp;L'!E52/365)</f>
        <v>60.18314121705199</v>
      </c>
      <c r="F71" s="23">
        <f>F16/('BSB - P&amp;L'!F52/365)</f>
        <v>47.369247796171216</v>
      </c>
      <c r="G71" s="23">
        <f>G16/('BSB - P&amp;L'!G52/365)</f>
        <v>52.9017338128197</v>
      </c>
      <c r="H71" s="272"/>
      <c r="I71" s="23">
        <f>I16/('BSB - P&amp;L (2)'!I52/365)</f>
        <v>52.570779859651807</v>
      </c>
      <c r="J71" s="23">
        <f>J16/('BSB - P&amp;L (2)'!J52/365)</f>
        <v>50.152884714061997</v>
      </c>
      <c r="K71" s="23">
        <f>K16/('BSB - P&amp;L (2)'!K52/365)</f>
        <v>52.242587175600114</v>
      </c>
      <c r="L71" s="23">
        <f>L16/('BSB - P&amp;L (2)'!L52/365)</f>
        <v>52.597981997897641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</row>
    <row r="72" spans="1:42" s="32" customFormat="1">
      <c r="A72" s="83"/>
      <c r="B72" s="15" t="s">
        <v>70</v>
      </c>
      <c r="C72" s="23">
        <f>C57/('BSB - P&amp;L'!C52/365)</f>
        <v>72.84404573891112</v>
      </c>
      <c r="D72" s="23">
        <f>D57/('BSB - P&amp;L'!D52/365)</f>
        <v>59.692258050790358</v>
      </c>
      <c r="E72" s="23">
        <f>E57/('BSB - P&amp;L'!E52/365)</f>
        <v>112.98596943170733</v>
      </c>
      <c r="F72" s="23">
        <f>F57/('BSB - P&amp;L'!F52/365)</f>
        <v>53.888200114173465</v>
      </c>
      <c r="G72" s="23">
        <f>G57/('BSB - P&amp;L'!G52/365)</f>
        <v>71.840316495224613</v>
      </c>
      <c r="H72" s="272"/>
      <c r="I72" s="23">
        <f>I57/('BSB - P&amp;L (2)'!I52/365)</f>
        <v>70.684212788528797</v>
      </c>
      <c r="J72" s="23">
        <f>J57/('BSB - P&amp;L (2)'!J52/365)</f>
        <v>70.527494129149687</v>
      </c>
      <c r="K72" s="23">
        <f>K57/('BSB - P&amp;L (2)'!K52/365)</f>
        <v>70.154331350091581</v>
      </c>
      <c r="L72" s="23">
        <f>L57/('BSB - P&amp;L (2)'!L52/365)</f>
        <v>69.656786970188762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</row>
    <row r="73" spans="1:42" s="168" customFormat="1">
      <c r="B73" s="24" t="s">
        <v>71</v>
      </c>
      <c r="C73" s="310">
        <f>(C14+C16-C57)/('BSB - P&amp;L'!C52/365)</f>
        <v>112.51451990058887</v>
      </c>
      <c r="D73" s="310">
        <f>(D14+D16-D57)/('BSB - P&amp;L'!D52/365)</f>
        <v>134.0744043608891</v>
      </c>
      <c r="E73" s="310">
        <f>(E14+E16-E57)/('BSB - P&amp;L'!E52/365)</f>
        <v>66.412841867367888</v>
      </c>
      <c r="F73" s="310">
        <f>(F14+F16-F57)/('BSB - P&amp;L'!F52/365)</f>
        <v>111.93618636247267</v>
      </c>
      <c r="G73" s="310">
        <f>(G14+G16-G57)/('BSB - P&amp;L'!G52/365)</f>
        <v>88.056559238525452</v>
      </c>
      <c r="H73" s="280"/>
      <c r="I73" s="310">
        <f>(I14+I16-I57)/('BSB - P&amp;L (2)'!I52/365)</f>
        <v>89.63689144388033</v>
      </c>
      <c r="J73" s="310">
        <f>(J14+J16-J57)/('BSB - P&amp;L (2)'!J52/365)</f>
        <v>89.334825896922936</v>
      </c>
      <c r="K73" s="310">
        <f>(K14+K16-K57)/('BSB - P&amp;L (2)'!K52/365)</f>
        <v>94.036656916080204</v>
      </c>
      <c r="L73" s="310">
        <f>(L14+L16-L57)/('BSB - P&amp;L (2)'!L52/365)</f>
        <v>95.244994428625446</v>
      </c>
    </row>
    <row r="74" spans="1:42">
      <c r="B74" s="25" t="s">
        <v>50</v>
      </c>
      <c r="C74" s="26">
        <f>(SUM(C14:C17,C19)-SUM(C56:C61))/('BSB - P&amp;L'!C52/365)</f>
        <v>111.31425300865561</v>
      </c>
      <c r="D74" s="26">
        <f>(SUM(D14:D17,D19)-SUM(D56:D61))/('BSB - P&amp;L'!D52/365)</f>
        <v>132.87163767365666</v>
      </c>
      <c r="E74" s="26">
        <f>(SUM(E14:E17,E19)-SUM(E56:E61))/('BSB - P&amp;L'!E52/365)</f>
        <v>61.691991715690882</v>
      </c>
      <c r="F74" s="26">
        <f>(SUM(F14:F17,F19)-SUM(F56:F61))/('BSB - P&amp;L'!F52/365)</f>
        <v>110.09590517983912</v>
      </c>
      <c r="G74" s="26">
        <f>(SUM(G14:G17,G19)-SUM(G56:G61))/('BSB - P&amp;L'!G52/365)</f>
        <v>98.418868986338808</v>
      </c>
      <c r="H74" s="280"/>
      <c r="I74" s="26">
        <f>(SUM(I14:I17,I19)-SUM(I56:I61))/('BSB - P&amp;L (2)'!I52/365)</f>
        <v>99.934374443536001</v>
      </c>
      <c r="J74" s="26">
        <f>(SUM(J14:J17,J19)-SUM(J56:J61))/('BSB - P&amp;L (2)'!J52/365)</f>
        <v>98.696175284332071</v>
      </c>
      <c r="K74" s="26">
        <f>(SUM(K14:K17,K19)-SUM(K56:K61))/('BSB - P&amp;L (2)'!K52/365)</f>
        <v>102.95222757893333</v>
      </c>
      <c r="L74" s="26">
        <f>(SUM(L14:L17,L19)-SUM(L56:L61))/('BSB - P&amp;L (2)'!L52/365)</f>
        <v>103.73601460358336</v>
      </c>
    </row>
    <row r="75" spans="1:42">
      <c r="B75" s="25" t="s">
        <v>72</v>
      </c>
      <c r="C75" s="27">
        <f t="shared" ref="C75:G75" si="25">C23</f>
        <v>1052939</v>
      </c>
      <c r="D75" s="27">
        <f t="shared" si="25"/>
        <v>901970</v>
      </c>
      <c r="E75" s="27">
        <f t="shared" si="25"/>
        <v>1360859</v>
      </c>
      <c r="F75" s="27">
        <f t="shared" si="25"/>
        <v>1484911</v>
      </c>
      <c r="G75" s="27">
        <f t="shared" si="25"/>
        <v>1894384</v>
      </c>
      <c r="H75" s="281"/>
      <c r="I75" s="27">
        <f t="shared" ref="I75" si="26">I23</f>
        <v>1803713.9424999999</v>
      </c>
      <c r="J75" s="27">
        <f t="shared" ref="J75:L75" si="27">J23</f>
        <v>1802413.5225</v>
      </c>
      <c r="K75" s="27">
        <f t="shared" si="27"/>
        <v>1870010.9049999998</v>
      </c>
      <c r="L75" s="27">
        <f t="shared" si="27"/>
        <v>1982544.02</v>
      </c>
    </row>
    <row r="76" spans="1:42">
      <c r="B76" s="28" t="s">
        <v>73</v>
      </c>
      <c r="C76" s="29">
        <f t="shared" ref="C76:G76" si="28">(C37-C18)/C25</f>
        <v>2.6613281344897115</v>
      </c>
      <c r="D76" s="29">
        <f t="shared" si="28"/>
        <v>2.7858805275407295</v>
      </c>
      <c r="E76" s="29">
        <f t="shared" si="28"/>
        <v>1.6970735456778088</v>
      </c>
      <c r="F76" s="29">
        <f t="shared" si="28"/>
        <v>1.9301888743846978</v>
      </c>
      <c r="G76" s="29">
        <f t="shared" si="28"/>
        <v>1.4033081313990596</v>
      </c>
      <c r="H76" s="282"/>
      <c r="I76" s="29">
        <f t="shared" ref="I76" si="29">(I37-I18)/I25</f>
        <v>1.2761816859164994</v>
      </c>
      <c r="J76" s="29">
        <f t="shared" ref="J76:L76" si="30">(J37-J18)/J25</f>
        <v>1.1340216440186091</v>
      </c>
      <c r="K76" s="29">
        <f t="shared" si="30"/>
        <v>0.89667450132496773</v>
      </c>
      <c r="L76" s="29">
        <f t="shared" si="30"/>
        <v>0.5907531290375988</v>
      </c>
    </row>
    <row r="77" spans="1:42">
      <c r="B77" s="17" t="s">
        <v>74</v>
      </c>
      <c r="C77" s="30">
        <f>(C37-C18)/'BSB - P&amp;L'!C188</f>
        <v>6.4281334350428354</v>
      </c>
      <c r="D77" s="30">
        <f>(D37-D18)/'BSB - P&amp;L'!D188</f>
        <v>7.1429845258999123</v>
      </c>
      <c r="E77" s="30">
        <f>(E37-E18)/'BSB - P&amp;L'!E188</f>
        <v>3.2664905747524609</v>
      </c>
      <c r="F77" s="30">
        <f>(F37-F18)/'BSB - P&amp;L'!F188</f>
        <v>4.6015806694521633</v>
      </c>
      <c r="G77" s="30">
        <f>(G37-G18)/'BSB - P&amp;L'!G188</f>
        <v>4.085848785606669</v>
      </c>
      <c r="H77" s="282"/>
      <c r="I77" s="30">
        <f>(I37-I18)/'BSB - P&amp;L (2)'!I188</f>
        <v>6.108195124592668</v>
      </c>
      <c r="J77" s="30">
        <f>(J37-J18)/'BSB - P&amp;L (2)'!J188</f>
        <v>4.7360897586016275</v>
      </c>
      <c r="K77" s="30">
        <f>(K37-K18)/'BSB - P&amp;L (2)'!K188</f>
        <v>3.1105725422814379</v>
      </c>
      <c r="L77" s="30">
        <f>(L37-L18)/'BSB - P&amp;L (2)'!L188</f>
        <v>1.8895795434933906</v>
      </c>
    </row>
    <row r="79" spans="1:42">
      <c r="I79" s="146"/>
    </row>
    <row r="80" spans="1:42">
      <c r="C80" s="146"/>
      <c r="D80" s="146"/>
      <c r="E80" s="146"/>
      <c r="F80" s="146"/>
      <c r="G80" s="146"/>
      <c r="H80" s="146"/>
    </row>
    <row r="81" spans="4:8">
      <c r="D81" s="146"/>
      <c r="E81" s="146"/>
      <c r="F81" s="146"/>
      <c r="G81" s="146"/>
      <c r="H81" s="146"/>
    </row>
  </sheetData>
  <mergeCells count="1">
    <mergeCell ref="B2:B4"/>
  </mergeCells>
  <conditionalFormatting sqref="C67:L67">
    <cfRule type="containsText" dxfId="77" priority="1" operator="containsText" text="Equilibré">
      <formula>NOT(ISERROR(SEARCH("Equilibré",C67)))</formula>
    </cfRule>
    <cfRule type="containsText" dxfId="76" priority="2" operator="containsText" text="Erreur">
      <formula>NOT(ISERROR(SEARCH("Erreur",C67)))</formula>
    </cfRule>
    <cfRule type="containsText" dxfId="75" priority="3" operator="containsText" text="Validé">
      <formula>NOT(ISERROR(SEARCH("Validé",C67)))</formula>
    </cfRule>
    <cfRule type="containsText" dxfId="74" priority="4" operator="containsText" text="Erreur">
      <formula>NOT(ISERROR(SEARCH("Erreur",C67)))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42663-9471-1C4C-BBFE-746C81FA7A8E}">
  <sheetPr codeName="Feuil37">
    <tabColor theme="9" tint="0.79998168889431442"/>
  </sheetPr>
  <dimension ref="A1:AQ210"/>
  <sheetViews>
    <sheetView zoomScaleNormal="100" workbookViewId="0">
      <pane xSplit="2" ySplit="5" topLeftCell="I6" activePane="bottomRight" state="frozen"/>
      <selection pane="topRight" activeCell="C1" sqref="C1"/>
      <selection pane="bottomLeft" activeCell="A6" sqref="A6"/>
      <selection pane="bottomRight" activeCell="K35" sqref="K35"/>
    </sheetView>
  </sheetViews>
  <sheetFormatPr baseColWidth="10" defaultColWidth="10.7109375" defaultRowHeight="15" outlineLevelRow="2" outlineLevelCol="1"/>
  <cols>
    <col min="1" max="1" width="2.7109375" style="32" customWidth="1"/>
    <col min="2" max="2" width="41.42578125" style="32" customWidth="1"/>
    <col min="3" max="6" width="15.7109375" style="32" hidden="1" customWidth="1" outlineLevel="1"/>
    <col min="7" max="7" width="15.7109375" style="32" hidden="1" customWidth="1" outlineLevel="1" collapsed="1"/>
    <col min="8" max="8" width="15.7109375" style="32" hidden="1" customWidth="1" outlineLevel="1"/>
    <col min="9" max="9" width="15.7109375" style="32" customWidth="1" collapsed="1"/>
    <col min="10" max="11" width="15.7109375" style="32" customWidth="1"/>
    <col min="12" max="12" width="10.7109375" style="32"/>
    <col min="13" max="13" width="11.28515625" style="32" bestFit="1" customWidth="1"/>
    <col min="14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</row>
    <row r="2" spans="1:43" ht="15.75">
      <c r="A2" s="83"/>
      <c r="B2" s="84" t="s">
        <v>0</v>
      </c>
      <c r="C2" s="84"/>
      <c r="D2" s="84"/>
      <c r="E2" s="84"/>
      <c r="F2" s="245"/>
      <c r="G2" s="84"/>
      <c r="H2" s="84"/>
      <c r="I2" s="84"/>
      <c r="J2" s="84"/>
      <c r="K2" s="247" t="s">
        <v>760</v>
      </c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</row>
    <row r="3" spans="1:43" ht="15.75">
      <c r="A3" s="83"/>
      <c r="B3" s="245"/>
      <c r="C3" s="246" t="s">
        <v>261</v>
      </c>
      <c r="D3" s="246" t="s">
        <v>261</v>
      </c>
      <c r="E3" s="246" t="s">
        <v>261</v>
      </c>
      <c r="F3" s="246"/>
      <c r="G3" s="246" t="s">
        <v>260</v>
      </c>
      <c r="H3" s="246" t="s">
        <v>260</v>
      </c>
      <c r="I3" s="246" t="s">
        <v>260</v>
      </c>
      <c r="J3" s="246" t="s">
        <v>260</v>
      </c>
      <c r="K3" s="246" t="s">
        <v>260</v>
      </c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</row>
    <row r="4" spans="1:43" ht="15.75">
      <c r="A4" s="83"/>
      <c r="B4" s="85"/>
      <c r="C4" s="54">
        <v>44286</v>
      </c>
      <c r="D4" s="54">
        <v>44804</v>
      </c>
      <c r="E4" s="54">
        <v>45169</v>
      </c>
      <c r="F4" s="54"/>
      <c r="G4" s="119" t="s">
        <v>750</v>
      </c>
      <c r="H4" s="119" t="s">
        <v>751</v>
      </c>
      <c r="I4" s="270" t="s">
        <v>752</v>
      </c>
      <c r="J4" s="270" t="s">
        <v>753</v>
      </c>
      <c r="K4" s="270" t="s">
        <v>754</v>
      </c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</row>
    <row r="5" spans="1:43" ht="15.75">
      <c r="A5" s="83"/>
      <c r="B5" s="86" t="s">
        <v>114</v>
      </c>
      <c r="C5" s="87" t="s">
        <v>3</v>
      </c>
      <c r="D5" s="87" t="s">
        <v>663</v>
      </c>
      <c r="E5" s="87" t="s">
        <v>3</v>
      </c>
      <c r="F5" s="274"/>
      <c r="G5" s="87" t="s">
        <v>3</v>
      </c>
      <c r="H5" s="87" t="s">
        <v>3</v>
      </c>
      <c r="I5" s="87" t="s">
        <v>3</v>
      </c>
      <c r="J5" s="87" t="s">
        <v>3</v>
      </c>
      <c r="K5" s="87" t="s">
        <v>3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</row>
    <row r="7" spans="1:43" ht="15.75">
      <c r="A7" s="83"/>
      <c r="B7" s="83" t="s">
        <v>165</v>
      </c>
      <c r="C7" s="88">
        <f>SUM(C8:C22)</f>
        <v>0</v>
      </c>
      <c r="D7" s="88">
        <f>SUM(D8:D22)</f>
        <v>0</v>
      </c>
      <c r="E7" s="88">
        <f>SUM(E8:E22)</f>
        <v>0</v>
      </c>
      <c r="F7" s="88"/>
      <c r="G7" s="88"/>
      <c r="H7" s="88">
        <v>0</v>
      </c>
      <c r="I7" s="88">
        <f>I17+I21</f>
        <v>1435000</v>
      </c>
      <c r="J7" s="88">
        <f>J17+J21</f>
        <v>2150000</v>
      </c>
      <c r="K7" s="88">
        <f>K17+K21</f>
        <v>3150000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</row>
    <row r="8" spans="1:43" ht="15.75" outlineLevel="1">
      <c r="A8" s="83"/>
      <c r="B8" s="106"/>
      <c r="C8" s="95"/>
      <c r="D8" s="95"/>
      <c r="E8" s="95"/>
      <c r="F8" s="95"/>
      <c r="G8" s="95"/>
      <c r="H8" s="95"/>
      <c r="I8" s="95"/>
      <c r="J8" s="95"/>
      <c r="K8" s="95"/>
      <c r="L8" s="95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1">
      <c r="A9" s="83"/>
      <c r="B9" s="106" t="s">
        <v>787</v>
      </c>
      <c r="C9" s="95"/>
      <c r="D9" s="95"/>
      <c r="E9" s="95"/>
      <c r="F9" s="95"/>
      <c r="G9" s="95"/>
      <c r="H9" s="283">
        <v>0</v>
      </c>
      <c r="I9" s="283">
        <v>10</v>
      </c>
      <c r="J9" s="283">
        <v>10</v>
      </c>
      <c r="K9" s="283">
        <v>10</v>
      </c>
      <c r="L9" s="95"/>
      <c r="M9" s="285" t="s">
        <v>789</v>
      </c>
      <c r="N9" s="83"/>
      <c r="O9" s="285" t="s">
        <v>782</v>
      </c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1">
      <c r="A10" s="83"/>
      <c r="B10" s="106"/>
      <c r="C10" s="95"/>
      <c r="D10" s="95"/>
      <c r="E10" s="95"/>
      <c r="F10" s="95"/>
      <c r="G10" s="95"/>
      <c r="H10" s="283"/>
      <c r="I10" s="283"/>
      <c r="J10" s="283"/>
      <c r="K10" s="283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1">
      <c r="A11" s="83"/>
      <c r="B11" s="106" t="s">
        <v>788</v>
      </c>
      <c r="C11" s="283"/>
      <c r="D11" s="283"/>
      <c r="E11" s="283"/>
      <c r="F11" s="283"/>
      <c r="G11" s="283"/>
      <c r="H11" s="283">
        <v>0</v>
      </c>
      <c r="I11" s="283">
        <v>3.5</v>
      </c>
      <c r="J11" s="283">
        <v>5</v>
      </c>
      <c r="K11" s="283">
        <f>K9*0.7</f>
        <v>7</v>
      </c>
      <c r="L11" s="95"/>
      <c r="M11" s="301" t="s">
        <v>841</v>
      </c>
      <c r="N11" s="302"/>
      <c r="O11" s="302"/>
      <c r="P11" s="302"/>
      <c r="Q11" s="302"/>
      <c r="R11" s="302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1">
      <c r="A12" s="83"/>
      <c r="B12" s="106" t="s">
        <v>780</v>
      </c>
      <c r="C12" s="95"/>
      <c r="D12" s="95"/>
      <c r="E12" s="95"/>
      <c r="F12" s="95"/>
      <c r="G12" s="95"/>
      <c r="H12" s="284">
        <v>200</v>
      </c>
      <c r="I12" s="284">
        <f>H12</f>
        <v>200</v>
      </c>
      <c r="J12" s="284">
        <f>I12</f>
        <v>200</v>
      </c>
      <c r="K12" s="284">
        <f>J12</f>
        <v>200</v>
      </c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1">
      <c r="A13" s="83"/>
      <c r="B13" s="106" t="s">
        <v>781</v>
      </c>
      <c r="C13" s="284"/>
      <c r="D13" s="284"/>
      <c r="E13" s="284"/>
      <c r="F13" s="284"/>
      <c r="G13" s="284"/>
      <c r="H13" s="284">
        <f>H11*H12</f>
        <v>0</v>
      </c>
      <c r="I13" s="284">
        <f>I11*I12</f>
        <v>700</v>
      </c>
      <c r="J13" s="284">
        <f>J11*J12</f>
        <v>1000</v>
      </c>
      <c r="K13" s="284">
        <f>K11*K12</f>
        <v>1400</v>
      </c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1">
      <c r="A14" s="83"/>
      <c r="B14" s="106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 outlineLevel="1">
      <c r="A15" s="83"/>
      <c r="B15" s="106" t="s">
        <v>783</v>
      </c>
      <c r="C15" s="95"/>
      <c r="D15" s="95"/>
      <c r="E15" s="95"/>
      <c r="F15" s="95"/>
      <c r="G15" s="95"/>
      <c r="H15" s="284">
        <f>H13*0.5</f>
        <v>0</v>
      </c>
      <c r="I15" s="284">
        <f>I13*0.5</f>
        <v>350</v>
      </c>
      <c r="J15" s="284">
        <f>J13*0.5</f>
        <v>500</v>
      </c>
      <c r="K15" s="284">
        <f>K13*0.5</f>
        <v>700</v>
      </c>
      <c r="L15" s="95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 outlineLevel="1">
      <c r="A16" s="83"/>
      <c r="B16" s="106" t="s">
        <v>785</v>
      </c>
      <c r="C16" s="95"/>
      <c r="D16" s="95"/>
      <c r="E16" s="95"/>
      <c r="F16" s="95"/>
      <c r="G16" s="95"/>
      <c r="H16" s="95"/>
      <c r="I16" s="95">
        <v>1900</v>
      </c>
      <c r="J16" s="95">
        <v>2000</v>
      </c>
      <c r="K16" s="95">
        <v>2100</v>
      </c>
      <c r="L16" s="95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outlineLevel="1">
      <c r="A17" s="83"/>
      <c r="B17" s="106" t="s">
        <v>786</v>
      </c>
      <c r="C17" s="95"/>
      <c r="D17" s="95"/>
      <c r="E17" s="95"/>
      <c r="F17" s="95"/>
      <c r="G17" s="95"/>
      <c r="H17" s="95"/>
      <c r="I17" s="95">
        <f>I15*I16</f>
        <v>665000</v>
      </c>
      <c r="J17" s="95">
        <f>J15*J16</f>
        <v>1000000</v>
      </c>
      <c r="K17" s="95">
        <f>K15*K16</f>
        <v>1470000</v>
      </c>
      <c r="L17" s="95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outlineLevel="1">
      <c r="A18" s="83"/>
      <c r="B18" s="106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 outlineLevel="1">
      <c r="A19" s="83"/>
      <c r="B19" s="106" t="s">
        <v>784</v>
      </c>
      <c r="C19" s="95"/>
      <c r="D19" s="95"/>
      <c r="E19" s="95"/>
      <c r="F19" s="95"/>
      <c r="G19" s="95"/>
      <c r="H19" s="284">
        <f>H13*0.5</f>
        <v>0</v>
      </c>
      <c r="I19" s="284">
        <f t="shared" ref="I19:K19" si="0">I13*0.5</f>
        <v>350</v>
      </c>
      <c r="J19" s="284">
        <f t="shared" si="0"/>
        <v>500</v>
      </c>
      <c r="K19" s="284">
        <f t="shared" si="0"/>
        <v>700</v>
      </c>
      <c r="L19" s="95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outlineLevel="1">
      <c r="A20" s="83"/>
      <c r="B20" s="106" t="s">
        <v>785</v>
      </c>
      <c r="C20" s="95"/>
      <c r="D20" s="95"/>
      <c r="E20" s="95"/>
      <c r="F20" s="95"/>
      <c r="G20" s="95"/>
      <c r="H20" s="95"/>
      <c r="I20" s="95">
        <v>2200</v>
      </c>
      <c r="J20" s="95">
        <v>2300</v>
      </c>
      <c r="K20" s="95">
        <v>2400</v>
      </c>
      <c r="L20" s="95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 outlineLevel="1">
      <c r="A21" s="83"/>
      <c r="B21" s="106" t="s">
        <v>786</v>
      </c>
      <c r="C21" s="95"/>
      <c r="D21" s="95"/>
      <c r="E21" s="95"/>
      <c r="F21" s="95"/>
      <c r="G21" s="95"/>
      <c r="H21" s="95"/>
      <c r="I21" s="95">
        <f>I19*I20</f>
        <v>770000</v>
      </c>
      <c r="J21" s="95">
        <f>J19*J20</f>
        <v>1150000</v>
      </c>
      <c r="K21" s="95">
        <f>K19*K20</f>
        <v>1680000</v>
      </c>
      <c r="L21" s="95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 outlineLevel="1">
      <c r="A22" s="83"/>
      <c r="B22" s="106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>
      <c r="A23" s="83"/>
      <c r="B23" s="83" t="s">
        <v>166</v>
      </c>
      <c r="C23" s="88"/>
      <c r="D23" s="88"/>
      <c r="E23" s="88"/>
      <c r="F23" s="88"/>
      <c r="G23" s="88"/>
      <c r="H23" s="88"/>
      <c r="I23" s="88"/>
      <c r="J23" s="88"/>
      <c r="K23" s="88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</row>
    <row r="24" spans="1:43" ht="15.75">
      <c r="A24" s="83"/>
      <c r="B24" s="98" t="s">
        <v>7</v>
      </c>
      <c r="C24" s="99">
        <f>C6+C23+C7</f>
        <v>0</v>
      </c>
      <c r="D24" s="99">
        <f>D6+D23+D7</f>
        <v>0</v>
      </c>
      <c r="E24" s="99">
        <f>E6+E23+E7</f>
        <v>0</v>
      </c>
      <c r="F24" s="275"/>
      <c r="G24" s="99">
        <f>G6+G23+G7</f>
        <v>0</v>
      </c>
      <c r="H24" s="99">
        <f>H6+H23+H7</f>
        <v>0</v>
      </c>
      <c r="I24" s="99">
        <f>I6+I23+I7</f>
        <v>1435000</v>
      </c>
      <c r="J24" s="99">
        <f>J6+J23+J7</f>
        <v>2150000</v>
      </c>
      <c r="K24" s="99">
        <f>K6+K23+K7</f>
        <v>3150000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</row>
    <row r="25" spans="1:43" ht="15.75">
      <c r="A25" s="83"/>
      <c r="B25" s="97" t="s">
        <v>8</v>
      </c>
      <c r="C25" s="89">
        <f>C26</f>
        <v>0</v>
      </c>
      <c r="D25" s="89">
        <f>D26</f>
        <v>0</v>
      </c>
      <c r="E25" s="89">
        <f>E26</f>
        <v>0</v>
      </c>
      <c r="F25" s="89"/>
      <c r="G25" s="89"/>
      <c r="H25" s="89">
        <v>0</v>
      </c>
      <c r="I25" s="89">
        <v>0</v>
      </c>
      <c r="J25" s="89">
        <v>0</v>
      </c>
      <c r="K25" s="89">
        <v>0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</row>
    <row r="26" spans="1:43" s="96" customFormat="1" ht="12.75" outlineLevel="1">
      <c r="A26" s="93"/>
      <c r="B26" s="94"/>
      <c r="C26" s="95"/>
      <c r="D26" s="95"/>
      <c r="E26" s="95"/>
      <c r="F26" s="95"/>
      <c r="G26" s="95"/>
      <c r="H26" s="95"/>
      <c r="I26" s="95"/>
      <c r="J26" s="95"/>
      <c r="K26" s="95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</row>
    <row r="27" spans="1:43" s="96" customFormat="1" ht="12.75" outlineLevel="1">
      <c r="A27" s="93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</row>
    <row r="28" spans="1:43" ht="15.75">
      <c r="A28" s="83"/>
      <c r="B28" s="97" t="s">
        <v>9</v>
      </c>
      <c r="C28" s="169"/>
      <c r="D28" s="169"/>
      <c r="E28" s="169"/>
      <c r="F28" s="169"/>
      <c r="G28" s="169"/>
      <c r="H28" s="169"/>
      <c r="I28" s="169"/>
      <c r="J28" s="169"/>
      <c r="K28" s="169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</row>
    <row r="29" spans="1:43" ht="15.75">
      <c r="A29" s="83"/>
      <c r="B29" s="100" t="s">
        <v>14</v>
      </c>
      <c r="C29" s="99">
        <f>C24+C25+C28</f>
        <v>0</v>
      </c>
      <c r="D29" s="99">
        <f t="shared" ref="D29:K29" si="1">D24+D25+D28</f>
        <v>0</v>
      </c>
      <c r="E29" s="99">
        <f t="shared" si="1"/>
        <v>0</v>
      </c>
      <c r="F29" s="275"/>
      <c r="G29" s="99">
        <f t="shared" si="1"/>
        <v>0</v>
      </c>
      <c r="H29" s="99">
        <f t="shared" si="1"/>
        <v>0</v>
      </c>
      <c r="I29" s="99">
        <f t="shared" si="1"/>
        <v>1435000</v>
      </c>
      <c r="J29" s="99">
        <f t="shared" si="1"/>
        <v>2150000</v>
      </c>
      <c r="K29" s="99">
        <f t="shared" si="1"/>
        <v>3150000</v>
      </c>
      <c r="L29" s="83"/>
      <c r="M29" s="83"/>
      <c r="N29" s="89">
        <f>I29*0.57</f>
        <v>817949.99999999988</v>
      </c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</row>
    <row r="30" spans="1:43" ht="16.5" thickBot="1">
      <c r="A30" s="83"/>
      <c r="B30" s="101" t="s">
        <v>106</v>
      </c>
      <c r="C30" s="102" t="e">
        <f>C29/C29</f>
        <v>#DIV/0!</v>
      </c>
      <c r="D30" s="102" t="e">
        <f t="shared" ref="D30:K30" si="2">D29/D29</f>
        <v>#DIV/0!</v>
      </c>
      <c r="E30" s="102" t="e">
        <f t="shared" si="2"/>
        <v>#DIV/0!</v>
      </c>
      <c r="F30" s="276"/>
      <c r="G30" s="102" t="e">
        <f t="shared" si="2"/>
        <v>#DIV/0!</v>
      </c>
      <c r="H30" s="102" t="e">
        <f t="shared" si="2"/>
        <v>#DIV/0!</v>
      </c>
      <c r="I30" s="102">
        <f t="shared" si="2"/>
        <v>1</v>
      </c>
      <c r="J30" s="102">
        <f t="shared" si="2"/>
        <v>1</v>
      </c>
      <c r="K30" s="102">
        <f t="shared" si="2"/>
        <v>1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</row>
    <row r="31" spans="1:43" ht="15.75" collapsed="1">
      <c r="A31" s="83"/>
      <c r="B31" s="103" t="s">
        <v>167</v>
      </c>
      <c r="C31" s="89"/>
      <c r="D31" s="89"/>
      <c r="E31" s="89"/>
      <c r="F31" s="89"/>
      <c r="G31" s="89"/>
      <c r="H31" s="89"/>
      <c r="I31" s="89"/>
      <c r="J31" s="89"/>
      <c r="K31" s="89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</row>
    <row r="32" spans="1:43" ht="15.75">
      <c r="A32" s="83"/>
      <c r="B32" s="103" t="s">
        <v>168</v>
      </c>
      <c r="C32" s="89"/>
      <c r="D32" s="89"/>
      <c r="E32" s="89"/>
      <c r="F32" s="89"/>
      <c r="G32" s="89"/>
      <c r="H32" s="89"/>
      <c r="I32" s="89"/>
      <c r="J32" s="89"/>
      <c r="K32" s="89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</row>
    <row r="33" spans="1:42" ht="15.75">
      <c r="A33" s="83"/>
      <c r="B33" s="83" t="s">
        <v>190</v>
      </c>
      <c r="C33" s="89">
        <f>SUM(C34:C51)</f>
        <v>0</v>
      </c>
      <c r="D33" s="89">
        <f>SUM(D34:D51)</f>
        <v>0</v>
      </c>
      <c r="E33" s="89">
        <f>SUM(E34:E51)</f>
        <v>0</v>
      </c>
      <c r="F33" s="89"/>
      <c r="G33" s="89"/>
      <c r="H33" s="89"/>
      <c r="I33" s="89">
        <f>-I39-I52</f>
        <v>-933333.33333333337</v>
      </c>
      <c r="J33" s="89">
        <f>-J39-J52</f>
        <v>-1100000.0000000002</v>
      </c>
      <c r="K33" s="89">
        <f>-K39-K52</f>
        <v>-1533333.3333333333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</row>
    <row r="34" spans="1:42" s="96" customFormat="1" ht="12.75" outlineLevel="1">
      <c r="A34" s="93"/>
      <c r="B34" s="106"/>
      <c r="C34" s="95"/>
      <c r="D34" s="95"/>
      <c r="E34" s="95"/>
      <c r="F34" s="95"/>
      <c r="G34" s="95"/>
      <c r="H34" s="95"/>
      <c r="I34" s="95"/>
      <c r="J34" s="95"/>
      <c r="K34" s="95"/>
      <c r="L34" s="93"/>
      <c r="M34" s="93"/>
      <c r="N34" s="93"/>
      <c r="O34" s="93"/>
      <c r="P34" s="93"/>
      <c r="Q34" s="93"/>
      <c r="R34" s="286"/>
      <c r="S34" s="286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</row>
    <row r="35" spans="1:42" s="96" customFormat="1" ht="12.75" outlineLevel="1">
      <c r="A35" s="93"/>
      <c r="B35" s="106" t="s">
        <v>791</v>
      </c>
      <c r="C35" s="95"/>
      <c r="D35" s="95"/>
      <c r="E35" s="95"/>
      <c r="F35" s="95"/>
      <c r="G35" s="95"/>
      <c r="H35" s="95"/>
      <c r="I35" s="287">
        <v>0.45</v>
      </c>
      <c r="J35" s="287">
        <v>0.47499999999999998</v>
      </c>
      <c r="K35" s="287">
        <v>0.5</v>
      </c>
      <c r="L35" s="93"/>
      <c r="M35" s="93"/>
      <c r="N35" s="93" t="s">
        <v>792</v>
      </c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</row>
    <row r="36" spans="1:42" s="96" customFormat="1" ht="12.75" outlineLevel="1">
      <c r="A36" s="93"/>
      <c r="B36" s="106"/>
      <c r="C36" s="95"/>
      <c r="D36" s="95"/>
      <c r="E36" s="95"/>
      <c r="F36" s="95"/>
      <c r="G36" s="95"/>
      <c r="H36" s="95"/>
      <c r="I36" s="95"/>
      <c r="J36" s="95"/>
      <c r="K36" s="95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</row>
    <row r="37" spans="1:42" s="96" customFormat="1" ht="12.75" outlineLevel="1">
      <c r="A37" s="93"/>
      <c r="B37" s="106" t="s">
        <v>793</v>
      </c>
      <c r="C37" s="95"/>
      <c r="D37" s="95"/>
      <c r="E37" s="95"/>
      <c r="F37" s="95"/>
      <c r="G37" s="95"/>
      <c r="H37" s="95"/>
      <c r="I37" s="284">
        <f>I13/I35</f>
        <v>1555.5555555555554</v>
      </c>
      <c r="J37" s="284">
        <f>J13/J35</f>
        <v>2105.2631578947371</v>
      </c>
      <c r="K37" s="284">
        <f>K13/K35</f>
        <v>2800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</row>
    <row r="38" spans="1:42" s="96" customFormat="1" ht="12.75" outlineLevel="1">
      <c r="A38" s="93"/>
      <c r="B38" s="106" t="s">
        <v>794</v>
      </c>
      <c r="C38" s="95"/>
      <c r="D38" s="95"/>
      <c r="E38" s="95"/>
      <c r="F38" s="95"/>
      <c r="G38" s="95"/>
      <c r="H38" s="95"/>
      <c r="I38" s="95">
        <v>450</v>
      </c>
      <c r="J38" s="95">
        <v>475</v>
      </c>
      <c r="K38" s="95">
        <v>500</v>
      </c>
      <c r="L38" s="93"/>
      <c r="M38" s="93"/>
      <c r="N38" s="93" t="s">
        <v>808</v>
      </c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</row>
    <row r="39" spans="1:42" s="96" customFormat="1" ht="12.75" outlineLevel="1">
      <c r="A39" s="93"/>
      <c r="B39" s="106" t="s">
        <v>795</v>
      </c>
      <c r="C39" s="95"/>
      <c r="D39" s="95"/>
      <c r="E39" s="95"/>
      <c r="F39" s="95"/>
      <c r="G39" s="95"/>
      <c r="H39" s="95"/>
      <c r="I39" s="95">
        <f>I37*I38</f>
        <v>700000</v>
      </c>
      <c r="J39" s="95">
        <f>J37*J38</f>
        <v>1000000.0000000001</v>
      </c>
      <c r="K39" s="95">
        <f>K37*K38</f>
        <v>1400000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</row>
    <row r="40" spans="1:42" s="96" customFormat="1" ht="12.75" outlineLevel="1">
      <c r="A40" s="93"/>
      <c r="B40" s="106"/>
      <c r="C40" s="95"/>
      <c r="D40" s="95"/>
      <c r="E40" s="95"/>
      <c r="F40" s="95"/>
      <c r="G40" s="95"/>
      <c r="H40" s="95"/>
      <c r="I40" s="95"/>
      <c r="J40" s="95"/>
      <c r="K40" s="95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</row>
    <row r="41" spans="1:42" s="96" customFormat="1" ht="12.75" outlineLevel="1">
      <c r="A41" s="93"/>
      <c r="B41" s="106" t="s">
        <v>796</v>
      </c>
      <c r="C41" s="95"/>
      <c r="D41" s="95"/>
      <c r="E41" s="95"/>
      <c r="F41" s="95"/>
      <c r="G41" s="95"/>
      <c r="H41" s="95"/>
      <c r="I41" s="284">
        <f>I37/3</f>
        <v>518.51851851851848</v>
      </c>
      <c r="J41" s="284">
        <f>J37/3</f>
        <v>701.75438596491233</v>
      </c>
      <c r="K41" s="284">
        <f>K37/3</f>
        <v>933.33333333333337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</row>
    <row r="42" spans="1:42" s="96" customFormat="1" ht="12.75" outlineLevel="1">
      <c r="A42" s="93"/>
      <c r="B42" s="106" t="s">
        <v>797</v>
      </c>
      <c r="C42" s="95"/>
      <c r="D42" s="95"/>
      <c r="E42" s="95"/>
      <c r="F42" s="95"/>
      <c r="G42" s="95"/>
      <c r="H42" s="95"/>
      <c r="I42" s="284">
        <f>I37-I41</f>
        <v>1037.037037037037</v>
      </c>
      <c r="J42" s="284">
        <f>J37-J41</f>
        <v>1403.5087719298249</v>
      </c>
      <c r="K42" s="284">
        <f>K37-K41</f>
        <v>1866.6666666666665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</row>
    <row r="43" spans="1:42" s="96" customFormat="1" ht="12.75" outlineLevel="1">
      <c r="A43" s="93"/>
      <c r="B43" s="106"/>
      <c r="C43" s="95"/>
      <c r="D43" s="95"/>
      <c r="E43" s="95"/>
      <c r="F43" s="95"/>
      <c r="G43" s="95"/>
      <c r="H43" s="95"/>
      <c r="I43" s="95"/>
      <c r="J43" s="95"/>
      <c r="K43" s="95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</row>
    <row r="44" spans="1:42" s="96" customFormat="1" ht="12.75" outlineLevel="1">
      <c r="A44" s="93"/>
      <c r="B44" s="106" t="s">
        <v>799</v>
      </c>
      <c r="C44" s="95"/>
      <c r="D44" s="95"/>
      <c r="E44" s="95"/>
      <c r="F44" s="95"/>
      <c r="G44" s="95"/>
      <c r="H44" s="95"/>
      <c r="I44" s="284">
        <v>150</v>
      </c>
      <c r="J44" s="284">
        <v>150</v>
      </c>
      <c r="K44" s="284">
        <v>150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</row>
    <row r="45" spans="1:42" s="96" customFormat="1" ht="12.75" outlineLevel="1">
      <c r="A45" s="93"/>
      <c r="B45" s="106" t="s">
        <v>800</v>
      </c>
      <c r="C45" s="95"/>
      <c r="D45" s="95"/>
      <c r="E45" s="95"/>
      <c r="F45" s="95"/>
      <c r="G45" s="95"/>
      <c r="H45" s="95"/>
      <c r="I45" s="284">
        <v>1</v>
      </c>
      <c r="J45" s="284">
        <v>1</v>
      </c>
      <c r="K45" s="284">
        <v>1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</row>
    <row r="46" spans="1:42" s="96" customFormat="1" ht="12.75" outlineLevel="1">
      <c r="A46" s="93"/>
      <c r="B46" s="106" t="s">
        <v>801</v>
      </c>
      <c r="C46" s="95"/>
      <c r="D46" s="95"/>
      <c r="E46" s="95"/>
      <c r="F46" s="95"/>
      <c r="G46" s="95"/>
      <c r="H46" s="95"/>
      <c r="I46" s="284">
        <f>I44*I45*11</f>
        <v>1650</v>
      </c>
      <c r="J46" s="284">
        <f>J44*J45*11</f>
        <v>1650</v>
      </c>
      <c r="K46" s="284">
        <f>K44*K45*11</f>
        <v>1650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</row>
    <row r="47" spans="1:42" s="96" customFormat="1" ht="12.75" outlineLevel="1">
      <c r="A47" s="93"/>
      <c r="B47" s="106"/>
      <c r="C47" s="95"/>
      <c r="D47" s="95"/>
      <c r="E47" s="95"/>
      <c r="F47" s="95"/>
      <c r="G47" s="95"/>
      <c r="H47" s="95"/>
      <c r="I47" s="95"/>
      <c r="J47" s="95"/>
      <c r="K47" s="95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</row>
    <row r="48" spans="1:42" s="96" customFormat="1" ht="12.75" outlineLevel="1">
      <c r="A48" s="93"/>
      <c r="B48" s="106" t="s">
        <v>798</v>
      </c>
      <c r="C48" s="95"/>
      <c r="D48" s="95"/>
      <c r="E48" s="95"/>
      <c r="F48" s="95"/>
      <c r="G48" s="95"/>
      <c r="H48" s="95"/>
      <c r="I48" s="284">
        <v>60</v>
      </c>
      <c r="J48" s="284">
        <f>I48</f>
        <v>60</v>
      </c>
      <c r="K48" s="284">
        <f>J48</f>
        <v>60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</row>
    <row r="49" spans="1:43" s="96" customFormat="1" ht="12.75" outlineLevel="1">
      <c r="A49" s="93"/>
      <c r="B49" s="106" t="s">
        <v>800</v>
      </c>
      <c r="C49" s="95"/>
      <c r="D49" s="95"/>
      <c r="E49" s="95"/>
      <c r="F49" s="95"/>
      <c r="G49" s="95"/>
      <c r="H49" s="95"/>
      <c r="I49" s="284">
        <v>1</v>
      </c>
      <c r="J49" s="284">
        <v>1</v>
      </c>
      <c r="K49" s="284">
        <v>1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</row>
    <row r="50" spans="1:43" s="96" customFormat="1" ht="12.75" outlineLevel="1">
      <c r="A50" s="93"/>
      <c r="B50" s="106" t="s">
        <v>801</v>
      </c>
      <c r="C50" s="95"/>
      <c r="D50" s="95"/>
      <c r="E50" s="95"/>
      <c r="F50" s="95"/>
      <c r="G50" s="95"/>
      <c r="H50" s="95"/>
      <c r="I50" s="284">
        <f>I48*I49*11</f>
        <v>660</v>
      </c>
      <c r="J50" s="284">
        <f>J48*J49*11</f>
        <v>660</v>
      </c>
      <c r="K50" s="284">
        <f>K48*K49*11</f>
        <v>660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</row>
    <row r="51" spans="1:43" s="96" customFormat="1" ht="12.75" outlineLevel="1">
      <c r="A51" s="93"/>
      <c r="B51" s="106"/>
      <c r="C51" s="95"/>
      <c r="D51" s="95"/>
      <c r="E51" s="95"/>
      <c r="F51" s="95"/>
      <c r="G51" s="95"/>
      <c r="H51" s="95"/>
      <c r="I51" s="95"/>
      <c r="J51" s="95"/>
      <c r="K51" s="95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</row>
    <row r="52" spans="1:43" ht="15.75">
      <c r="A52" s="107"/>
      <c r="B52" s="108" t="s">
        <v>169</v>
      </c>
      <c r="C52" s="104"/>
      <c r="D52" s="104"/>
      <c r="E52" s="104"/>
      <c r="F52" s="104"/>
      <c r="G52" s="104"/>
      <c r="H52" s="104"/>
      <c r="I52" s="104">
        <f>'Profilyss - Bilan (2)'!J14-'Profilyss - Bilan (2)'!I14</f>
        <v>233333.33333333334</v>
      </c>
      <c r="J52" s="104">
        <f>'Profilyss - Bilan (2)'!K14-'Profilyss - Bilan (2)'!J14</f>
        <v>100000.00000000003</v>
      </c>
      <c r="K52" s="104">
        <f>'Profilyss - Bilan (2)'!L14-'Profilyss - Bilan (2)'!K14</f>
        <v>133333.33333333331</v>
      </c>
      <c r="L52" s="108"/>
      <c r="M52" s="108"/>
      <c r="N52" s="109"/>
      <c r="O52" s="109"/>
      <c r="P52" s="109"/>
      <c r="Q52" s="109"/>
      <c r="R52" s="109"/>
      <c r="S52" s="109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</row>
    <row r="53" spans="1:43" s="96" customFormat="1" ht="12.75" outlineLevel="1">
      <c r="A53" s="93"/>
      <c r="B53" s="106"/>
      <c r="C53" s="95"/>
      <c r="D53" s="95"/>
      <c r="E53" s="95"/>
      <c r="F53" s="95"/>
      <c r="G53" s="95"/>
      <c r="H53" s="95"/>
      <c r="I53" s="95"/>
      <c r="J53" s="95"/>
      <c r="K53" s="95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</row>
    <row r="54" spans="1:43" ht="15.75">
      <c r="A54" s="83"/>
      <c r="B54" s="100" t="s">
        <v>16</v>
      </c>
      <c r="C54" s="99">
        <f>C29+C31+C32+C33+C52</f>
        <v>0</v>
      </c>
      <c r="D54" s="99">
        <f>D29+D31+D32+D33+D52</f>
        <v>0</v>
      </c>
      <c r="E54" s="99">
        <f>E29+E31+E32+E33+E52</f>
        <v>0</v>
      </c>
      <c r="F54" s="275"/>
      <c r="G54" s="99">
        <f>G29+G31+G32+G33+G52</f>
        <v>0</v>
      </c>
      <c r="H54" s="99">
        <f>H29+H31+H32+H33+H52</f>
        <v>0</v>
      </c>
      <c r="I54" s="99">
        <f>I29+I31+I32+I33+I52</f>
        <v>735000</v>
      </c>
      <c r="J54" s="99">
        <f>J29+J31+J32+J33+J52</f>
        <v>1149999.9999999998</v>
      </c>
      <c r="K54" s="99">
        <f>K29+K31+K32+K33+K52</f>
        <v>1750000</v>
      </c>
      <c r="L54" s="83"/>
      <c r="M54" s="83"/>
      <c r="N54" s="285" t="s">
        <v>790</v>
      </c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</row>
    <row r="55" spans="1:43" ht="16.5" thickBot="1">
      <c r="A55" s="107"/>
      <c r="B55" s="101" t="s">
        <v>106</v>
      </c>
      <c r="C55" s="102" t="e">
        <f>C54/C29</f>
        <v>#DIV/0!</v>
      </c>
      <c r="D55" s="102" t="e">
        <f>D54/D29</f>
        <v>#DIV/0!</v>
      </c>
      <c r="E55" s="102" t="e">
        <f>E54/E29</f>
        <v>#DIV/0!</v>
      </c>
      <c r="F55" s="276"/>
      <c r="G55" s="102" t="e">
        <f>G54/G29</f>
        <v>#DIV/0!</v>
      </c>
      <c r="H55" s="102" t="e">
        <f>H54/H29</f>
        <v>#DIV/0!</v>
      </c>
      <c r="I55" s="102">
        <f>I54/I29</f>
        <v>0.51219512195121952</v>
      </c>
      <c r="J55" s="102">
        <f>J54/J29</f>
        <v>0.5348837209302324</v>
      </c>
      <c r="K55" s="102">
        <f>K54/K29</f>
        <v>0.55555555555555558</v>
      </c>
      <c r="L55" s="108"/>
      <c r="M55" s="108"/>
      <c r="N55" s="109"/>
      <c r="O55" s="109"/>
      <c r="P55" s="109"/>
      <c r="Q55" s="109"/>
      <c r="R55" s="109"/>
      <c r="S55" s="109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</row>
    <row r="56" spans="1:43" ht="15.75">
      <c r="A56" s="107"/>
      <c r="B56" s="108" t="s">
        <v>170</v>
      </c>
      <c r="C56" s="104">
        <f>C58+C67+C70+C72+C76+C80+C84+C89+C93+C102+C104</f>
        <v>0</v>
      </c>
      <c r="D56" s="104">
        <f>D58+D67+D70+D72+D76+D80+D84+D89+D93+D102+D104</f>
        <v>0</v>
      </c>
      <c r="E56" s="104">
        <f>E58+E67+E70+E72+E76+E80+E84+E89+E93+E102+E104</f>
        <v>0</v>
      </c>
      <c r="F56" s="104"/>
      <c r="G56" s="104">
        <f>G58+G67+G70+G72+G76+G80+G84+G89+G93+G102+G104</f>
        <v>0</v>
      </c>
      <c r="H56" s="104">
        <f>H58+H67+H70+H72+H76+H80+H84+H89+H93+H102+H104</f>
        <v>0</v>
      </c>
      <c r="I56" s="104">
        <f>I58+I67+I70+I72+I76+I80+I84+I89+I93+I102+I104</f>
        <v>-626970.37037037034</v>
      </c>
      <c r="J56" s="104">
        <f>J58+J67+J70+J72+J76+J80+J84+J89+J93+J102+J104</f>
        <v>-665735.0877192982</v>
      </c>
      <c r="K56" s="104">
        <f>K58+K67+K70+K72+K76+K80+K84+K89+K93+K102+K104</f>
        <v>-737166.66666666663</v>
      </c>
      <c r="L56" s="108"/>
      <c r="M56" s="108"/>
      <c r="N56" s="109" t="s">
        <v>806</v>
      </c>
      <c r="O56" s="109"/>
      <c r="P56" s="109"/>
      <c r="Q56" s="109"/>
      <c r="R56" s="109"/>
      <c r="S56" s="109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</row>
    <row r="57" spans="1:43" s="96" customFormat="1" ht="12.75" outlineLevel="1">
      <c r="A57" s="93"/>
      <c r="B57" s="106"/>
      <c r="C57" s="95"/>
      <c r="D57" s="95"/>
      <c r="E57" s="95"/>
      <c r="F57" s="95"/>
      <c r="G57" s="95"/>
      <c r="H57" s="95"/>
      <c r="I57" s="95"/>
      <c r="J57" s="95"/>
      <c r="K57" s="95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</row>
    <row r="58" spans="1:43" s="92" customFormat="1" ht="12.75" outlineLevel="1">
      <c r="A58" s="90"/>
      <c r="B58" s="105" t="s">
        <v>171</v>
      </c>
      <c r="C58" s="91">
        <f>SUM(C59:C66)</f>
        <v>0</v>
      </c>
      <c r="D58" s="91">
        <f>SUM(D59:D66)</f>
        <v>0</v>
      </c>
      <c r="E58" s="91">
        <f>SUM(E59:E66)</f>
        <v>0</v>
      </c>
      <c r="F58" s="91"/>
      <c r="G58" s="91">
        <f>SUM(G59:G66)</f>
        <v>0</v>
      </c>
      <c r="H58" s="91">
        <f>SUM(H59:H66)</f>
        <v>0</v>
      </c>
      <c r="I58" s="91">
        <f>SUM(I59:I66)</f>
        <v>-148900</v>
      </c>
      <c r="J58" s="91">
        <f>SUM(J59:J66)</f>
        <v>-199000</v>
      </c>
      <c r="K58" s="91">
        <f>SUM(K59:K66)</f>
        <v>-265800</v>
      </c>
      <c r="L58" s="91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</row>
    <row r="59" spans="1:43" s="96" customFormat="1" ht="12.75" outlineLevel="2">
      <c r="A59" s="93"/>
      <c r="B59" s="106" t="s">
        <v>462</v>
      </c>
      <c r="C59" s="95"/>
      <c r="D59" s="95"/>
      <c r="E59" s="95"/>
      <c r="F59" s="95"/>
      <c r="G59" s="95"/>
      <c r="H59" s="95"/>
      <c r="I59" s="95">
        <f>-120*I13</f>
        <v>-84000</v>
      </c>
      <c r="J59" s="95">
        <f>-120*J13</f>
        <v>-120000</v>
      </c>
      <c r="K59" s="95">
        <f>-120*K13</f>
        <v>-168000</v>
      </c>
      <c r="L59" s="93"/>
      <c r="M59" s="93"/>
      <c r="N59" s="288" t="s">
        <v>802</v>
      </c>
      <c r="O59" s="288"/>
      <c r="P59" s="288"/>
      <c r="Q59" s="288"/>
      <c r="R59" s="288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</row>
    <row r="60" spans="1:43" s="96" customFormat="1" ht="12.75" outlineLevel="2">
      <c r="A60" s="93"/>
      <c r="B60" s="106" t="s">
        <v>323</v>
      </c>
      <c r="C60" s="95"/>
      <c r="D60" s="95"/>
      <c r="E60" s="95"/>
      <c r="F60" s="95"/>
      <c r="G60" s="95"/>
      <c r="H60" s="95"/>
      <c r="I60" s="95">
        <v>-1000</v>
      </c>
      <c r="J60" s="95">
        <v>-1000</v>
      </c>
      <c r="K60" s="95">
        <v>-1000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</row>
    <row r="61" spans="1:43" s="96" customFormat="1" ht="12.75" outlineLevel="2">
      <c r="A61" s="93"/>
      <c r="B61" s="106" t="s">
        <v>761</v>
      </c>
      <c r="C61" s="95"/>
      <c r="D61" s="95"/>
      <c r="E61" s="95"/>
      <c r="F61" s="95"/>
      <c r="G61" s="95"/>
      <c r="H61" s="95"/>
      <c r="I61" s="95">
        <v>-6000</v>
      </c>
      <c r="J61" s="95">
        <v>-6000</v>
      </c>
      <c r="K61" s="95">
        <v>-6000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</row>
    <row r="62" spans="1:43" s="96" customFormat="1" ht="12.75" outlineLevel="2">
      <c r="A62" s="93"/>
      <c r="B62" s="106" t="s">
        <v>762</v>
      </c>
      <c r="C62" s="95"/>
      <c r="D62" s="95"/>
      <c r="E62" s="95"/>
      <c r="F62" s="95"/>
      <c r="G62" s="95"/>
      <c r="H62" s="95"/>
      <c r="I62" s="95">
        <v>-20000</v>
      </c>
      <c r="J62" s="95">
        <v>-20000</v>
      </c>
      <c r="K62" s="95">
        <v>-20000</v>
      </c>
      <c r="L62" s="93"/>
      <c r="M62" s="93"/>
      <c r="N62" s="93" t="s">
        <v>805</v>
      </c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</row>
    <row r="63" spans="1:43" s="96" customFormat="1" ht="12.75" outlineLevel="2">
      <c r="A63" s="93"/>
      <c r="B63" s="106" t="s">
        <v>328</v>
      </c>
      <c r="C63" s="95"/>
      <c r="D63" s="95"/>
      <c r="E63" s="95"/>
      <c r="F63" s="95"/>
      <c r="G63" s="95"/>
      <c r="H63" s="95"/>
      <c r="I63" s="95">
        <v>-3000</v>
      </c>
      <c r="J63" s="95">
        <v>-3000</v>
      </c>
      <c r="K63" s="95">
        <v>-3000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</row>
    <row r="64" spans="1:43" s="96" customFormat="1" ht="12.75" outlineLevel="2">
      <c r="A64" s="93"/>
      <c r="B64" s="106" t="s">
        <v>763</v>
      </c>
      <c r="C64" s="95"/>
      <c r="D64" s="95"/>
      <c r="E64" s="95"/>
      <c r="F64" s="95"/>
      <c r="G64" s="95"/>
      <c r="H64" s="95"/>
      <c r="I64" s="95">
        <v>-2000</v>
      </c>
      <c r="J64" s="95">
        <v>-2000</v>
      </c>
      <c r="K64" s="95">
        <v>-2000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</row>
    <row r="65" spans="1:43" s="96" customFormat="1" ht="12.75" outlineLevel="2">
      <c r="A65" s="93"/>
      <c r="B65" s="106" t="s">
        <v>803</v>
      </c>
      <c r="C65" s="95"/>
      <c r="D65" s="95"/>
      <c r="E65" s="95"/>
      <c r="F65" s="95"/>
      <c r="G65" s="95"/>
      <c r="H65" s="95"/>
      <c r="I65" s="95">
        <f>-47*I13</f>
        <v>-32900</v>
      </c>
      <c r="J65" s="95">
        <f>-47*J13</f>
        <v>-47000</v>
      </c>
      <c r="K65" s="95">
        <f>-47*K13</f>
        <v>-65800</v>
      </c>
      <c r="L65" s="93"/>
      <c r="M65" s="93"/>
      <c r="N65" s="93" t="s">
        <v>804</v>
      </c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</row>
    <row r="66" spans="1:43" s="96" customFormat="1" ht="12.75" outlineLevel="2">
      <c r="A66" s="93"/>
      <c r="B66" s="106"/>
      <c r="C66" s="95"/>
      <c r="D66" s="95"/>
      <c r="E66" s="95"/>
      <c r="F66" s="95"/>
      <c r="G66" s="95"/>
      <c r="H66" s="95"/>
      <c r="I66" s="95"/>
      <c r="J66" s="95"/>
      <c r="K66" s="95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</row>
    <row r="67" spans="1:43" s="92" customFormat="1" ht="12.75" outlineLevel="1">
      <c r="A67" s="90"/>
      <c r="B67" s="105" t="s">
        <v>172</v>
      </c>
      <c r="C67" s="91">
        <f>SUM(C68:C68)</f>
        <v>0</v>
      </c>
      <c r="D67" s="91">
        <f>SUM(D68:D68)</f>
        <v>0</v>
      </c>
      <c r="E67" s="91">
        <f>SUM(E68:E68)</f>
        <v>0</v>
      </c>
      <c r="F67" s="91"/>
      <c r="G67" s="91">
        <f>SUM(G68:G68)</f>
        <v>0</v>
      </c>
      <c r="H67" s="91">
        <f>SUM(H68:H68)</f>
        <v>0</v>
      </c>
      <c r="I67" s="91">
        <f>SUM(I68:I68)</f>
        <v>-20000</v>
      </c>
      <c r="J67" s="91">
        <f>SUM(J68:J68)</f>
        <v>-5000</v>
      </c>
      <c r="K67" s="91">
        <f>SUM(K68:K68)</f>
        <v>-5000</v>
      </c>
      <c r="L67" s="91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</row>
    <row r="68" spans="1:43" s="96" customFormat="1" ht="12.75" outlineLevel="2">
      <c r="A68" s="93"/>
      <c r="B68" s="106" t="s">
        <v>807</v>
      </c>
      <c r="C68" s="95"/>
      <c r="D68" s="95"/>
      <c r="E68" s="95"/>
      <c r="F68" s="95"/>
      <c r="G68" s="95"/>
      <c r="H68" s="95"/>
      <c r="I68" s="95">
        <v>-20000</v>
      </c>
      <c r="J68" s="95">
        <v>-5000</v>
      </c>
      <c r="K68" s="95">
        <v>-5000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</row>
    <row r="69" spans="1:43" s="96" customFormat="1" ht="12.75" outlineLevel="2">
      <c r="A69" s="93"/>
      <c r="B69" s="106"/>
      <c r="C69" s="95"/>
      <c r="D69" s="95"/>
      <c r="E69" s="95"/>
      <c r="F69" s="95"/>
      <c r="G69" s="95"/>
      <c r="H69" s="95"/>
      <c r="I69" s="95"/>
      <c r="J69" s="95"/>
      <c r="K69" s="95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</row>
    <row r="70" spans="1:43" s="92" customFormat="1" ht="12.75" outlineLevel="1">
      <c r="A70" s="90"/>
      <c r="B70" s="105" t="s">
        <v>173</v>
      </c>
      <c r="C70" s="91">
        <f>SUM(C71:C71)</f>
        <v>0</v>
      </c>
      <c r="D70" s="91">
        <f>SUM(D71:D71)</f>
        <v>0</v>
      </c>
      <c r="E70" s="91">
        <f>SUM(E71:E71)</f>
        <v>0</v>
      </c>
      <c r="F70" s="91"/>
      <c r="G70" s="91">
        <f>SUM(G71:G71)</f>
        <v>0</v>
      </c>
      <c r="H70" s="91">
        <f>SUM(H71:H71)</f>
        <v>0</v>
      </c>
      <c r="I70" s="91">
        <f>SUM(I71:I71)</f>
        <v>0</v>
      </c>
      <c r="J70" s="91">
        <f>SUM(J71:J71)</f>
        <v>0</v>
      </c>
      <c r="K70" s="91">
        <f>SUM(K71:K71)</f>
        <v>0</v>
      </c>
      <c r="L70" s="91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</row>
    <row r="71" spans="1:43" s="96" customFormat="1" ht="12.75" outlineLevel="2">
      <c r="A71" s="93"/>
      <c r="B71" s="106"/>
      <c r="C71" s="95"/>
      <c r="D71" s="95"/>
      <c r="E71" s="95"/>
      <c r="F71" s="95"/>
      <c r="G71" s="95"/>
      <c r="H71" s="95"/>
      <c r="I71" s="95"/>
      <c r="J71" s="95"/>
      <c r="K71" s="95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</row>
    <row r="72" spans="1:43" s="92" customFormat="1" ht="12.75" outlineLevel="1">
      <c r="A72" s="90"/>
      <c r="B72" s="105" t="s">
        <v>174</v>
      </c>
      <c r="C72" s="91">
        <f>SUM(C73:C75)</f>
        <v>0</v>
      </c>
      <c r="D72" s="91">
        <f>SUM(D73:D75)</f>
        <v>0</v>
      </c>
      <c r="E72" s="91">
        <f>SUM(E73:E75)</f>
        <v>0</v>
      </c>
      <c r="F72" s="91"/>
      <c r="G72" s="91">
        <f>SUM(G73:G75)</f>
        <v>0</v>
      </c>
      <c r="H72" s="91">
        <f>SUM(H73:H75)</f>
        <v>0</v>
      </c>
      <c r="I72" s="91">
        <f>SUM(I73:I75)</f>
        <v>-199000</v>
      </c>
      <c r="J72" s="91">
        <f>SUM(J73:J75)</f>
        <v>-199000</v>
      </c>
      <c r="K72" s="91">
        <f>SUM(K73:K75)</f>
        <v>-199000</v>
      </c>
      <c r="L72" s="91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</row>
    <row r="73" spans="1:43" s="96" customFormat="1" ht="12.75" outlineLevel="2">
      <c r="A73" s="93"/>
      <c r="B73" s="106" t="s">
        <v>764</v>
      </c>
      <c r="C73" s="95"/>
      <c r="D73" s="95"/>
      <c r="E73" s="95"/>
      <c r="F73" s="95"/>
      <c r="G73" s="95"/>
      <c r="H73" s="95"/>
      <c r="I73" s="95">
        <v>-196000</v>
      </c>
      <c r="J73" s="95">
        <v>-196000</v>
      </c>
      <c r="K73" s="95">
        <v>-196000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</row>
    <row r="74" spans="1:43" s="96" customFormat="1" ht="12.75" outlineLevel="2">
      <c r="A74" s="93"/>
      <c r="B74" s="106" t="s">
        <v>766</v>
      </c>
      <c r="C74" s="95"/>
      <c r="D74" s="95"/>
      <c r="E74" s="95"/>
      <c r="F74" s="95"/>
      <c r="G74" s="95"/>
      <c r="H74" s="95"/>
      <c r="I74" s="95">
        <v>-3000</v>
      </c>
      <c r="J74" s="95">
        <v>-3000</v>
      </c>
      <c r="K74" s="95">
        <v>-3000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</row>
    <row r="75" spans="1:43" s="96" customFormat="1" ht="12.75" outlineLevel="2">
      <c r="A75" s="9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</row>
    <row r="76" spans="1:43" s="92" customFormat="1" ht="12.75" outlineLevel="1">
      <c r="A76" s="90"/>
      <c r="B76" s="105" t="s">
        <v>175</v>
      </c>
      <c r="C76" s="91">
        <f>SUM(C77:C79)</f>
        <v>0</v>
      </c>
      <c r="D76" s="91">
        <f>SUM(D77:D79)</f>
        <v>0</v>
      </c>
      <c r="E76" s="91">
        <f>SUM(E77:E79)</f>
        <v>0</v>
      </c>
      <c r="F76" s="91"/>
      <c r="G76" s="91">
        <f>SUM(G77:G79)</f>
        <v>0</v>
      </c>
      <c r="H76" s="91">
        <f>SUM(H77:H79)</f>
        <v>0</v>
      </c>
      <c r="I76" s="91">
        <f>SUM(I77:I79)</f>
        <v>-104000</v>
      </c>
      <c r="J76" s="91">
        <f>SUM(J77:J79)</f>
        <v>-104000</v>
      </c>
      <c r="K76" s="91">
        <f>SUM(K77:K79)</f>
        <v>-104000</v>
      </c>
      <c r="L76" s="91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</row>
    <row r="77" spans="1:43" s="96" customFormat="1" ht="12.75" outlineLevel="2">
      <c r="A77" s="93"/>
      <c r="B77" s="106" t="s">
        <v>765</v>
      </c>
      <c r="C77" s="95"/>
      <c r="D77" s="95"/>
      <c r="E77" s="95"/>
      <c r="F77" s="95"/>
      <c r="G77" s="95"/>
      <c r="H77" s="95"/>
      <c r="I77" s="95">
        <v>-4000</v>
      </c>
      <c r="J77" s="95">
        <v>-4000</v>
      </c>
      <c r="K77" s="95">
        <v>-4000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</row>
    <row r="78" spans="1:43" s="96" customFormat="1" ht="12.75" outlineLevel="2">
      <c r="A78" s="93"/>
      <c r="B78" s="106" t="s">
        <v>767</v>
      </c>
      <c r="C78" s="95"/>
      <c r="D78" s="95"/>
      <c r="E78" s="95"/>
      <c r="F78" s="95"/>
      <c r="G78" s="95"/>
      <c r="H78" s="95"/>
      <c r="I78" s="95">
        <v>-100000</v>
      </c>
      <c r="J78" s="95">
        <v>-100000</v>
      </c>
      <c r="K78" s="95">
        <v>-100000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</row>
    <row r="79" spans="1:43" s="96" customFormat="1" ht="12.75" outlineLevel="2">
      <c r="A79" s="93"/>
      <c r="B79" s="106"/>
      <c r="C79" s="95"/>
      <c r="D79" s="95"/>
      <c r="E79" s="95"/>
      <c r="F79" s="95"/>
      <c r="G79" s="95"/>
      <c r="H79" s="95"/>
      <c r="I79" s="95"/>
      <c r="J79" s="95"/>
      <c r="K79" s="95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</row>
    <row r="80" spans="1:43" s="92" customFormat="1" ht="12.75" outlineLevel="1">
      <c r="A80" s="90"/>
      <c r="B80" s="105" t="s">
        <v>176</v>
      </c>
      <c r="C80" s="91">
        <f>SUM(C81:C83)</f>
        <v>0</v>
      </c>
      <c r="D80" s="91">
        <f>SUM(D81:D83)</f>
        <v>0</v>
      </c>
      <c r="E80" s="91">
        <f>SUM(E81:E83)</f>
        <v>0</v>
      </c>
      <c r="F80" s="91"/>
      <c r="G80" s="91">
        <f>SUM(G81:G83)</f>
        <v>0</v>
      </c>
      <c r="H80" s="91">
        <f>SUM(H81:H83)</f>
        <v>0</v>
      </c>
      <c r="I80" s="91">
        <f>SUM(I81:I83)</f>
        <v>-75000</v>
      </c>
      <c r="J80" s="91">
        <f>SUM(J81:J83)</f>
        <v>-75000</v>
      </c>
      <c r="K80" s="91">
        <f>SUM(K81:K83)</f>
        <v>-75000</v>
      </c>
      <c r="L80" s="91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</row>
    <row r="81" spans="1:43" s="96" customFormat="1" ht="12.75" outlineLevel="2">
      <c r="A81" s="93"/>
      <c r="B81" s="106" t="s">
        <v>768</v>
      </c>
      <c r="C81" s="95"/>
      <c r="D81" s="95"/>
      <c r="E81" s="95"/>
      <c r="F81" s="95"/>
      <c r="G81" s="95"/>
      <c r="H81" s="95"/>
      <c r="I81" s="95">
        <v>-60000</v>
      </c>
      <c r="J81" s="95">
        <v>-60000</v>
      </c>
      <c r="K81" s="95">
        <v>-60000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</row>
    <row r="82" spans="1:43" s="96" customFormat="1" ht="12.75" outlineLevel="2">
      <c r="A82" s="93"/>
      <c r="B82" s="106" t="s">
        <v>769</v>
      </c>
      <c r="C82" s="95"/>
      <c r="D82" s="95"/>
      <c r="E82" s="95"/>
      <c r="F82" s="95"/>
      <c r="G82" s="95"/>
      <c r="H82" s="95"/>
      <c r="I82" s="95">
        <v>-15000</v>
      </c>
      <c r="J82" s="95">
        <v>-15000</v>
      </c>
      <c r="K82" s="95">
        <v>-15000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</row>
    <row r="83" spans="1:43" s="96" customFormat="1" ht="12.75" outlineLevel="2">
      <c r="A83" s="93"/>
      <c r="B83" s="106"/>
      <c r="C83" s="95"/>
      <c r="D83" s="95"/>
      <c r="E83" s="95"/>
      <c r="F83" s="95"/>
      <c r="G83" s="95"/>
      <c r="H83" s="95"/>
      <c r="I83" s="95"/>
      <c r="J83" s="95"/>
      <c r="K83" s="95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</row>
    <row r="84" spans="1:43" s="92" customFormat="1" ht="12.75" outlineLevel="1">
      <c r="A84" s="90"/>
      <c r="B84" s="105" t="s">
        <v>143</v>
      </c>
      <c r="C84" s="91">
        <f>SUM(C85:C88)</f>
        <v>0</v>
      </c>
      <c r="D84" s="91">
        <f>SUM(D85:D88)</f>
        <v>0</v>
      </c>
      <c r="E84" s="91">
        <f>SUM(E85:E88)</f>
        <v>0</v>
      </c>
      <c r="F84" s="91"/>
      <c r="G84" s="91">
        <f>SUM(G85:G88)</f>
        <v>0</v>
      </c>
      <c r="H84" s="91">
        <f>SUM(H85:H88)</f>
        <v>0</v>
      </c>
      <c r="I84" s="91">
        <f>SUM(I85:I88)</f>
        <v>-58000</v>
      </c>
      <c r="J84" s="91">
        <f>SUM(J85:J88)</f>
        <v>-58000</v>
      </c>
      <c r="K84" s="91">
        <f>SUM(K85:K88)</f>
        <v>-58000</v>
      </c>
      <c r="L84" s="91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</row>
    <row r="85" spans="1:43" s="96" customFormat="1" ht="12.75" outlineLevel="2">
      <c r="A85" s="93"/>
      <c r="B85" s="106" t="s">
        <v>770</v>
      </c>
      <c r="C85" s="95"/>
      <c r="D85" s="95"/>
      <c r="E85" s="95"/>
      <c r="F85" s="95"/>
      <c r="G85" s="95"/>
      <c r="H85" s="95"/>
      <c r="I85" s="95">
        <v>-30000</v>
      </c>
      <c r="J85" s="95">
        <v>-30000</v>
      </c>
      <c r="K85" s="95">
        <v>-30000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</row>
    <row r="86" spans="1:43" s="96" customFormat="1" ht="12.75" outlineLevel="2">
      <c r="A86" s="93"/>
      <c r="B86" s="106" t="s">
        <v>771</v>
      </c>
      <c r="C86" s="95"/>
      <c r="D86" s="95"/>
      <c r="E86" s="95"/>
      <c r="F86" s="95"/>
      <c r="G86" s="95"/>
      <c r="H86" s="95"/>
      <c r="I86" s="95">
        <v>-18000</v>
      </c>
      <c r="J86" s="95">
        <v>-18000</v>
      </c>
      <c r="K86" s="95">
        <v>-18000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</row>
    <row r="87" spans="1:43" s="96" customFormat="1" ht="12.75" outlineLevel="2">
      <c r="A87" s="93"/>
      <c r="B87" s="106" t="s">
        <v>772</v>
      </c>
      <c r="C87" s="95"/>
      <c r="D87" s="95"/>
      <c r="E87" s="95"/>
      <c r="F87" s="95"/>
      <c r="G87" s="95"/>
      <c r="H87" s="95"/>
      <c r="I87" s="95">
        <v>-10000</v>
      </c>
      <c r="J87" s="95">
        <v>-10000</v>
      </c>
      <c r="K87" s="95">
        <v>-10000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</row>
    <row r="88" spans="1:43" s="96" customFormat="1" ht="12.75" outlineLevel="2">
      <c r="A88" s="93"/>
      <c r="B88" s="106"/>
      <c r="C88" s="95"/>
      <c r="D88" s="95"/>
      <c r="E88" s="95"/>
      <c r="F88" s="95"/>
      <c r="G88" s="95"/>
      <c r="H88" s="95"/>
      <c r="I88" s="95"/>
      <c r="J88" s="95"/>
      <c r="K88" s="95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</row>
    <row r="89" spans="1:43" s="92" customFormat="1" ht="12.75" outlineLevel="1">
      <c r="A89" s="90"/>
      <c r="B89" s="105" t="s">
        <v>178</v>
      </c>
      <c r="C89" s="91">
        <f>SUM(C90:C92)</f>
        <v>0</v>
      </c>
      <c r="D89" s="91">
        <f>SUM(D90:D92)</f>
        <v>0</v>
      </c>
      <c r="E89" s="91">
        <f>SUM(E90:E92)</f>
        <v>0</v>
      </c>
      <c r="F89" s="91"/>
      <c r="G89" s="91">
        <f>SUM(G90:G92)</f>
        <v>0</v>
      </c>
      <c r="H89" s="91">
        <f>SUM(H90:H92)</f>
        <v>0</v>
      </c>
      <c r="I89" s="91">
        <f>SUM(I90:I92)</f>
        <v>-2000</v>
      </c>
      <c r="J89" s="91">
        <f>SUM(J90:J92)</f>
        <v>-2000</v>
      </c>
      <c r="K89" s="91">
        <f>SUM(K90:K92)</f>
        <v>-2000</v>
      </c>
      <c r="L89" s="91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</row>
    <row r="90" spans="1:43" s="96" customFormat="1" ht="12.75" outlineLevel="2">
      <c r="A90" s="93"/>
      <c r="B90" s="106" t="s">
        <v>773</v>
      </c>
      <c r="C90" s="95"/>
      <c r="D90" s="95"/>
      <c r="E90" s="95"/>
      <c r="F90" s="95"/>
      <c r="G90" s="95"/>
      <c r="H90" s="95"/>
      <c r="I90" s="95">
        <v>-1000</v>
      </c>
      <c r="J90" s="95">
        <v>-1000</v>
      </c>
      <c r="K90" s="95">
        <v>-1000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</row>
    <row r="91" spans="1:43" s="96" customFormat="1" ht="12.75" outlineLevel="2">
      <c r="A91" s="93"/>
      <c r="B91" s="106" t="s">
        <v>774</v>
      </c>
      <c r="C91" s="95"/>
      <c r="D91" s="95"/>
      <c r="E91" s="95"/>
      <c r="F91" s="95"/>
      <c r="G91" s="95"/>
      <c r="H91" s="95"/>
      <c r="I91" s="95">
        <v>-1000</v>
      </c>
      <c r="J91" s="95">
        <v>-1000</v>
      </c>
      <c r="K91" s="95">
        <v>-1000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</row>
    <row r="92" spans="1:43" s="96" customFormat="1" ht="12.75" outlineLevel="2">
      <c r="A92" s="93"/>
      <c r="B92" s="106"/>
      <c r="C92" s="95"/>
      <c r="D92" s="95"/>
      <c r="E92" s="95"/>
      <c r="F92" s="95"/>
      <c r="G92" s="95"/>
      <c r="H92" s="95"/>
      <c r="I92" s="95"/>
      <c r="J92" s="95"/>
      <c r="K92" s="95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</row>
    <row r="93" spans="1:43" s="92" customFormat="1" ht="12.75" outlineLevel="1">
      <c r="A93" s="90"/>
      <c r="B93" s="105" t="s">
        <v>191</v>
      </c>
      <c r="C93" s="91">
        <f>SUM(C101:C101)</f>
        <v>0</v>
      </c>
      <c r="D93" s="91">
        <f>SUM(D101:D101)</f>
        <v>0</v>
      </c>
      <c r="E93" s="91">
        <f>SUM(E101:E101)</f>
        <v>0</v>
      </c>
      <c r="F93" s="91"/>
      <c r="G93" s="91">
        <f>SUM(G101:G101)</f>
        <v>0</v>
      </c>
      <c r="H93" s="91">
        <f>SUM(H101:H101)</f>
        <v>0</v>
      </c>
      <c r="I93" s="91">
        <f>I99</f>
        <v>-10370.370370370369</v>
      </c>
      <c r="J93" s="91">
        <f>J99</f>
        <v>-14035.087719298248</v>
      </c>
      <c r="K93" s="91">
        <f>K99</f>
        <v>-18666.666666666668</v>
      </c>
      <c r="L93" s="91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</row>
    <row r="94" spans="1:43" s="96" customFormat="1" ht="12.75" outlineLevel="2">
      <c r="A94" s="93"/>
      <c r="B94" s="106" t="s">
        <v>796</v>
      </c>
      <c r="C94" s="284"/>
      <c r="D94" s="284"/>
      <c r="E94" s="284"/>
      <c r="F94" s="284"/>
      <c r="G94" s="284"/>
      <c r="H94" s="284"/>
      <c r="I94" s="284">
        <f>I41</f>
        <v>518.51851851851848</v>
      </c>
      <c r="J94" s="284">
        <f>J41</f>
        <v>701.75438596491233</v>
      </c>
      <c r="K94" s="284">
        <f>K41</f>
        <v>933.33333333333337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</row>
    <row r="95" spans="1:43" s="96" customFormat="1" ht="12.75" outlineLevel="2">
      <c r="A95" s="93"/>
      <c r="B95" s="106" t="s">
        <v>885</v>
      </c>
      <c r="C95" s="284"/>
      <c r="D95" s="284"/>
      <c r="E95" s="284"/>
      <c r="F95" s="284"/>
      <c r="G95" s="284"/>
      <c r="H95" s="284"/>
      <c r="I95" s="284">
        <v>35</v>
      </c>
      <c r="J95" s="284">
        <f>I95</f>
        <v>35</v>
      </c>
      <c r="K95" s="284">
        <f>J95</f>
        <v>35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</row>
    <row r="96" spans="1:43" s="96" customFormat="1" ht="12.75" outlineLevel="2">
      <c r="A96" s="93"/>
      <c r="B96" s="106" t="s">
        <v>886</v>
      </c>
      <c r="C96" s="284"/>
      <c r="D96" s="284"/>
      <c r="E96" s="284"/>
      <c r="F96" s="284"/>
      <c r="G96" s="284"/>
      <c r="H96" s="284"/>
      <c r="I96" s="284">
        <f>I94/I95</f>
        <v>14.814814814814813</v>
      </c>
      <c r="J96" s="284">
        <f>J94/J95</f>
        <v>20.05012531328321</v>
      </c>
      <c r="K96" s="284">
        <f>K94/K95</f>
        <v>26.666666666666668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</row>
    <row r="97" spans="1:43" s="96" customFormat="1" ht="12.75" outlineLevel="2">
      <c r="A97" s="93"/>
      <c r="B97" s="106" t="s">
        <v>888</v>
      </c>
      <c r="C97" s="284"/>
      <c r="D97" s="284"/>
      <c r="E97" s="284"/>
      <c r="F97" s="284"/>
      <c r="G97" s="284"/>
      <c r="H97" s="284"/>
      <c r="I97" s="284">
        <v>1</v>
      </c>
      <c r="J97" s="284">
        <f>I97</f>
        <v>1</v>
      </c>
      <c r="K97" s="284">
        <f>J97</f>
        <v>1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</row>
    <row r="98" spans="1:43" s="96" customFormat="1" ht="12.75" outlineLevel="2">
      <c r="A98" s="93"/>
      <c r="B98" s="106" t="s">
        <v>887</v>
      </c>
      <c r="C98" s="95"/>
      <c r="D98" s="95"/>
      <c r="E98" s="95"/>
      <c r="F98" s="95"/>
      <c r="G98" s="95"/>
      <c r="H98" s="95"/>
      <c r="I98" s="95">
        <v>700</v>
      </c>
      <c r="J98" s="95">
        <f>I98</f>
        <v>700</v>
      </c>
      <c r="K98" s="95">
        <f>J98</f>
        <v>700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</row>
    <row r="99" spans="1:43" s="96" customFormat="1" ht="12.75" outlineLevel="2">
      <c r="A99" s="93"/>
      <c r="B99" s="106" t="s">
        <v>889</v>
      </c>
      <c r="C99" s="95"/>
      <c r="D99" s="95"/>
      <c r="E99" s="95"/>
      <c r="F99" s="95"/>
      <c r="G99" s="95"/>
      <c r="H99" s="95"/>
      <c r="I99" s="95">
        <f>-I98*I96</f>
        <v>-10370.370370370369</v>
      </c>
      <c r="J99" s="95">
        <f>-J98*J96</f>
        <v>-14035.087719298248</v>
      </c>
      <c r="K99" s="95">
        <f>-K98*K96</f>
        <v>-18666.666666666668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</row>
    <row r="100" spans="1:43" s="96" customFormat="1" ht="12.75" outlineLevel="2">
      <c r="A100" s="93"/>
      <c r="B100" s="106" t="s">
        <v>890</v>
      </c>
      <c r="C100" s="95"/>
      <c r="D100" s="95"/>
      <c r="E100" s="95"/>
      <c r="F100" s="95"/>
      <c r="G100" s="95"/>
      <c r="H100" s="95"/>
      <c r="I100" s="95">
        <f>I99/I94</f>
        <v>-20</v>
      </c>
      <c r="J100" s="95">
        <f>J99/J94</f>
        <v>-20.000000000000004</v>
      </c>
      <c r="K100" s="95">
        <f>K99/K94</f>
        <v>-20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</row>
    <row r="101" spans="1:43" s="96" customFormat="1" ht="12.75" outlineLevel="2">
      <c r="A101" s="93"/>
      <c r="B101" s="106"/>
      <c r="C101" s="95"/>
      <c r="D101" s="95"/>
      <c r="E101" s="95"/>
      <c r="F101" s="95"/>
      <c r="G101" s="95"/>
      <c r="H101" s="95"/>
      <c r="I101" s="95"/>
      <c r="J101" s="95"/>
      <c r="K101" s="95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</row>
    <row r="102" spans="1:43" s="92" customFormat="1" ht="12.75" outlineLevel="1">
      <c r="A102" s="90"/>
      <c r="B102" s="105" t="s">
        <v>499</v>
      </c>
      <c r="C102" s="91">
        <f>SUM(C103:C103)</f>
        <v>0</v>
      </c>
      <c r="D102" s="91">
        <f>SUM(D103:D103)</f>
        <v>0</v>
      </c>
      <c r="E102" s="91">
        <f>SUM(E103:E103)</f>
        <v>0</v>
      </c>
      <c r="F102" s="91"/>
      <c r="G102" s="91">
        <f>SUM(G103:G103)</f>
        <v>0</v>
      </c>
      <c r="H102" s="91">
        <f>SUM(H103:H103)</f>
        <v>0</v>
      </c>
      <c r="I102" s="91">
        <f>SUM(I103:I103)</f>
        <v>0</v>
      </c>
      <c r="J102" s="91">
        <f>SUM(J103:J103)</f>
        <v>0</v>
      </c>
      <c r="K102" s="91">
        <f>SUM(K103:K103)</f>
        <v>0</v>
      </c>
      <c r="L102" s="91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</row>
    <row r="103" spans="1:43" s="96" customFormat="1" ht="12.75" outlineLevel="2">
      <c r="A103" s="93"/>
      <c r="B103" s="106"/>
      <c r="C103" s="95"/>
      <c r="D103" s="95"/>
      <c r="E103" s="95"/>
      <c r="F103" s="95"/>
      <c r="G103" s="95"/>
      <c r="H103" s="95"/>
      <c r="I103" s="95"/>
      <c r="J103" s="95"/>
      <c r="K103" s="95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</row>
    <row r="104" spans="1:43" s="92" customFormat="1" ht="12.75" outlineLevel="1">
      <c r="A104" s="90"/>
      <c r="B104" s="105" t="s">
        <v>180</v>
      </c>
      <c r="C104" s="91">
        <f>SUM(C105:C109)</f>
        <v>0</v>
      </c>
      <c r="D104" s="91">
        <f>SUM(D105:D109)</f>
        <v>0</v>
      </c>
      <c r="E104" s="91">
        <f>SUM(E105:E109)</f>
        <v>0</v>
      </c>
      <c r="F104" s="91"/>
      <c r="G104" s="91">
        <f>SUM(G105:G109)</f>
        <v>0</v>
      </c>
      <c r="H104" s="91">
        <f>SUM(H105:H109)</f>
        <v>0</v>
      </c>
      <c r="I104" s="91">
        <f>SUM(I105:I109)</f>
        <v>-9700</v>
      </c>
      <c r="J104" s="91">
        <f>SUM(J105:J109)</f>
        <v>-9700</v>
      </c>
      <c r="K104" s="91">
        <f>SUM(K105:K109)</f>
        <v>-9700</v>
      </c>
      <c r="L104" s="91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</row>
    <row r="105" spans="1:43" s="96" customFormat="1" ht="12.75" outlineLevel="2">
      <c r="A105" s="93"/>
      <c r="B105" s="106" t="s">
        <v>145</v>
      </c>
      <c r="C105" s="95"/>
      <c r="D105" s="95"/>
      <c r="E105" s="95"/>
      <c r="F105" s="95"/>
      <c r="G105" s="95"/>
      <c r="H105" s="95"/>
      <c r="I105" s="95">
        <v>-200</v>
      </c>
      <c r="J105" s="95">
        <v>-200</v>
      </c>
      <c r="K105" s="95">
        <v>-200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</row>
    <row r="106" spans="1:43" s="96" customFormat="1" ht="12.75" outlineLevel="2">
      <c r="A106" s="93"/>
      <c r="B106" s="106" t="s">
        <v>775</v>
      </c>
      <c r="C106" s="95"/>
      <c r="D106" s="95"/>
      <c r="E106" s="95"/>
      <c r="F106" s="95"/>
      <c r="G106" s="95"/>
      <c r="H106" s="95"/>
      <c r="I106" s="95">
        <v>-1500</v>
      </c>
      <c r="J106" s="95">
        <v>-1500</v>
      </c>
      <c r="K106" s="95">
        <v>-1500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</row>
    <row r="107" spans="1:43" s="96" customFormat="1" ht="12.75" outlineLevel="2">
      <c r="A107" s="93"/>
      <c r="B107" s="106" t="s">
        <v>776</v>
      </c>
      <c r="C107" s="95"/>
      <c r="D107" s="95"/>
      <c r="E107" s="95"/>
      <c r="F107" s="95"/>
      <c r="G107" s="95"/>
      <c r="H107" s="95"/>
      <c r="I107" s="95">
        <v>-8000</v>
      </c>
      <c r="J107" s="95">
        <v>-8000</v>
      </c>
      <c r="K107" s="95">
        <v>-8000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</row>
    <row r="108" spans="1:43" s="96" customFormat="1" ht="12.75" outlineLevel="2">
      <c r="A108" s="93"/>
      <c r="B108" s="106"/>
      <c r="C108" s="95"/>
      <c r="D108" s="95"/>
      <c r="E108" s="95"/>
      <c r="F108" s="95"/>
      <c r="G108" s="95"/>
      <c r="H108" s="95"/>
      <c r="I108" s="95"/>
      <c r="J108" s="95"/>
      <c r="K108" s="95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</row>
    <row r="109" spans="1:43" s="96" customFormat="1" ht="12.75" outlineLevel="1">
      <c r="A109" s="93"/>
      <c r="B109" s="106"/>
      <c r="C109" s="95"/>
      <c r="D109" s="95"/>
      <c r="E109" s="95"/>
      <c r="F109" s="95"/>
      <c r="G109" s="95"/>
      <c r="H109" s="95"/>
      <c r="I109" s="95"/>
      <c r="J109" s="95"/>
      <c r="K109" s="95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</row>
    <row r="110" spans="1:43" ht="15.75">
      <c r="A110" s="83"/>
      <c r="B110" s="100" t="s">
        <v>181</v>
      </c>
      <c r="C110" s="110">
        <f>C54+C56</f>
        <v>0</v>
      </c>
      <c r="D110" s="110">
        <f>D54+D56</f>
        <v>0</v>
      </c>
      <c r="E110" s="110">
        <f>E54+E56</f>
        <v>0</v>
      </c>
      <c r="F110" s="277"/>
      <c r="G110" s="110">
        <f>G54+G56</f>
        <v>0</v>
      </c>
      <c r="H110" s="110">
        <f>H54+H56</f>
        <v>0</v>
      </c>
      <c r="I110" s="110">
        <f>I54+I56</f>
        <v>108029.62962962966</v>
      </c>
      <c r="J110" s="110">
        <f>J54+J56</f>
        <v>484264.91228070157</v>
      </c>
      <c r="K110" s="110">
        <f>K54+K56</f>
        <v>1012833.3333333334</v>
      </c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</row>
    <row r="111" spans="1:43" ht="16.5" thickBot="1">
      <c r="A111" s="83"/>
      <c r="B111" s="101" t="s">
        <v>106</v>
      </c>
      <c r="C111" s="102" t="e">
        <f>C110/C29</f>
        <v>#DIV/0!</v>
      </c>
      <c r="D111" s="102" t="e">
        <f>D110/D29</f>
        <v>#DIV/0!</v>
      </c>
      <c r="E111" s="102" t="e">
        <f>E110/E29</f>
        <v>#DIV/0!</v>
      </c>
      <c r="F111" s="276"/>
      <c r="G111" s="102" t="e">
        <f>G110/G29</f>
        <v>#DIV/0!</v>
      </c>
      <c r="H111" s="102" t="e">
        <f>H110/H29</f>
        <v>#DIV/0!</v>
      </c>
      <c r="I111" s="102">
        <f>I110/I29</f>
        <v>7.5281971867337746E-2</v>
      </c>
      <c r="J111" s="102">
        <f>J110/J29</f>
        <v>0.22523949408404725</v>
      </c>
      <c r="K111" s="102">
        <f>K110/K29</f>
        <v>0.32153439153439156</v>
      </c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</row>
    <row r="112" spans="1:43" ht="15.75">
      <c r="A112" s="107"/>
      <c r="B112" s="83" t="s">
        <v>262</v>
      </c>
      <c r="C112" s="104"/>
      <c r="D112" s="104"/>
      <c r="E112" s="104"/>
      <c r="F112" s="104"/>
      <c r="G112" s="104"/>
      <c r="H112" s="104"/>
      <c r="I112" s="104"/>
      <c r="J112" s="104"/>
      <c r="K112" s="104"/>
      <c r="L112" s="108"/>
      <c r="M112" s="108"/>
      <c r="N112" s="109"/>
      <c r="O112" s="109"/>
      <c r="P112" s="109"/>
      <c r="Q112" s="109"/>
      <c r="R112" s="109"/>
      <c r="S112" s="109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</row>
    <row r="113" spans="1:42" s="96" customFormat="1" ht="12.75" outlineLevel="1">
      <c r="A113" s="93"/>
      <c r="B113" s="106"/>
      <c r="C113" s="95"/>
      <c r="D113" s="95"/>
      <c r="E113" s="95"/>
      <c r="F113" s="95"/>
      <c r="G113" s="95"/>
      <c r="H113" s="95"/>
      <c r="I113" s="95"/>
      <c r="J113" s="95"/>
      <c r="K113" s="95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</row>
    <row r="114" spans="1:42" ht="15.75">
      <c r="A114" s="107"/>
      <c r="B114" s="97" t="s">
        <v>22</v>
      </c>
      <c r="C114" s="104">
        <f>SUM(C115:C119)</f>
        <v>0</v>
      </c>
      <c r="D114" s="104">
        <f>SUM(D115:D119)</f>
        <v>0</v>
      </c>
      <c r="E114" s="104">
        <f>SUM(E115:E119)</f>
        <v>0</v>
      </c>
      <c r="F114" s="104"/>
      <c r="G114" s="104">
        <f>SUM(G115:G119)</f>
        <v>0</v>
      </c>
      <c r="H114" s="104">
        <f>SUM(H115:H119)</f>
        <v>0</v>
      </c>
      <c r="I114" s="104">
        <f>SUM(I115:I119)</f>
        <v>-37690</v>
      </c>
      <c r="J114" s="104">
        <f>SUM(J115:J119)</f>
        <v>-37595</v>
      </c>
      <c r="K114" s="104">
        <f>SUM(K115:K119)</f>
        <v>-37494</v>
      </c>
      <c r="L114" s="108"/>
      <c r="M114" s="108"/>
      <c r="N114" s="109"/>
      <c r="O114" s="109"/>
      <c r="P114" s="109"/>
      <c r="Q114" s="109"/>
      <c r="R114" s="109"/>
      <c r="S114" s="109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</row>
    <row r="115" spans="1:42" s="96" customFormat="1" ht="12.75" outlineLevel="1">
      <c r="A115" s="93"/>
      <c r="B115" s="106" t="s">
        <v>514</v>
      </c>
      <c r="C115" s="95"/>
      <c r="D115" s="95"/>
      <c r="E115" s="95"/>
      <c r="F115" s="95"/>
      <c r="G115" s="95"/>
      <c r="H115" s="95"/>
      <c r="I115" s="95">
        <v>-35000</v>
      </c>
      <c r="J115" s="95">
        <v>-35000</v>
      </c>
      <c r="K115" s="95">
        <v>-35000</v>
      </c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</row>
    <row r="116" spans="1:42" s="96" customFormat="1" ht="12.75" outlineLevel="1">
      <c r="A116" s="93"/>
      <c r="B116" s="106" t="s">
        <v>382</v>
      </c>
      <c r="C116" s="95"/>
      <c r="D116" s="95"/>
      <c r="E116" s="95"/>
      <c r="F116" s="95"/>
      <c r="G116" s="95"/>
      <c r="H116" s="95"/>
      <c r="I116" s="95">
        <v>-353</v>
      </c>
      <c r="J116" s="95">
        <v>-211</v>
      </c>
      <c r="K116" s="95">
        <v>-63</v>
      </c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</row>
    <row r="117" spans="1:42" s="96" customFormat="1" ht="12.75" outlineLevel="1">
      <c r="A117" s="93"/>
      <c r="B117" s="106" t="s">
        <v>126</v>
      </c>
      <c r="C117" s="95"/>
      <c r="D117" s="95"/>
      <c r="E117" s="95"/>
      <c r="F117" s="95"/>
      <c r="G117" s="95"/>
      <c r="H117" s="95"/>
      <c r="I117" s="95">
        <v>-1292</v>
      </c>
      <c r="J117" s="95">
        <v>-1318</v>
      </c>
      <c r="K117" s="95">
        <v>-1344</v>
      </c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</row>
    <row r="118" spans="1:42" s="96" customFormat="1" ht="12.75" outlineLevel="1">
      <c r="A118" s="93"/>
      <c r="B118" s="106" t="s">
        <v>777</v>
      </c>
      <c r="C118" s="95"/>
      <c r="D118" s="95"/>
      <c r="E118" s="95"/>
      <c r="F118" s="95"/>
      <c r="G118" s="95"/>
      <c r="H118" s="95"/>
      <c r="I118" s="95">
        <v>-1045</v>
      </c>
      <c r="J118" s="95">
        <v>-1066</v>
      </c>
      <c r="K118" s="95">
        <v>-1087</v>
      </c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</row>
    <row r="119" spans="1:42" s="96" customFormat="1" ht="12.75" outlineLevel="1">
      <c r="A119" s="93"/>
      <c r="B119" s="106"/>
      <c r="C119" s="95"/>
      <c r="D119" s="95"/>
      <c r="E119" s="95"/>
      <c r="F119" s="95"/>
      <c r="G119" s="95"/>
      <c r="H119" s="95"/>
      <c r="I119" s="95"/>
      <c r="J119" s="95"/>
      <c r="K119" s="95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</row>
    <row r="120" spans="1:42" ht="15.75">
      <c r="A120" s="107"/>
      <c r="B120" s="97" t="s">
        <v>21</v>
      </c>
      <c r="C120" s="104">
        <f>C122+C125</f>
        <v>0</v>
      </c>
      <c r="D120" s="104">
        <f>D122+D125</f>
        <v>0</v>
      </c>
      <c r="E120" s="104">
        <f>E122+E125</f>
        <v>0</v>
      </c>
      <c r="F120" s="104"/>
      <c r="G120" s="104">
        <f t="shared" ref="G120:K120" si="3">G122+G125</f>
        <v>0</v>
      </c>
      <c r="H120" s="104">
        <f t="shared" si="3"/>
        <v>0</v>
      </c>
      <c r="I120" s="104">
        <f t="shared" si="3"/>
        <v>-247001</v>
      </c>
      <c r="J120" s="104">
        <f t="shared" si="3"/>
        <v>-251940</v>
      </c>
      <c r="K120" s="104">
        <f t="shared" si="3"/>
        <v>-256980</v>
      </c>
      <c r="L120" s="108"/>
      <c r="M120" s="104"/>
      <c r="N120" s="341"/>
      <c r="O120" s="303"/>
      <c r="P120" s="303"/>
      <c r="Q120" s="303"/>
      <c r="R120" s="303"/>
      <c r="S120" s="303"/>
      <c r="T120" s="304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</row>
    <row r="121" spans="1:42" s="96" customFormat="1" ht="12.75" outlineLevel="1">
      <c r="A121" s="93"/>
      <c r="B121" s="106"/>
      <c r="C121" s="95"/>
      <c r="D121" s="95"/>
      <c r="E121" s="95"/>
      <c r="F121" s="95"/>
      <c r="G121" s="95"/>
      <c r="H121" s="95"/>
      <c r="I121" s="95"/>
      <c r="J121" s="95"/>
      <c r="K121" s="95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</row>
    <row r="122" spans="1:42" s="96" customFormat="1" ht="12.75" outlineLevel="1">
      <c r="A122" s="93"/>
      <c r="B122" s="105" t="s">
        <v>182</v>
      </c>
      <c r="C122" s="91">
        <f>SUM(C123:C124)</f>
        <v>0</v>
      </c>
      <c r="D122" s="91">
        <f>SUM(D123:D124)</f>
        <v>0</v>
      </c>
      <c r="E122" s="91">
        <f>SUM(E123:E124)</f>
        <v>0</v>
      </c>
      <c r="F122" s="91"/>
      <c r="G122" s="95"/>
      <c r="H122" s="95"/>
      <c r="I122" s="95">
        <v>-190000</v>
      </c>
      <c r="J122" s="95">
        <v>-193800</v>
      </c>
      <c r="K122" s="95">
        <v>-197676</v>
      </c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</row>
    <row r="123" spans="1:42" s="96" customFormat="1" ht="12.75" outlineLevel="1">
      <c r="A123" s="93"/>
      <c r="B123" s="106" t="s">
        <v>778</v>
      </c>
      <c r="C123" s="95"/>
      <c r="D123" s="95"/>
      <c r="E123" s="95"/>
      <c r="F123" s="95"/>
      <c r="G123" s="95"/>
      <c r="H123" s="95"/>
      <c r="I123" s="95"/>
      <c r="J123" s="95"/>
      <c r="K123" s="95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</row>
    <row r="124" spans="1:42" s="96" customFormat="1" ht="12.75" outlineLevel="1">
      <c r="A124" s="93"/>
      <c r="B124" s="106"/>
      <c r="C124" s="95"/>
      <c r="D124" s="95"/>
      <c r="E124" s="95"/>
      <c r="F124" s="95"/>
      <c r="G124" s="95"/>
      <c r="H124" s="95"/>
      <c r="I124" s="95"/>
      <c r="J124" s="95"/>
      <c r="K124" s="95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</row>
    <row r="125" spans="1:42" s="96" customFormat="1" ht="12.75" outlineLevel="1">
      <c r="A125" s="93"/>
      <c r="B125" s="105" t="s">
        <v>19</v>
      </c>
      <c r="C125" s="91">
        <f>SUM(C126:C126)</f>
        <v>0</v>
      </c>
      <c r="D125" s="91">
        <f>SUM(D126:D126)</f>
        <v>0</v>
      </c>
      <c r="E125" s="91">
        <f>SUM(E126:E126)</f>
        <v>0</v>
      </c>
      <c r="F125" s="91"/>
      <c r="G125" s="95"/>
      <c r="H125" s="95"/>
      <c r="I125" s="95">
        <v>-57001</v>
      </c>
      <c r="J125" s="95">
        <f>-251940+193800</f>
        <v>-58140</v>
      </c>
      <c r="K125" s="95">
        <f>-256980+197676</f>
        <v>-59304</v>
      </c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</row>
    <row r="126" spans="1:42" s="96" customFormat="1" ht="12.75" outlineLevel="1">
      <c r="A126" s="93"/>
      <c r="B126" s="106"/>
      <c r="C126" s="95"/>
      <c r="D126" s="95"/>
      <c r="E126" s="95"/>
      <c r="F126" s="95"/>
      <c r="G126" s="95"/>
      <c r="H126" s="95"/>
      <c r="I126" s="95"/>
      <c r="J126" s="95"/>
      <c r="K126" s="95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</row>
    <row r="127" spans="1:42" ht="15.75">
      <c r="A127" s="83"/>
      <c r="B127" s="97" t="s">
        <v>20</v>
      </c>
      <c r="C127" s="89"/>
      <c r="D127" s="89"/>
      <c r="E127" s="89"/>
      <c r="F127" s="89"/>
      <c r="G127" s="89"/>
      <c r="H127" s="89"/>
      <c r="I127" s="89"/>
      <c r="J127" s="89"/>
      <c r="K127" s="89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</row>
    <row r="128" spans="1:42" ht="15.75">
      <c r="A128" s="83"/>
      <c r="B128" s="100" t="s">
        <v>24</v>
      </c>
      <c r="C128" s="110">
        <f>C110+C112+C114+C120+C127</f>
        <v>0</v>
      </c>
      <c r="D128" s="110">
        <f>D110+D112+D114+D120+D127</f>
        <v>0</v>
      </c>
      <c r="E128" s="110">
        <f>E110+E112+E114+E120+E127</f>
        <v>0</v>
      </c>
      <c r="F128" s="277"/>
      <c r="G128" s="110">
        <f>G110+G112+G114+G120+G127</f>
        <v>0</v>
      </c>
      <c r="H128" s="110">
        <f>H110+H112+H114+H120+H127</f>
        <v>0</v>
      </c>
      <c r="I128" s="110">
        <f>I110+I112+I114+I120+I127</f>
        <v>-176661.37037037034</v>
      </c>
      <c r="J128" s="110">
        <f>J110+J112+J114+J120+J127</f>
        <v>194729.91228070157</v>
      </c>
      <c r="K128" s="110">
        <f>K110+K112+K114+K120+K127</f>
        <v>718359.33333333337</v>
      </c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</row>
    <row r="129" spans="1:43" ht="16.5" thickBot="1">
      <c r="A129" s="83"/>
      <c r="B129" s="101" t="s">
        <v>106</v>
      </c>
      <c r="C129" s="102" t="e">
        <f>C128/C29</f>
        <v>#DIV/0!</v>
      </c>
      <c r="D129" s="102" t="e">
        <f>D128/D29</f>
        <v>#DIV/0!</v>
      </c>
      <c r="E129" s="102" t="e">
        <f>E128/E29</f>
        <v>#DIV/0!</v>
      </c>
      <c r="F129" s="276"/>
      <c r="G129" s="102" t="e">
        <f>G128/G29</f>
        <v>#DIV/0!</v>
      </c>
      <c r="H129" s="102" t="e">
        <f>H128/H29</f>
        <v>#DIV/0!</v>
      </c>
      <c r="I129" s="102">
        <f>I128/I29</f>
        <v>-0.12310896889921277</v>
      </c>
      <c r="J129" s="102">
        <f>J128/J29</f>
        <v>9.0572052223582125E-2</v>
      </c>
      <c r="K129" s="102">
        <f>K128/K29</f>
        <v>0.22805058201058201</v>
      </c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</row>
    <row r="130" spans="1:43" ht="15.75">
      <c r="A130" s="83"/>
      <c r="B130" s="97" t="s">
        <v>183</v>
      </c>
      <c r="C130" s="89"/>
      <c r="D130" s="89"/>
      <c r="E130" s="89"/>
      <c r="F130" s="89"/>
      <c r="G130" s="89"/>
      <c r="H130" s="89"/>
      <c r="I130" s="89"/>
      <c r="J130" s="89"/>
      <c r="K130" s="89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</row>
    <row r="131" spans="1:43" ht="15.75">
      <c r="A131" s="83"/>
      <c r="B131" s="97" t="s">
        <v>12</v>
      </c>
      <c r="C131" s="89"/>
      <c r="D131" s="89"/>
      <c r="E131" s="89"/>
      <c r="F131" s="89"/>
      <c r="G131" s="89"/>
      <c r="H131" s="89"/>
      <c r="I131" s="89"/>
      <c r="J131" s="89"/>
      <c r="K131" s="89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</row>
    <row r="132" spans="1:43" ht="15.75">
      <c r="A132" s="83"/>
      <c r="B132" s="97" t="s">
        <v>184</v>
      </c>
      <c r="C132" s="89">
        <f>SUM(C133:C133)</f>
        <v>0</v>
      </c>
      <c r="D132" s="89">
        <f>SUM(D133:D133)</f>
        <v>0</v>
      </c>
      <c r="E132" s="89">
        <f>SUM(E133:E133)</f>
        <v>0</v>
      </c>
      <c r="F132" s="89"/>
      <c r="G132" s="89"/>
      <c r="H132" s="89"/>
      <c r="I132" s="89">
        <f>-Investissement!D30/7</f>
        <v>-304948</v>
      </c>
      <c r="J132" s="89">
        <f>I132</f>
        <v>-304948</v>
      </c>
      <c r="K132" s="89">
        <f>J132</f>
        <v>-304948</v>
      </c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</row>
    <row r="133" spans="1:43" s="96" customFormat="1" ht="12.75" outlineLevel="1">
      <c r="A133" s="93"/>
      <c r="B133" s="106"/>
      <c r="C133" s="95"/>
      <c r="D133" s="95"/>
      <c r="E133" s="95"/>
      <c r="F133" s="95"/>
      <c r="G133" s="95"/>
      <c r="H133" s="95"/>
      <c r="I133" s="95"/>
      <c r="J133" s="95"/>
      <c r="K133" s="95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</row>
    <row r="134" spans="1:43" ht="15.75">
      <c r="A134" s="83"/>
      <c r="B134" s="97" t="s">
        <v>23</v>
      </c>
      <c r="C134" s="89"/>
      <c r="D134" s="89"/>
      <c r="E134" s="89"/>
      <c r="F134" s="89"/>
      <c r="G134" s="89"/>
      <c r="H134" s="89"/>
      <c r="I134" s="89"/>
      <c r="J134" s="89"/>
      <c r="K134" s="89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</row>
    <row r="135" spans="1:43" ht="15.75">
      <c r="A135" s="83"/>
      <c r="B135" s="100" t="s">
        <v>26</v>
      </c>
      <c r="C135" s="110">
        <f>C128+C130+C131+C134+C132</f>
        <v>0</v>
      </c>
      <c r="D135" s="110">
        <f>D128+D130+D131+D134+D132</f>
        <v>0</v>
      </c>
      <c r="E135" s="110">
        <f>E128+E130+E131+E134+E132</f>
        <v>0</v>
      </c>
      <c r="F135" s="277"/>
      <c r="G135" s="110">
        <f>G128+G130+G131+G134+G132</f>
        <v>0</v>
      </c>
      <c r="H135" s="110">
        <f>H128+H130+H131+H134+H132</f>
        <v>0</v>
      </c>
      <c r="I135" s="110">
        <f>I128+I130+I131+I134+I132</f>
        <v>-481609.37037037034</v>
      </c>
      <c r="J135" s="110">
        <f>J128+J130+J131+J134+J132</f>
        <v>-110218.08771929843</v>
      </c>
      <c r="K135" s="110">
        <f>K128+K130+K131+K134+K132</f>
        <v>413411.33333333337</v>
      </c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</row>
    <row r="136" spans="1:43" ht="16.5" thickBot="1">
      <c r="A136" s="83"/>
      <c r="B136" s="101" t="s">
        <v>106</v>
      </c>
      <c r="C136" s="102" t="e">
        <f>C135/C29</f>
        <v>#DIV/0!</v>
      </c>
      <c r="D136" s="102" t="e">
        <f>D135/D29</f>
        <v>#DIV/0!</v>
      </c>
      <c r="E136" s="102" t="e">
        <f>E135/E29</f>
        <v>#DIV/0!</v>
      </c>
      <c r="F136" s="276"/>
      <c r="G136" s="102" t="e">
        <f>G135/G29</f>
        <v>#DIV/0!</v>
      </c>
      <c r="H136" s="102" t="e">
        <f>H135/H29</f>
        <v>#DIV/0!</v>
      </c>
      <c r="I136" s="102">
        <f>I135/I29</f>
        <v>-0.33561628597238352</v>
      </c>
      <c r="J136" s="102">
        <f>J135/J29</f>
        <v>-5.1264226846185319E-2</v>
      </c>
      <c r="K136" s="102">
        <f>K135/K29</f>
        <v>0.13124169312169312</v>
      </c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</row>
    <row r="137" spans="1:43" s="111" customFormat="1" ht="15.75">
      <c r="A137" s="83"/>
      <c r="B137" s="97" t="s">
        <v>29</v>
      </c>
      <c r="C137" s="89">
        <f>C138+C139</f>
        <v>0</v>
      </c>
      <c r="D137" s="89">
        <f>D138+D139</f>
        <v>0</v>
      </c>
      <c r="E137" s="89">
        <f>E138+E139</f>
        <v>0</v>
      </c>
      <c r="F137" s="89"/>
      <c r="G137" s="89"/>
      <c r="H137" s="89"/>
      <c r="I137" s="89">
        <f>I139</f>
        <v>-73717</v>
      </c>
      <c r="J137" s="89">
        <f>J139</f>
        <v>-65148</v>
      </c>
      <c r="K137" s="89">
        <f>K139</f>
        <v>-56247</v>
      </c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</row>
    <row r="138" spans="1:43" ht="15.75" outlineLevel="1">
      <c r="A138" s="83"/>
      <c r="B138" s="105" t="s">
        <v>27</v>
      </c>
      <c r="C138" s="91"/>
      <c r="D138" s="91"/>
      <c r="E138" s="91"/>
      <c r="F138" s="91"/>
      <c r="G138" s="91"/>
      <c r="H138" s="95"/>
      <c r="I138" s="95"/>
      <c r="J138" s="95"/>
      <c r="K138" s="95"/>
      <c r="L138" s="95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ht="15.75" outlineLevel="1">
      <c r="A139" s="83"/>
      <c r="B139" s="105" t="s">
        <v>185</v>
      </c>
      <c r="C139" s="91">
        <f>SUM(C140:C142)</f>
        <v>0</v>
      </c>
      <c r="D139" s="91">
        <f>SUM(D140:D142)</f>
        <v>0</v>
      </c>
      <c r="E139" s="91">
        <f>SUM(E140:E142)</f>
        <v>0</v>
      </c>
      <c r="F139" s="91"/>
      <c r="G139" s="91"/>
      <c r="H139" s="91"/>
      <c r="I139" s="91">
        <f>SUM(I140:I142)</f>
        <v>-73717</v>
      </c>
      <c r="J139" s="91">
        <f>SUM(J140:J142)</f>
        <v>-65148</v>
      </c>
      <c r="K139" s="91">
        <f>SUM(K140:K142)</f>
        <v>-56247</v>
      </c>
      <c r="L139" s="95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</row>
    <row r="140" spans="1:43" s="96" customFormat="1" ht="12.75" outlineLevel="2">
      <c r="A140" s="93"/>
      <c r="B140" s="106" t="s">
        <v>837</v>
      </c>
      <c r="C140" s="95"/>
      <c r="D140" s="95"/>
      <c r="E140" s="95"/>
      <c r="F140" s="95"/>
      <c r="G140" s="95"/>
      <c r="H140" s="95"/>
      <c r="I140" s="95">
        <v>-59717</v>
      </c>
      <c r="J140" s="95">
        <v>-51148</v>
      </c>
      <c r="K140" s="95">
        <v>-42247</v>
      </c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</row>
    <row r="141" spans="1:43" s="96" customFormat="1" ht="12.75" outlineLevel="2">
      <c r="A141" s="93"/>
      <c r="B141" s="106" t="s">
        <v>838</v>
      </c>
      <c r="C141" s="95"/>
      <c r="D141" s="95"/>
      <c r="E141" s="95"/>
      <c r="F141" s="95"/>
      <c r="G141" s="95"/>
      <c r="H141" s="95"/>
      <c r="I141" s="95">
        <v>-14000</v>
      </c>
      <c r="J141" s="95">
        <v>-14000</v>
      </c>
      <c r="K141" s="95">
        <v>-14000</v>
      </c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</row>
    <row r="142" spans="1:43" s="96" customFormat="1" ht="12.75" outlineLevel="1">
      <c r="A142" s="93"/>
      <c r="B142" s="106"/>
      <c r="C142" s="95"/>
      <c r="D142" s="95"/>
      <c r="E142" s="95"/>
      <c r="F142" s="95"/>
      <c r="G142" s="95"/>
      <c r="H142" s="95"/>
      <c r="I142" s="95"/>
      <c r="J142" s="95"/>
      <c r="K142" s="95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</row>
    <row r="143" spans="1:43" s="96" customFormat="1" ht="15.75">
      <c r="A143" s="93"/>
      <c r="B143" s="100" t="s">
        <v>264</v>
      </c>
      <c r="C143" s="110">
        <f>+C135+C137</f>
        <v>0</v>
      </c>
      <c r="D143" s="110">
        <f>+D135+D137</f>
        <v>0</v>
      </c>
      <c r="E143" s="110">
        <f>+E135+E137</f>
        <v>0</v>
      </c>
      <c r="F143" s="277"/>
      <c r="G143" s="110">
        <f>+G135+G137</f>
        <v>0</v>
      </c>
      <c r="H143" s="110">
        <f>+H135+H137</f>
        <v>0</v>
      </c>
      <c r="I143" s="110">
        <f>+I135+I137</f>
        <v>-555326.37037037034</v>
      </c>
      <c r="J143" s="110">
        <f>+J135+J137</f>
        <v>-175366.08771929843</v>
      </c>
      <c r="K143" s="110">
        <f>+K135+K137</f>
        <v>357164.33333333337</v>
      </c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</row>
    <row r="144" spans="1:43" s="96" customFormat="1" ht="16.5" thickBot="1">
      <c r="A144" s="93"/>
      <c r="B144" s="101" t="s">
        <v>106</v>
      </c>
      <c r="C144" s="102" t="e">
        <f>+C143/C29</f>
        <v>#DIV/0!</v>
      </c>
      <c r="D144" s="102" t="e">
        <f>+D143/D29</f>
        <v>#DIV/0!</v>
      </c>
      <c r="E144" s="102" t="e">
        <f>+E143/E29</f>
        <v>#DIV/0!</v>
      </c>
      <c r="F144" s="276"/>
      <c r="G144" s="102" t="e">
        <f>+G143/G29</f>
        <v>#DIV/0!</v>
      </c>
      <c r="H144" s="102" t="e">
        <f>+H143/H29</f>
        <v>#DIV/0!</v>
      </c>
      <c r="I144" s="102">
        <f>+I143/I29</f>
        <v>-0.38698701767970056</v>
      </c>
      <c r="J144" s="102">
        <f>+J143/J29</f>
        <v>-8.156562219502253E-2</v>
      </c>
      <c r="K144" s="102">
        <f>+K143/K29</f>
        <v>0.11338550264550266</v>
      </c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</row>
    <row r="145" spans="1:43" ht="15.75">
      <c r="A145" s="83"/>
      <c r="B145" s="97" t="s">
        <v>30</v>
      </c>
      <c r="C145" s="89">
        <f>C146+C147</f>
        <v>0</v>
      </c>
      <c r="D145" s="89">
        <f>D146+D147</f>
        <v>0</v>
      </c>
      <c r="E145" s="89">
        <f>E146+E147</f>
        <v>0</v>
      </c>
      <c r="F145" s="89"/>
      <c r="G145" s="89">
        <f>G146+G147</f>
        <v>0</v>
      </c>
      <c r="H145" s="89"/>
      <c r="I145" s="89">
        <f>'E-R'!G155/7*1000</f>
        <v>85714.28571428571</v>
      </c>
      <c r="J145" s="89">
        <f>I145</f>
        <v>85714.28571428571</v>
      </c>
      <c r="K145" s="89">
        <f>J145</f>
        <v>85714.28571428571</v>
      </c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</row>
    <row r="146" spans="1:43" ht="15.75" outlineLevel="1">
      <c r="A146" s="83"/>
      <c r="B146" s="105" t="s">
        <v>186</v>
      </c>
      <c r="C146" s="91"/>
      <c r="D146" s="91"/>
      <c r="E146" s="91"/>
      <c r="F146" s="91"/>
      <c r="G146" s="91"/>
      <c r="H146" s="95"/>
      <c r="I146" s="95"/>
      <c r="J146" s="95"/>
      <c r="K146" s="95"/>
      <c r="L146" s="95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</row>
    <row r="147" spans="1:43" ht="15.75" outlineLevel="1">
      <c r="A147" s="83"/>
      <c r="B147" s="105" t="s">
        <v>187</v>
      </c>
      <c r="C147" s="91"/>
      <c r="D147" s="91"/>
      <c r="E147" s="91"/>
      <c r="F147" s="91"/>
      <c r="G147" s="91"/>
      <c r="H147" s="95"/>
      <c r="I147" s="95"/>
      <c r="J147" s="95"/>
      <c r="K147" s="95"/>
      <c r="L147" s="95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</row>
    <row r="148" spans="1:43" s="96" customFormat="1" ht="12.75" outlineLevel="1">
      <c r="A148" s="93"/>
      <c r="B148" s="106"/>
      <c r="C148" s="95"/>
      <c r="D148" s="95"/>
      <c r="E148" s="95"/>
      <c r="F148" s="95"/>
      <c r="G148" s="95"/>
      <c r="H148" s="95"/>
      <c r="I148" s="95"/>
      <c r="J148" s="95"/>
      <c r="K148" s="95"/>
      <c r="L148" s="93"/>
      <c r="M148" s="95"/>
      <c r="N148" s="95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</row>
    <row r="149" spans="1:43" ht="15.75">
      <c r="A149" s="83"/>
      <c r="B149" s="83" t="s">
        <v>259</v>
      </c>
      <c r="C149" s="89"/>
      <c r="D149" s="89"/>
      <c r="E149" s="89"/>
      <c r="F149" s="89"/>
      <c r="G149" s="89"/>
      <c r="H149" s="89"/>
      <c r="I149" s="89"/>
      <c r="J149" s="89"/>
      <c r="K149" s="89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</row>
    <row r="150" spans="1:43" ht="15.75">
      <c r="A150" s="83"/>
      <c r="B150" s="100" t="s">
        <v>32</v>
      </c>
      <c r="C150" s="110">
        <f>C135+C137+C145+C149</f>
        <v>0</v>
      </c>
      <c r="D150" s="110">
        <f>D135+D137+D145+D149</f>
        <v>0</v>
      </c>
      <c r="E150" s="110">
        <f>E135+E137+E145+E149</f>
        <v>0</v>
      </c>
      <c r="F150" s="277"/>
      <c r="G150" s="110">
        <f>G135+G137+G145+G149</f>
        <v>0</v>
      </c>
      <c r="H150" s="110">
        <f>H135+H137+H145+H149</f>
        <v>0</v>
      </c>
      <c r="I150" s="110">
        <f>I135+I137+I145+I149</f>
        <v>-469612.08465608465</v>
      </c>
      <c r="J150" s="110">
        <f>J135+J137+J145+J149</f>
        <v>-89651.802005012723</v>
      </c>
      <c r="K150" s="110">
        <f>K135+K137+K145+K149</f>
        <v>442878.61904761905</v>
      </c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</row>
    <row r="151" spans="1:43" ht="16.5" thickBot="1">
      <c r="A151" s="83"/>
      <c r="B151" s="101" t="s">
        <v>106</v>
      </c>
      <c r="C151" s="102" t="e">
        <f>C150/C29</f>
        <v>#DIV/0!</v>
      </c>
      <c r="D151" s="102" t="e">
        <f>D150/D29</f>
        <v>#DIV/0!</v>
      </c>
      <c r="E151" s="102" t="e">
        <f>E150/E29</f>
        <v>#DIV/0!</v>
      </c>
      <c r="F151" s="276"/>
      <c r="G151" s="102" t="e">
        <f>G150/G29</f>
        <v>#DIV/0!</v>
      </c>
      <c r="H151" s="102" t="e">
        <f>H150/H29</f>
        <v>#DIV/0!</v>
      </c>
      <c r="I151" s="102">
        <f>I150/I29</f>
        <v>-0.3272558081227071</v>
      </c>
      <c r="J151" s="102">
        <f>J150/J29</f>
        <v>-4.1698512560471031E-2</v>
      </c>
      <c r="K151" s="102">
        <f>K150/K29</f>
        <v>0.14059638699924415</v>
      </c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</row>
    <row r="152" spans="1:43" ht="15.75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</row>
    <row r="153" spans="1:43" ht="15.75">
      <c r="A153" s="83"/>
      <c r="B153" s="112" t="s">
        <v>189</v>
      </c>
      <c r="C153" s="113"/>
      <c r="D153" s="113"/>
      <c r="E153" s="113"/>
      <c r="F153" s="278"/>
      <c r="G153" s="113"/>
      <c r="H153" s="113"/>
      <c r="I153" s="113"/>
      <c r="J153" s="113"/>
      <c r="K153" s="11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</row>
    <row r="154" spans="1:43" ht="15.75">
      <c r="A154" s="83"/>
      <c r="B154" s="114" t="s">
        <v>34</v>
      </c>
      <c r="C154" s="115" t="str">
        <f>IFERROR(C24/#REF!-1,"na ")</f>
        <v xml:space="preserve">na </v>
      </c>
      <c r="D154" s="115" t="str">
        <f>IFERROR(D24/C24-1,"na ")</f>
        <v xml:space="preserve">na </v>
      </c>
      <c r="E154" s="115" t="str">
        <f>IFERROR(E24/D24-1,"na ")</f>
        <v xml:space="preserve">na </v>
      </c>
      <c r="F154" s="279"/>
      <c r="G154" s="115" t="str">
        <f>IFERROR(G24/#REF!-1,"na ")</f>
        <v xml:space="preserve">na </v>
      </c>
      <c r="H154" s="115" t="str">
        <f>IFERROR(H24/G24-1,"na ")</f>
        <v xml:space="preserve">na </v>
      </c>
      <c r="I154" s="115" t="str">
        <f>IFERROR(I24/H24-1,"na ")</f>
        <v xml:space="preserve">na </v>
      </c>
      <c r="J154" s="115">
        <f>IFERROR(J24/I24-1,"na ")</f>
        <v>0.49825783972125426</v>
      </c>
      <c r="K154" s="115">
        <f>IFERROR(K24/J24-1,"na ")</f>
        <v>0.46511627906976738</v>
      </c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</row>
    <row r="155" spans="1:43" ht="15.75">
      <c r="A155" s="83"/>
      <c r="B155" s="114" t="s">
        <v>16</v>
      </c>
      <c r="C155" s="115" t="e">
        <f>C54/C24</f>
        <v>#DIV/0!</v>
      </c>
      <c r="D155" s="115" t="e">
        <f>D54/D24</f>
        <v>#DIV/0!</v>
      </c>
      <c r="E155" s="115" t="e">
        <f>E54/E24</f>
        <v>#DIV/0!</v>
      </c>
      <c r="F155" s="279"/>
      <c r="G155" s="115" t="e">
        <f>G54/G24</f>
        <v>#DIV/0!</v>
      </c>
      <c r="H155" s="115" t="e">
        <f>H54/H24</f>
        <v>#DIV/0!</v>
      </c>
      <c r="I155" s="115">
        <f>I54/I24</f>
        <v>0.51219512195121952</v>
      </c>
      <c r="J155" s="115">
        <f>J54/J24</f>
        <v>0.5348837209302324</v>
      </c>
      <c r="K155" s="115">
        <f>K54/K24</f>
        <v>0.55555555555555558</v>
      </c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</row>
    <row r="156" spans="1:43" ht="15.75">
      <c r="A156" s="83"/>
      <c r="B156" s="114" t="s">
        <v>24</v>
      </c>
      <c r="C156" s="115" t="e">
        <f>C128/C24</f>
        <v>#DIV/0!</v>
      </c>
      <c r="D156" s="115" t="e">
        <f>D128/D24</f>
        <v>#DIV/0!</v>
      </c>
      <c r="E156" s="115" t="e">
        <f>E128/E24</f>
        <v>#DIV/0!</v>
      </c>
      <c r="F156" s="279"/>
      <c r="G156" s="115" t="e">
        <f>G128/G24</f>
        <v>#DIV/0!</v>
      </c>
      <c r="H156" s="115" t="e">
        <f>H128/H24</f>
        <v>#DIV/0!</v>
      </c>
      <c r="I156" s="115">
        <f>I128/I24</f>
        <v>-0.12310896889921277</v>
      </c>
      <c r="J156" s="115">
        <f>J128/J24</f>
        <v>9.0572052223582125E-2</v>
      </c>
      <c r="K156" s="115">
        <f>K128/K24</f>
        <v>0.22805058201058201</v>
      </c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</row>
    <row r="157" spans="1:43" ht="15.75">
      <c r="A157" s="83"/>
      <c r="B157" s="114" t="s">
        <v>26</v>
      </c>
      <c r="C157" s="115" t="e">
        <f>C135/C24</f>
        <v>#DIV/0!</v>
      </c>
      <c r="D157" s="115" t="e">
        <f>D135/D24</f>
        <v>#DIV/0!</v>
      </c>
      <c r="E157" s="115" t="e">
        <f>E135/E24</f>
        <v>#DIV/0!</v>
      </c>
      <c r="F157" s="279"/>
      <c r="G157" s="115" t="e">
        <f>G135/G24</f>
        <v>#DIV/0!</v>
      </c>
      <c r="H157" s="115" t="e">
        <f>H135/H24</f>
        <v>#DIV/0!</v>
      </c>
      <c r="I157" s="115">
        <f>I135/I24</f>
        <v>-0.33561628597238352</v>
      </c>
      <c r="J157" s="115">
        <f>J135/J24</f>
        <v>-5.1264226846185319E-2</v>
      </c>
      <c r="K157" s="115">
        <f>K135/K24</f>
        <v>0.13124169312169312</v>
      </c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</row>
    <row r="158" spans="1:43" ht="15.75">
      <c r="A158" s="83"/>
      <c r="B158" s="116" t="s">
        <v>35</v>
      </c>
      <c r="C158" s="117" t="e">
        <f>C150/C24</f>
        <v>#DIV/0!</v>
      </c>
      <c r="D158" s="117" t="e">
        <f>D150/D24</f>
        <v>#DIV/0!</v>
      </c>
      <c r="E158" s="117" t="e">
        <f>E150/E24</f>
        <v>#DIV/0!</v>
      </c>
      <c r="F158" s="279"/>
      <c r="G158" s="117" t="e">
        <f>G150/G24</f>
        <v>#DIV/0!</v>
      </c>
      <c r="H158" s="117" t="e">
        <f>H150/H24</f>
        <v>#DIV/0!</v>
      </c>
      <c r="I158" s="117">
        <f>I150/I24</f>
        <v>-0.3272558081227071</v>
      </c>
      <c r="J158" s="117">
        <f>J150/J24</f>
        <v>-4.1698512560471031E-2</v>
      </c>
      <c r="K158" s="117">
        <f>K150/K24</f>
        <v>0.14059638699924415</v>
      </c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</row>
    <row r="159" spans="1:43" ht="15.7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</row>
    <row r="160" spans="1:43" ht="15.7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</row>
    <row r="161" spans="1:42" ht="15.7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</row>
    <row r="162" spans="1:42" ht="15.75">
      <c r="A162" s="107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9"/>
      <c r="O162" s="109"/>
      <c r="P162" s="109"/>
      <c r="Q162" s="109"/>
      <c r="R162" s="109"/>
      <c r="S162" s="109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</row>
    <row r="163" spans="1:42" ht="15.75">
      <c r="A163" s="107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9"/>
      <c r="O163" s="109"/>
      <c r="P163" s="109"/>
      <c r="Q163" s="109"/>
      <c r="R163" s="109"/>
      <c r="S163" s="109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</row>
    <row r="164" spans="1:42" ht="15.75">
      <c r="A164" s="107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9"/>
      <c r="O164" s="109"/>
      <c r="P164" s="109"/>
      <c r="Q164" s="109"/>
      <c r="R164" s="109"/>
      <c r="S164" s="109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</row>
    <row r="165" spans="1:42" ht="15.75">
      <c r="A165" s="107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9"/>
      <c r="O165" s="109"/>
      <c r="P165" s="109"/>
      <c r="Q165" s="109"/>
      <c r="R165" s="109"/>
      <c r="S165" s="109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</row>
    <row r="166" spans="1:42" ht="15.75">
      <c r="A166" s="107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9"/>
      <c r="O166" s="109"/>
      <c r="P166" s="109"/>
      <c r="Q166" s="109"/>
      <c r="R166" s="109"/>
      <c r="S166" s="109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</row>
    <row r="167" spans="1:42" ht="15.75">
      <c r="A167" s="107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9"/>
      <c r="O167" s="109"/>
      <c r="P167" s="109"/>
      <c r="Q167" s="109"/>
      <c r="R167" s="109"/>
      <c r="S167" s="109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</row>
    <row r="168" spans="1:42" ht="15.75">
      <c r="A168" s="107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9"/>
      <c r="O168" s="109"/>
      <c r="P168" s="109"/>
      <c r="Q168" s="109"/>
      <c r="R168" s="109"/>
      <c r="S168" s="109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</row>
    <row r="169" spans="1:42" ht="15.7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</row>
    <row r="170" spans="1:42" ht="15.75">
      <c r="A170" s="107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9"/>
      <c r="O170" s="109"/>
      <c r="P170" s="109"/>
      <c r="Q170" s="109"/>
      <c r="R170" s="109"/>
      <c r="S170" s="109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</row>
    <row r="171" spans="1:42" ht="15.75">
      <c r="A171" s="107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9"/>
      <c r="O171" s="109"/>
      <c r="P171" s="109"/>
      <c r="Q171" s="109"/>
      <c r="R171" s="109"/>
      <c r="S171" s="109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</row>
    <row r="172" spans="1:42" ht="15.75">
      <c r="A172" s="107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9"/>
      <c r="O172" s="109"/>
      <c r="P172" s="109"/>
      <c r="Q172" s="109"/>
      <c r="R172" s="109"/>
      <c r="S172" s="109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</row>
    <row r="173" spans="1:42" ht="15.75">
      <c r="A173" s="107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9"/>
      <c r="O173" s="109"/>
      <c r="P173" s="109"/>
      <c r="Q173" s="109"/>
      <c r="R173" s="109"/>
      <c r="S173" s="109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</row>
    <row r="174" spans="1:42" ht="15.75">
      <c r="A174" s="107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9"/>
      <c r="O174" s="109"/>
      <c r="P174" s="109"/>
      <c r="Q174" s="109"/>
      <c r="R174" s="109"/>
      <c r="S174" s="109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</row>
    <row r="175" spans="1:42" ht="15.7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</row>
    <row r="176" spans="1:42" ht="15.75">
      <c r="A176" s="107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9"/>
      <c r="O176" s="109"/>
      <c r="P176" s="109"/>
      <c r="Q176" s="109"/>
      <c r="R176" s="109"/>
      <c r="S176" s="109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</row>
    <row r="177" spans="1:42" ht="15.75">
      <c r="A177" s="107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9"/>
      <c r="O177" s="109"/>
      <c r="P177" s="109"/>
      <c r="Q177" s="109"/>
      <c r="R177" s="109"/>
      <c r="S177" s="109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</row>
    <row r="178" spans="1:42" ht="15.7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</row>
    <row r="179" spans="1:42" ht="15.75">
      <c r="A179" s="107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9"/>
      <c r="O179" s="109"/>
      <c r="P179" s="109"/>
      <c r="Q179" s="109"/>
      <c r="R179" s="109"/>
      <c r="S179" s="109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</row>
    <row r="180" spans="1:42" ht="15.75">
      <c r="A180" s="107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9"/>
      <c r="O180" s="109"/>
      <c r="P180" s="109"/>
      <c r="Q180" s="109"/>
      <c r="R180" s="109"/>
      <c r="S180" s="109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</row>
    <row r="181" spans="1:42" ht="15.75">
      <c r="A181" s="107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9"/>
      <c r="O181" s="109"/>
      <c r="P181" s="109"/>
      <c r="Q181" s="109"/>
      <c r="R181" s="109"/>
      <c r="S181" s="109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</row>
    <row r="182" spans="1:42" ht="15.75">
      <c r="A182" s="107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9"/>
      <c r="O182" s="109"/>
      <c r="P182" s="109"/>
      <c r="Q182" s="109"/>
      <c r="R182" s="109"/>
      <c r="S182" s="109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</row>
    <row r="183" spans="1:42" ht="15.7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</row>
    <row r="184" spans="1:42" ht="15.75">
      <c r="A184" s="107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9"/>
      <c r="O184" s="109"/>
      <c r="P184" s="109"/>
      <c r="Q184" s="109"/>
      <c r="R184" s="109"/>
      <c r="S184" s="109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</row>
    <row r="185" spans="1:42" ht="15.75">
      <c r="A185" s="107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9"/>
      <c r="O185" s="109"/>
      <c r="P185" s="109"/>
      <c r="Q185" s="109"/>
      <c r="R185" s="109"/>
      <c r="S185" s="109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</row>
    <row r="186" spans="1:42" ht="15.75">
      <c r="A186" s="107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9"/>
      <c r="O186" s="109"/>
      <c r="P186" s="109"/>
      <c r="Q186" s="109"/>
      <c r="R186" s="109"/>
      <c r="S186" s="109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</row>
    <row r="187" spans="1:42" ht="15.75">
      <c r="A187" s="107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9"/>
      <c r="O187" s="109"/>
      <c r="P187" s="109"/>
      <c r="Q187" s="109"/>
      <c r="R187" s="109"/>
      <c r="S187" s="109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</row>
    <row r="188" spans="1:42" ht="15.7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</row>
    <row r="189" spans="1:42" ht="15.75">
      <c r="A189" s="107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9"/>
      <c r="O189" s="109"/>
      <c r="P189" s="109"/>
      <c r="Q189" s="109"/>
      <c r="R189" s="109"/>
      <c r="S189" s="109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</row>
    <row r="190" spans="1:42" ht="15.75">
      <c r="A190" s="107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9"/>
      <c r="O190" s="109"/>
      <c r="P190" s="109"/>
      <c r="Q190" s="109"/>
      <c r="R190" s="109"/>
      <c r="S190" s="109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</row>
    <row r="191" spans="1:42" ht="15.7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</row>
    <row r="192" spans="1:42" ht="15.75">
      <c r="A192" s="107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9"/>
      <c r="O192" s="109"/>
      <c r="P192" s="109"/>
      <c r="Q192" s="109"/>
      <c r="R192" s="109"/>
      <c r="S192" s="109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</row>
    <row r="193" spans="1:42" ht="15.75">
      <c r="A193" s="107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9"/>
      <c r="O193" s="109"/>
      <c r="P193" s="109"/>
      <c r="Q193" s="109"/>
      <c r="R193" s="109"/>
      <c r="S193" s="109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</row>
    <row r="194" spans="1:42" ht="15.75">
      <c r="A194" s="107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9"/>
      <c r="O194" s="109"/>
      <c r="P194" s="109"/>
      <c r="Q194" s="109"/>
      <c r="R194" s="109"/>
      <c r="S194" s="109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</row>
    <row r="195" spans="1:42" ht="15.75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9"/>
      <c r="O195" s="109"/>
      <c r="P195" s="109"/>
      <c r="Q195" s="109"/>
      <c r="R195" s="109"/>
      <c r="S195" s="109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</row>
    <row r="196" spans="1:42" ht="15.75">
      <c r="A196" s="107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9"/>
      <c r="O196" s="109"/>
      <c r="P196" s="109"/>
      <c r="Q196" s="109"/>
      <c r="R196" s="109"/>
      <c r="S196" s="109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</row>
    <row r="197" spans="1:42" ht="15.75">
      <c r="A197" s="107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9"/>
      <c r="O197" s="109"/>
      <c r="P197" s="109"/>
      <c r="Q197" s="109"/>
      <c r="R197" s="109"/>
      <c r="S197" s="109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</row>
    <row r="198" spans="1:42" ht="15.75">
      <c r="A198" s="107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9"/>
      <c r="O198" s="109"/>
      <c r="P198" s="109"/>
      <c r="Q198" s="109"/>
      <c r="R198" s="109"/>
      <c r="S198" s="109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</row>
    <row r="199" spans="1:42" ht="15.75">
      <c r="A199" s="107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9"/>
      <c r="O199" s="109"/>
      <c r="P199" s="109"/>
      <c r="Q199" s="109"/>
      <c r="R199" s="109"/>
      <c r="S199" s="109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</row>
    <row r="200" spans="1:42" ht="15.75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</row>
    <row r="201" spans="1:42" ht="15.75">
      <c r="A201" s="107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9"/>
      <c r="O201" s="109"/>
      <c r="P201" s="109"/>
      <c r="Q201" s="109"/>
      <c r="R201" s="109"/>
      <c r="S201" s="109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</row>
    <row r="202" spans="1:42" ht="15.75">
      <c r="A202" s="107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9"/>
      <c r="O202" s="109"/>
      <c r="P202" s="109"/>
      <c r="Q202" s="109"/>
      <c r="R202" s="109"/>
      <c r="S202" s="109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</row>
    <row r="203" spans="1:42" ht="15.75">
      <c r="A203" s="107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9"/>
      <c r="O203" s="109"/>
      <c r="P203" s="109"/>
      <c r="Q203" s="109"/>
      <c r="R203" s="109"/>
      <c r="S203" s="109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</row>
    <row r="204" spans="1:42" ht="15.75">
      <c r="A204" s="107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9"/>
      <c r="O204" s="109"/>
      <c r="P204" s="109"/>
      <c r="Q204" s="109"/>
      <c r="R204" s="109"/>
      <c r="S204" s="109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</row>
    <row r="205" spans="1:42" ht="15.75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</row>
    <row r="206" spans="1:42" ht="15.75">
      <c r="A206" s="107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9"/>
      <c r="O206" s="109"/>
      <c r="P206" s="109"/>
      <c r="Q206" s="109"/>
      <c r="R206" s="109"/>
      <c r="S206" s="109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</row>
    <row r="207" spans="1:42" ht="15.75">
      <c r="A207" s="107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9"/>
      <c r="O207" s="109"/>
      <c r="P207" s="109"/>
      <c r="Q207" s="109"/>
      <c r="R207" s="109"/>
      <c r="S207" s="109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</row>
    <row r="208" spans="1:42" ht="15.75">
      <c r="A208" s="107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</row>
    <row r="209" spans="1:42" ht="15.75">
      <c r="A209" s="107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</row>
    <row r="210" spans="1:42" ht="15.7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D1866-C987-484D-83BF-4372C2B90A56}">
  <sheetPr codeName="Feuil38">
    <tabColor theme="9" tint="0.79998168889431442"/>
  </sheetPr>
  <dimension ref="B2:XFD71"/>
  <sheetViews>
    <sheetView showGridLines="0" zoomScaleNormal="100" workbookViewId="0">
      <pane xSplit="2" ySplit="5" topLeftCell="C12" activePane="bottomRight" state="frozen"/>
      <selection pane="topRight" activeCell="C1" sqref="C1"/>
      <selection pane="bottomLeft" activeCell="A4" sqref="A4"/>
      <selection pane="bottomRight" activeCell="D54" sqref="D54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 16384:16384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 16384:16384" ht="18" customHeight="1">
      <c r="B3" s="343"/>
      <c r="C3" s="244">
        <v>44074</v>
      </c>
      <c r="D3" s="244">
        <v>44439</v>
      </c>
      <c r="E3" s="244">
        <v>44804</v>
      </c>
      <c r="F3" s="244">
        <v>45169</v>
      </c>
      <c r="G3" s="244"/>
      <c r="H3" s="248">
        <v>45535</v>
      </c>
      <c r="I3" s="248">
        <v>45900</v>
      </c>
      <c r="J3" s="248">
        <v>46265</v>
      </c>
      <c r="K3" s="248">
        <v>46630</v>
      </c>
      <c r="L3" s="248">
        <v>46996</v>
      </c>
      <c r="M3" s="195"/>
    </row>
    <row r="4" spans="2:13 16384:16384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 16384:16384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 16384:16384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 16384:16384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 16384:16384">
      <c r="B8" s="151" t="s">
        <v>26</v>
      </c>
      <c r="C8" s="191"/>
      <c r="D8" s="191"/>
      <c r="E8" s="191"/>
      <c r="F8" s="191"/>
      <c r="G8" s="152"/>
      <c r="H8" s="191"/>
      <c r="I8" s="191"/>
      <c r="J8" s="191">
        <f>'Profilyss - P&amp;L (2)'!I135</f>
        <v>-481609.37037037034</v>
      </c>
      <c r="K8" s="191">
        <f>'Profilyss - P&amp;L (2)'!J135</f>
        <v>-110218.08771929843</v>
      </c>
      <c r="L8" s="191">
        <f>'Profilyss - P&amp;L (2)'!K135</f>
        <v>413411.33333333337</v>
      </c>
      <c r="M8" s="191"/>
    </row>
    <row r="9" spans="2:13 16384:16384">
      <c r="B9" s="148" t="s">
        <v>225</v>
      </c>
      <c r="C9" s="191"/>
      <c r="D9" s="191"/>
      <c r="E9" s="191"/>
      <c r="F9" s="191"/>
      <c r="G9" s="152"/>
      <c r="H9" s="191"/>
      <c r="I9" s="191"/>
      <c r="J9" s="191">
        <f>'Profilyss - P&amp;L (2)'!I147</f>
        <v>0</v>
      </c>
      <c r="K9" s="191">
        <f>'Profilyss - P&amp;L (2)'!J147</f>
        <v>0</v>
      </c>
      <c r="L9" s="191">
        <f>'Profilyss - P&amp;L (2)'!K147</f>
        <v>0</v>
      </c>
      <c r="M9" s="191"/>
    </row>
    <row r="10" spans="2:13 16384:16384">
      <c r="B10" s="148" t="s">
        <v>226</v>
      </c>
      <c r="C10" s="191"/>
      <c r="D10" s="191"/>
      <c r="E10" s="191"/>
      <c r="F10" s="191"/>
      <c r="G10" s="152"/>
      <c r="H10" s="191"/>
      <c r="I10" s="191"/>
      <c r="J10" s="191">
        <f>'Profilyss - P&amp;L (2)'!I145</f>
        <v>85714.28571428571</v>
      </c>
      <c r="K10" s="191">
        <f>'Profilyss - P&amp;L (2)'!J145</f>
        <v>85714.28571428571</v>
      </c>
      <c r="L10" s="191">
        <f>'Profilyss - P&amp;L (2)'!K145</f>
        <v>85714.28571428571</v>
      </c>
      <c r="M10" s="191"/>
    </row>
    <row r="11" spans="2:13 16384:16384">
      <c r="B11" s="148" t="s">
        <v>227</v>
      </c>
      <c r="C11" s="152"/>
      <c r="D11" s="152"/>
      <c r="E11" s="152"/>
      <c r="F11" s="152"/>
      <c r="G11" s="152"/>
      <c r="H11" s="152"/>
      <c r="I11" s="152"/>
      <c r="J11" s="152">
        <f>'Profilyss - P&amp;L (2)'!I149</f>
        <v>0</v>
      </c>
      <c r="K11" s="152">
        <f>'Profilyss - P&amp;L (2)'!J149</f>
        <v>0</v>
      </c>
      <c r="L11" s="152">
        <f>'Profilyss - P&amp;L (2)'!K149</f>
        <v>0</v>
      </c>
      <c r="M11" s="191"/>
    </row>
    <row r="12" spans="2:13 16384:16384">
      <c r="B12" s="153" t="s">
        <v>228</v>
      </c>
      <c r="C12" s="154"/>
      <c r="D12" s="154"/>
      <c r="E12" s="154"/>
      <c r="F12" s="154"/>
      <c r="G12" s="154"/>
      <c r="H12" s="154"/>
      <c r="I12" s="154">
        <f>SUM(I8:I10)</f>
        <v>0</v>
      </c>
      <c r="J12" s="154">
        <f>SUM(J8:J10)</f>
        <v>-395895.08465608465</v>
      </c>
      <c r="K12" s="154">
        <f>SUM(K8:K10)</f>
        <v>-24503.802005012723</v>
      </c>
      <c r="L12" s="154">
        <f>SUM(L8:L10)</f>
        <v>499125.61904761905</v>
      </c>
      <c r="M12" s="199"/>
    </row>
    <row r="13" spans="2:13 16384:16384">
      <c r="B13" s="148" t="s">
        <v>229</v>
      </c>
      <c r="C13" s="191"/>
      <c r="D13" s="191"/>
      <c r="E13" s="191"/>
      <c r="F13" s="191"/>
      <c r="G13" s="152"/>
      <c r="H13" s="191"/>
      <c r="I13" s="191"/>
      <c r="J13" s="191">
        <f>-'Profilyss - P&amp;L (2)'!I132</f>
        <v>304948</v>
      </c>
      <c r="K13" s="191">
        <f>-'Profilyss - P&amp;L (2)'!J132</f>
        <v>304948</v>
      </c>
      <c r="L13" s="191">
        <f>-'Profilyss - P&amp;L (2)'!K132</f>
        <v>304948</v>
      </c>
      <c r="M13" s="191"/>
    </row>
    <row r="14" spans="2:13 16384:16384">
      <c r="B14" s="148" t="s">
        <v>230</v>
      </c>
      <c r="C14" s="191"/>
      <c r="D14" s="191"/>
      <c r="E14" s="191"/>
      <c r="F14" s="191"/>
      <c r="G14" s="152"/>
      <c r="H14" s="191"/>
      <c r="I14" s="191"/>
      <c r="J14" s="191">
        <f>-'Profilyss - P&amp;L (2)'!I145</f>
        <v>-85714.28571428571</v>
      </c>
      <c r="K14" s="191">
        <f>-'Profilyss - P&amp;L (2)'!J145</f>
        <v>-85714.28571428571</v>
      </c>
      <c r="L14" s="191">
        <f>-'Profilyss - P&amp;L (2)'!K145</f>
        <v>-85714.28571428571</v>
      </c>
      <c r="M14" s="191"/>
    </row>
    <row r="15" spans="2:13 16384:16384">
      <c r="B15" s="153" t="s">
        <v>231</v>
      </c>
      <c r="C15" s="154"/>
      <c r="D15" s="154"/>
      <c r="E15" s="154"/>
      <c r="F15" s="154"/>
      <c r="G15" s="154"/>
      <c r="H15" s="154"/>
      <c r="I15" s="154">
        <f>SUM(I16:I27)</f>
        <v>0</v>
      </c>
      <c r="J15" s="154">
        <f>SUM(J16:J27)</f>
        <v>-325566.21004566213</v>
      </c>
      <c r="K15" s="154">
        <f>SUM(K16:K27)</f>
        <v>-185232.87671232878</v>
      </c>
      <c r="L15" s="154">
        <f>SUM(L16:L27)</f>
        <v>-227853.88127853879</v>
      </c>
      <c r="M15" s="199"/>
    </row>
    <row r="16" spans="2:13 16384:16384" s="145" customFormat="1" ht="15" hidden="1" outlineLevel="1">
      <c r="B16" s="155" t="s">
        <v>232</v>
      </c>
      <c r="C16" s="156"/>
      <c r="D16" s="156"/>
      <c r="E16" s="156"/>
      <c r="F16" s="156"/>
      <c r="G16" s="156"/>
      <c r="H16" s="156"/>
      <c r="I16" s="156"/>
      <c r="J16" s="156">
        <f>-('Profilyss - Bilan (2)'!J14-'Profilyss - Bilan (2)'!I14)</f>
        <v>-233333.33333333334</v>
      </c>
      <c r="K16" s="156">
        <f>-('Profilyss - Bilan (2)'!K14-'Profilyss - Bilan (2)'!J14)</f>
        <v>-100000.00000000003</v>
      </c>
      <c r="L16" s="156">
        <f>-('Profilyss - Bilan (2)'!L14-'Profilyss - Bilan (2)'!K14)</f>
        <v>-133333.33333333331</v>
      </c>
      <c r="M16" s="200"/>
      <c r="XFD16" s="156"/>
    </row>
    <row r="17" spans="2:13 16384:16384" s="145" customFormat="1" ht="15" hidden="1" outlineLevel="1">
      <c r="B17" s="155" t="s">
        <v>233</v>
      </c>
      <c r="C17" s="156"/>
      <c r="D17" s="156"/>
      <c r="E17" s="156"/>
      <c r="F17" s="156"/>
      <c r="G17" s="156"/>
      <c r="H17" s="156"/>
      <c r="I17" s="156"/>
      <c r="J17" s="156">
        <f>-('Profilyss - Bilan (2)'!J15-'Profilyss - Bilan (2)'!I15)</f>
        <v>0</v>
      </c>
      <c r="K17" s="156">
        <f>-('Profilyss - Bilan (2)'!K15-'Profilyss - Bilan (2)'!J15)</f>
        <v>0</v>
      </c>
      <c r="L17" s="156">
        <f>-('Profilyss - Bilan (2)'!L15-'Profilyss - Bilan (2)'!K15)</f>
        <v>0</v>
      </c>
      <c r="M17" s="200"/>
      <c r="XFD17" s="156"/>
    </row>
    <row r="18" spans="2:13 16384:16384" s="145" customFormat="1" ht="15" hidden="1" outlineLevel="1">
      <c r="B18" s="155" t="s">
        <v>234</v>
      </c>
      <c r="C18" s="156"/>
      <c r="D18" s="156"/>
      <c r="E18" s="156"/>
      <c r="F18" s="156"/>
      <c r="G18" s="156"/>
      <c r="H18" s="156"/>
      <c r="I18" s="156"/>
      <c r="J18" s="156">
        <f>-('Profilyss - Bilan (2)'!J16-'Profilyss - Bilan (2)'!I16)</f>
        <v>-212301.36986301371</v>
      </c>
      <c r="K18" s="156">
        <f>-('Profilyss - Bilan (2)'!K16-'Profilyss - Bilan (2)'!J16)</f>
        <v>-105780.82191780824</v>
      </c>
      <c r="L18" s="156">
        <f>-('Profilyss - Bilan (2)'!L16-'Profilyss - Bilan (2)'!K16)</f>
        <v>-147945.20547945204</v>
      </c>
      <c r="M18" s="200"/>
      <c r="XFD18" s="156"/>
    </row>
    <row r="19" spans="2:13 16384:16384" s="145" customFormat="1" ht="15" hidden="1" outlineLevel="1">
      <c r="B19" s="155" t="s">
        <v>235</v>
      </c>
      <c r="C19" s="156"/>
      <c r="D19" s="156"/>
      <c r="E19" s="156"/>
      <c r="F19" s="156"/>
      <c r="G19" s="156"/>
      <c r="H19" s="156"/>
      <c r="I19" s="156"/>
      <c r="J19" s="156">
        <f>-('Profilyss - Bilan (2)'!J17-'Profilyss - Bilan (2)'!I17)</f>
        <v>-20000</v>
      </c>
      <c r="K19" s="156">
        <f>-('Profilyss - Bilan (2)'!K17-'Profilyss - Bilan (2)'!J17)</f>
        <v>0</v>
      </c>
      <c r="L19" s="156">
        <f>-('Profilyss - Bilan (2)'!L17-'Profilyss - Bilan (2)'!K17)</f>
        <v>0</v>
      </c>
      <c r="M19" s="200"/>
      <c r="XFD19" s="156"/>
    </row>
    <row r="20" spans="2:13 16384:16384" s="145" customFormat="1" ht="15" hidden="1" outlineLevel="1">
      <c r="B20" s="155" t="s">
        <v>236</v>
      </c>
      <c r="C20" s="156"/>
      <c r="D20" s="156"/>
      <c r="E20" s="156"/>
      <c r="F20" s="156"/>
      <c r="G20" s="156"/>
      <c r="H20" s="156"/>
      <c r="I20" s="156"/>
      <c r="J20" s="156">
        <f>-('Profilyss - Bilan (2)'!J19-'Profilyss - Bilan (2)'!I19)</f>
        <v>0</v>
      </c>
      <c r="K20" s="156">
        <f>-('Profilyss - Bilan (2)'!K19-'Profilyss - Bilan (2)'!J19)</f>
        <v>0</v>
      </c>
      <c r="L20" s="156">
        <f>-('Profilyss - Bilan (2)'!L19-'Profilyss - Bilan (2)'!K19)</f>
        <v>0</v>
      </c>
      <c r="M20" s="200"/>
      <c r="XFD20" s="156"/>
    </row>
    <row r="21" spans="2:13 16384:16384" s="145" customFormat="1" ht="15" hidden="1" outlineLevel="1">
      <c r="B21" s="155" t="s">
        <v>237</v>
      </c>
      <c r="C21" s="156"/>
      <c r="D21" s="156"/>
      <c r="E21" s="156"/>
      <c r="F21" s="156"/>
      <c r="G21" s="156"/>
      <c r="H21" s="156"/>
      <c r="I21" s="156"/>
      <c r="J21" s="156">
        <f>'Profilyss - Bilan (2)'!J45-'Profilyss - Bilan (2)'!I45</f>
        <v>0</v>
      </c>
      <c r="K21" s="156">
        <f>'Profilyss - Bilan (2)'!K45-'Profilyss - Bilan (2)'!J45</f>
        <v>0</v>
      </c>
      <c r="L21" s="156">
        <f>'Profilyss - Bilan (2)'!L45-'Profilyss - Bilan (2)'!K45</f>
        <v>0</v>
      </c>
      <c r="M21" s="200"/>
      <c r="XFD21" s="156"/>
    </row>
    <row r="22" spans="2:13 16384:16384" s="145" customFormat="1" ht="15" hidden="1" outlineLevel="1">
      <c r="B22" s="155" t="s">
        <v>238</v>
      </c>
      <c r="C22" s="156"/>
      <c r="D22" s="156"/>
      <c r="E22" s="156"/>
      <c r="F22" s="156"/>
      <c r="G22" s="156"/>
      <c r="H22" s="156"/>
      <c r="I22" s="156"/>
      <c r="J22" s="156">
        <f>'Profilyss - Bilan (2)'!J46-'Profilyss - Bilan (2)'!I46</f>
        <v>115068.49315068492</v>
      </c>
      <c r="K22" s="156">
        <f>'Profilyss - Bilan (2)'!K46-'Profilyss - Bilan (2)'!J46</f>
        <v>20547.945205479482</v>
      </c>
      <c r="L22" s="156">
        <f>'Profilyss - Bilan (2)'!L46-'Profilyss - Bilan (2)'!K46</f>
        <v>53424.657534246566</v>
      </c>
      <c r="M22" s="200"/>
      <c r="XFD22" s="156"/>
    </row>
    <row r="23" spans="2:13 16384:16384" s="145" customFormat="1" ht="15" hidden="1" outlineLevel="1">
      <c r="B23" s="155" t="s">
        <v>239</v>
      </c>
      <c r="C23" s="156"/>
      <c r="D23" s="156"/>
      <c r="E23" s="156"/>
      <c r="F23" s="156"/>
      <c r="G23" s="156"/>
      <c r="H23" s="156"/>
      <c r="I23" s="156"/>
      <c r="J23" s="156">
        <f>'Profilyss - Bilan (2)'!J47-'Profilyss - Bilan (2)'!I47</f>
        <v>25000</v>
      </c>
      <c r="K23" s="156">
        <f>'Profilyss - Bilan (2)'!K47-'Profilyss - Bilan (2)'!J47</f>
        <v>0</v>
      </c>
      <c r="L23" s="156">
        <f>'Profilyss - Bilan (2)'!L47-'Profilyss - Bilan (2)'!K47</f>
        <v>0</v>
      </c>
      <c r="M23" s="200"/>
      <c r="XFD23" s="156"/>
    </row>
    <row r="24" spans="2:13 16384:16384" s="145" customFormat="1" ht="15" hidden="1" outlineLevel="1">
      <c r="B24" s="155" t="s">
        <v>251</v>
      </c>
      <c r="C24" s="156"/>
      <c r="D24" s="156"/>
      <c r="E24" s="156"/>
      <c r="F24" s="156"/>
      <c r="G24" s="156"/>
      <c r="H24" s="156"/>
      <c r="I24" s="156"/>
      <c r="J24" s="156">
        <f>'Profilyss - Bilan (2)'!J48-'Profilyss - Bilan (2)'!I48</f>
        <v>0</v>
      </c>
      <c r="K24" s="156">
        <f>'Profilyss - Bilan (2)'!K48-'Profilyss - Bilan (2)'!J48</f>
        <v>0</v>
      </c>
      <c r="L24" s="156">
        <f>'Profilyss - Bilan (2)'!L48-'Profilyss - Bilan (2)'!K48</f>
        <v>0</v>
      </c>
      <c r="M24" s="200"/>
      <c r="XFD24" s="156"/>
    </row>
    <row r="25" spans="2:13 16384:16384" s="145" customFormat="1" ht="15" hidden="1" outlineLevel="1">
      <c r="B25" s="155" t="s">
        <v>240</v>
      </c>
      <c r="C25" s="200"/>
      <c r="D25" s="156"/>
      <c r="E25" s="156"/>
      <c r="F25" s="156"/>
      <c r="G25" s="156"/>
      <c r="H25" s="156"/>
      <c r="I25" s="156"/>
      <c r="J25" s="156">
        <f>'Profilyss - Bilan (2)'!J49-'Profilyss - Bilan (2)'!I49</f>
        <v>0</v>
      </c>
      <c r="K25" s="156">
        <f>'Profilyss - Bilan (2)'!K49-'Profilyss - Bilan (2)'!J49</f>
        <v>0</v>
      </c>
      <c r="L25" s="156">
        <f>'Profilyss - Bilan (2)'!L49-'Profilyss - Bilan (2)'!K49</f>
        <v>0</v>
      </c>
      <c r="M25" s="200"/>
      <c r="XFD25" s="156"/>
    </row>
    <row r="26" spans="2:13 16384:16384" s="145" customFormat="1" ht="15" hidden="1" outlineLevel="1">
      <c r="B26" s="157" t="s">
        <v>241</v>
      </c>
      <c r="C26" s="156"/>
      <c r="D26" s="156"/>
      <c r="E26" s="156"/>
      <c r="F26" s="156"/>
      <c r="G26" s="156"/>
      <c r="H26" s="156"/>
      <c r="I26" s="156"/>
      <c r="J26" s="156">
        <f>'Profilyss - Bilan (2)'!J50-'Profilyss - Bilan (2)'!I50</f>
        <v>0</v>
      </c>
      <c r="K26" s="156">
        <f>'Profilyss - Bilan (2)'!K50-'Profilyss - Bilan (2)'!J50</f>
        <v>0</v>
      </c>
      <c r="L26" s="156">
        <f>'Profilyss - Bilan (2)'!L50-'Profilyss - Bilan (2)'!K50</f>
        <v>0</v>
      </c>
      <c r="M26" s="200"/>
      <c r="XFD26" s="156"/>
    </row>
    <row r="27" spans="2:13 16384:16384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 16384:16384">
      <c r="B28" s="159" t="s">
        <v>242</v>
      </c>
      <c r="C28" s="160"/>
      <c r="D28" s="160">
        <f t="shared" ref="D28:F28" si="0">SUM(D12:D15)</f>
        <v>0</v>
      </c>
      <c r="E28" s="160">
        <f t="shared" si="0"/>
        <v>0</v>
      </c>
      <c r="F28" s="160">
        <f t="shared" si="0"/>
        <v>0</v>
      </c>
      <c r="G28" s="160"/>
      <c r="H28" s="160">
        <f t="shared" ref="H28:L28" si="1">SUM(H12:H15)</f>
        <v>0</v>
      </c>
      <c r="I28" s="160">
        <f t="shared" si="1"/>
        <v>0</v>
      </c>
      <c r="J28" s="160">
        <f t="shared" si="1"/>
        <v>-502227.58041603246</v>
      </c>
      <c r="K28" s="160">
        <f t="shared" si="1"/>
        <v>9497.0355683727539</v>
      </c>
      <c r="L28" s="160">
        <f t="shared" si="1"/>
        <v>490505.45205479459</v>
      </c>
      <c r="M28" s="202"/>
    </row>
    <row r="29" spans="2:13 16384:16384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 16384:16384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 16384:16384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 16384:16384">
      <c r="B32" s="151" t="s">
        <v>196</v>
      </c>
      <c r="C32" s="158"/>
      <c r="D32" s="158"/>
      <c r="E32" s="158"/>
      <c r="F32" s="158"/>
      <c r="G32" s="158"/>
      <c r="H32" s="158"/>
      <c r="I32" s="158"/>
      <c r="J32" s="158">
        <f>-Investissement!D30</f>
        <v>-2134636</v>
      </c>
      <c r="K32" s="158"/>
      <c r="L32" s="158"/>
      <c r="M32" s="201"/>
    </row>
    <row r="33" spans="2:17">
      <c r="B33" s="151" t="s">
        <v>197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0</v>
      </c>
      <c r="E35" s="160">
        <f>SUM(E31:E34)</f>
        <v>0</v>
      </c>
      <c r="F35" s="160">
        <f>SUM(F31:F34)</f>
        <v>0</v>
      </c>
      <c r="G35" s="160"/>
      <c r="H35" s="160">
        <f t="shared" ref="H35:L35" si="2">SUM(H31:H33)</f>
        <v>0</v>
      </c>
      <c r="I35" s="160">
        <f t="shared" si="2"/>
        <v>0</v>
      </c>
      <c r="J35" s="160">
        <f t="shared" si="2"/>
        <v>-2134636</v>
      </c>
      <c r="K35" s="160">
        <f t="shared" si="2"/>
        <v>0</v>
      </c>
      <c r="L35" s="160">
        <f t="shared" si="2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SUM(D39:D39)</f>
        <v>0</v>
      </c>
      <c r="E38" s="205">
        <f>SUM(E39:E39)</f>
        <v>0</v>
      </c>
      <c r="F38" s="205">
        <f>SUM(F39:F39)</f>
        <v>0</v>
      </c>
      <c r="G38" s="134"/>
      <c r="H38" s="205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 s="137" customFormat="1" ht="12.75" hidden="1" outlineLevel="1">
      <c r="B39" s="164"/>
      <c r="C39" s="206"/>
      <c r="D39" s="206"/>
      <c r="E39" s="206"/>
      <c r="F39" s="206"/>
      <c r="G39" s="133"/>
      <c r="H39" s="206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collapsed="1">
      <c r="B40" s="161" t="s">
        <v>28</v>
      </c>
      <c r="C40" s="205"/>
      <c r="D40" s="205">
        <f>SUM(D41:D41)</f>
        <v>0</v>
      </c>
      <c r="E40" s="205">
        <f>SUM(E41:E41)</f>
        <v>0</v>
      </c>
      <c r="F40" s="205">
        <f>SUM(F41:F41)</f>
        <v>0</v>
      </c>
      <c r="G40" s="134"/>
      <c r="H40" s="205">
        <f>SUM(H41:H43)</f>
        <v>0</v>
      </c>
      <c r="I40" s="205">
        <f>SUM(I41:I43)</f>
        <v>0</v>
      </c>
      <c r="J40" s="205">
        <f>SUM(J41:J43)</f>
        <v>-73717</v>
      </c>
      <c r="K40" s="205">
        <f>SUM(K41:K43)</f>
        <v>-65148</v>
      </c>
      <c r="L40" s="205">
        <f>SUM(L41:L43)</f>
        <v>-56247</v>
      </c>
      <c r="M40" s="205"/>
      <c r="N40" s="134"/>
      <c r="O40" s="134"/>
      <c r="P40" s="134"/>
      <c r="Q40" s="134"/>
    </row>
    <row r="41" spans="2:17" s="137" customFormat="1" ht="12.75" hidden="1" outlineLevel="1">
      <c r="B41" s="164" t="str">
        <f>'Profilyss - P&amp;L (2)'!B140</f>
        <v>Emprunt bancaire</v>
      </c>
      <c r="C41" s="206"/>
      <c r="D41" s="206"/>
      <c r="E41" s="206"/>
      <c r="F41" s="206"/>
      <c r="G41" s="133"/>
      <c r="H41" s="206"/>
      <c r="I41" s="206"/>
      <c r="J41" s="206">
        <f>'Profilyss - P&amp;L (2)'!I140</f>
        <v>-59717</v>
      </c>
      <c r="K41" s="206">
        <f>'Profilyss - P&amp;L (2)'!J140</f>
        <v>-51148</v>
      </c>
      <c r="L41" s="206">
        <f>'Profilyss - P&amp;L (2)'!K140</f>
        <v>-42247</v>
      </c>
      <c r="M41" s="206"/>
      <c r="N41" s="138"/>
      <c r="O41" s="138"/>
      <c r="P41" s="138"/>
      <c r="Q41" s="138"/>
    </row>
    <row r="42" spans="2:17" s="137" customFormat="1" ht="12.75" hidden="1" outlineLevel="1">
      <c r="B42" s="164" t="str">
        <f>'Profilyss - P&amp;L (2)'!B141</f>
        <v>C/C</v>
      </c>
      <c r="C42" s="206"/>
      <c r="D42" s="206"/>
      <c r="E42" s="206"/>
      <c r="F42" s="206"/>
      <c r="G42" s="133"/>
      <c r="H42" s="206"/>
      <c r="I42" s="206"/>
      <c r="J42" s="206">
        <f>'Profilyss - P&amp;L (2)'!I141</f>
        <v>-14000</v>
      </c>
      <c r="K42" s="206">
        <f>'Profilyss - P&amp;L (2)'!J141</f>
        <v>-14000</v>
      </c>
      <c r="L42" s="206">
        <f>'Profilyss - P&amp;L (2)'!K141</f>
        <v>-14000</v>
      </c>
      <c r="M42" s="206"/>
      <c r="N42" s="138"/>
      <c r="O42" s="138"/>
      <c r="P42" s="138"/>
      <c r="Q42" s="138"/>
    </row>
    <row r="43" spans="2:17" s="137" customFormat="1" ht="12.75" hidden="1" outlineLevel="1">
      <c r="B43" s="164"/>
      <c r="C43" s="206"/>
      <c r="D43" s="206"/>
      <c r="E43" s="206"/>
      <c r="F43" s="206"/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collapsed="1">
      <c r="B44" s="161" t="s">
        <v>213</v>
      </c>
      <c r="C44" s="152"/>
      <c r="D44" s="152">
        <f>SUM(D45:D45)</f>
        <v>0</v>
      </c>
      <c r="E44" s="152">
        <f>SUM(E45:E45)</f>
        <v>0</v>
      </c>
      <c r="F44" s="152">
        <f>SUM(F45:F45)</f>
        <v>0</v>
      </c>
      <c r="G44" s="152"/>
      <c r="H44" s="152">
        <f>SUM(H45:H47)</f>
        <v>0</v>
      </c>
      <c r="I44" s="152">
        <f t="shared" ref="I44:L44" si="3">SUM(I45:I47)</f>
        <v>0</v>
      </c>
      <c r="J44" s="152">
        <f t="shared" si="3"/>
        <v>1520469</v>
      </c>
      <c r="K44" s="152">
        <f t="shared" si="3"/>
        <v>-238100</v>
      </c>
      <c r="L44" s="152">
        <f t="shared" si="3"/>
        <v>-247001</v>
      </c>
      <c r="M44" s="205"/>
      <c r="N44" s="134"/>
      <c r="O44" s="134"/>
      <c r="P44" s="134"/>
      <c r="Q44" s="134"/>
    </row>
    <row r="45" spans="2:17" s="137" customFormat="1" ht="12.75" hidden="1" outlineLevel="1">
      <c r="B45" s="165" t="str">
        <f>'Profilyss - Bilan (2)'!B39</f>
        <v>Emprunt bancaire 84 mois</v>
      </c>
      <c r="C45" s="206"/>
      <c r="D45" s="206"/>
      <c r="E45" s="206"/>
      <c r="F45" s="206"/>
      <c r="G45" s="133"/>
      <c r="H45" s="206"/>
      <c r="I45" s="206"/>
      <c r="J45" s="206">
        <f>'Profilyss - Bilan (2)'!J39-'Profilyss - Bilan (2)'!I39</f>
        <v>1438261</v>
      </c>
      <c r="K45" s="206">
        <f>'Profilyss - Bilan (2)'!K39-'Profilyss - Bilan (2)'!J39</f>
        <v>-219268</v>
      </c>
      <c r="L45" s="206">
        <f>'Profilyss - Bilan (2)'!L39-'Profilyss - Bilan (2)'!K39</f>
        <v>-227068</v>
      </c>
      <c r="M45" s="206"/>
      <c r="N45" s="138"/>
      <c r="O45" s="138"/>
      <c r="P45" s="138"/>
      <c r="Q45" s="138"/>
    </row>
    <row r="46" spans="2:17" s="137" customFormat="1" ht="12.75" hidden="1" outlineLevel="1">
      <c r="B46" s="165" t="str">
        <f>'Profilyss - Bilan (2)'!B40</f>
        <v>Emprunt BPI 60 mois</v>
      </c>
      <c r="C46" s="206"/>
      <c r="D46" s="206"/>
      <c r="E46" s="206"/>
      <c r="F46" s="206"/>
      <c r="G46" s="133"/>
      <c r="H46" s="206"/>
      <c r="I46" s="206"/>
      <c r="J46" s="206">
        <f>'Profilyss - Bilan (2)'!J40-'Profilyss - Bilan (2)'!I40</f>
        <v>82208</v>
      </c>
      <c r="K46" s="206">
        <f>'Profilyss - Bilan (2)'!K40-'Profilyss - Bilan (2)'!J40</f>
        <v>-18832</v>
      </c>
      <c r="L46" s="206">
        <f>'Profilyss - Bilan (2)'!L40-'Profilyss - Bilan (2)'!K40</f>
        <v>-19933</v>
      </c>
      <c r="M46" s="206"/>
      <c r="N46" s="138"/>
      <c r="O46" s="138"/>
      <c r="P46" s="138"/>
      <c r="Q46" s="138"/>
    </row>
    <row r="47" spans="2:17" s="137" customFormat="1" ht="12.75" hidden="1" outlineLevel="1">
      <c r="B47" s="165"/>
      <c r="C47" s="206"/>
      <c r="D47" s="206"/>
      <c r="E47" s="206"/>
      <c r="F47" s="206"/>
      <c r="G47" s="133"/>
      <c r="H47" s="206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collapsed="1">
      <c r="B48" s="161" t="s">
        <v>214</v>
      </c>
      <c r="C48" s="152"/>
      <c r="D48" s="152">
        <f>SUM(D49:D49)</f>
        <v>0</v>
      </c>
      <c r="E48" s="152">
        <f>SUM(E49:E49)</f>
        <v>0</v>
      </c>
      <c r="F48" s="152">
        <f>SUM(F49:F49)</f>
        <v>0</v>
      </c>
      <c r="G48" s="152"/>
      <c r="H48" s="152">
        <v>0</v>
      </c>
      <c r="I48" s="152">
        <f>'Probois 43 - Bilan'!I43</f>
        <v>0</v>
      </c>
      <c r="J48" s="152">
        <f>'Profilyss - Bilan (2)'!J42-'Profilyss - Bilan (2)'!I42</f>
        <v>1000000</v>
      </c>
      <c r="K48" s="152">
        <f>'Profilyss - Bilan (2)'!K42-'Profilyss - Bilan (2)'!J42</f>
        <v>0</v>
      </c>
      <c r="L48" s="152">
        <f>'Profilyss - Bilan (2)'!L42-'Profilyss - Bilan (2)'!K42</f>
        <v>0</v>
      </c>
      <c r="M48" s="205"/>
      <c r="N48" s="134"/>
      <c r="O48" s="134"/>
      <c r="P48" s="134"/>
      <c r="Q48" s="134"/>
    </row>
    <row r="49" spans="2:17" s="137" customFormat="1" ht="12.75" hidden="1" outlineLevel="1">
      <c r="B49" s="164"/>
      <c r="C49" s="206"/>
      <c r="D49" s="206"/>
      <c r="E49" s="206"/>
      <c r="F49" s="206"/>
      <c r="G49" s="133"/>
      <c r="H49" s="206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collapsed="1">
      <c r="B50" s="161" t="s">
        <v>162</v>
      </c>
      <c r="C50" s="134"/>
      <c r="D50" s="134"/>
      <c r="E50" s="134"/>
      <c r="F50" s="134"/>
      <c r="G50" s="134"/>
      <c r="H50" s="134">
        <f>'Probois 43 - Bilan'!F30</f>
        <v>0</v>
      </c>
      <c r="I50" s="134">
        <v>0</v>
      </c>
      <c r="J50" s="134">
        <f>'E-R'!G155*1000</f>
        <v>600000</v>
      </c>
      <c r="K50" s="134">
        <f>'Probois 43 - Bilan'!J30</f>
        <v>0</v>
      </c>
      <c r="L50" s="134">
        <f>'Probois 43 - Bilan'!K30</f>
        <v>0</v>
      </c>
      <c r="M50" s="205"/>
      <c r="N50" s="134"/>
      <c r="O50" s="134"/>
      <c r="P50" s="134"/>
      <c r="Q50" s="134"/>
    </row>
    <row r="51" spans="2:17" s="137" customFormat="1" ht="12.75" hidden="1" outlineLevel="1">
      <c r="B51" s="162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207"/>
      <c r="N51" s="138"/>
      <c r="O51" s="138"/>
      <c r="P51" s="138"/>
      <c r="Q51" s="138"/>
    </row>
    <row r="52" spans="2:17" s="137" customFormat="1" collapsed="1">
      <c r="B52" s="161" t="s">
        <v>263</v>
      </c>
      <c r="C52" s="134"/>
      <c r="D52" s="134"/>
      <c r="E52" s="134"/>
      <c r="F52" s="134"/>
      <c r="G52" s="134"/>
      <c r="H52" s="134">
        <v>0</v>
      </c>
      <c r="I52" s="134">
        <v>0</v>
      </c>
      <c r="J52" s="134">
        <f>+'Probois 43 - Bilan'!J28-('Probois 43 - Bilan'!I28+'Probois 43 - Bilan'!I29)</f>
        <v>0</v>
      </c>
      <c r="K52" s="134">
        <f>+'Probois 43 - Bilan'!K28-('Probois 43 - Bilan'!J28+'Probois 43 - Bilan'!J29)</f>
        <v>0</v>
      </c>
      <c r="L52" s="134">
        <f>+'Probois 43 - Bilan'!L28-('Probois 43 - Bilan'!K28+'Probois 43 - Bilan'!K29)</f>
        <v>0</v>
      </c>
      <c r="M52" s="207"/>
      <c r="N52" s="138"/>
      <c r="O52" s="138"/>
      <c r="P52" s="138"/>
      <c r="Q52" s="138"/>
    </row>
    <row r="53" spans="2:17" s="137" customFormat="1" ht="12.75" hidden="1" outlineLevel="1">
      <c r="B53" s="162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207"/>
      <c r="N53" s="138"/>
      <c r="O53" s="138"/>
      <c r="P53" s="138"/>
      <c r="Q53" s="138"/>
    </row>
    <row r="54" spans="2:17" collapsed="1">
      <c r="B54" s="161" t="s">
        <v>252</v>
      </c>
      <c r="C54" s="205"/>
      <c r="D54" s="205">
        <f>'SC des SUCS - Bilan'!D26-'SC des SUCS - Bilan'!C26</f>
        <v>0</v>
      </c>
      <c r="E54" s="205"/>
      <c r="F54" s="205">
        <f>'SC des SUCS - Bilan'!F26-'SC des SUCS - Bilan'!E26</f>
        <v>0</v>
      </c>
      <c r="G54" s="134"/>
      <c r="H54" s="205">
        <f t="shared" ref="H54:J54" si="4">SUM(H55:H56)</f>
        <v>0</v>
      </c>
      <c r="I54" s="134">
        <f>'Profilyss - Bilan (2)'!I25</f>
        <v>50000</v>
      </c>
      <c r="J54" s="134">
        <f t="shared" si="4"/>
        <v>0</v>
      </c>
      <c r="K54" s="134">
        <f t="shared" ref="K54:L54" si="5">SUM(K55:K56)</f>
        <v>0</v>
      </c>
      <c r="L54" s="134">
        <f t="shared" si="5"/>
        <v>0</v>
      </c>
      <c r="M54" s="205"/>
      <c r="N54" s="134"/>
      <c r="O54" s="134"/>
      <c r="P54" s="134"/>
      <c r="Q54" s="134"/>
    </row>
    <row r="55" spans="2:17" s="137" customFormat="1" ht="12.75" hidden="1" outlineLevel="1">
      <c r="B55" s="166" t="s">
        <v>101</v>
      </c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207"/>
      <c r="N55" s="138"/>
      <c r="O55" s="138"/>
      <c r="P55" s="138"/>
      <c r="Q55" s="138"/>
    </row>
    <row r="56" spans="2:17" s="137" customFormat="1" ht="12.75" hidden="1" outlineLevel="1">
      <c r="B56" s="166" t="s">
        <v>253</v>
      </c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207"/>
      <c r="N56" s="138"/>
      <c r="O56" s="138"/>
      <c r="P56" s="138"/>
      <c r="Q56" s="138"/>
    </row>
    <row r="57" spans="2:17" s="137" customFormat="1" ht="12.75" collapsed="1">
      <c r="B57" s="162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207"/>
      <c r="N57" s="138"/>
      <c r="O57" s="138"/>
      <c r="P57" s="138"/>
      <c r="Q57" s="138"/>
    </row>
    <row r="58" spans="2:17">
      <c r="B58" s="159" t="s">
        <v>246</v>
      </c>
      <c r="C58" s="208"/>
      <c r="D58" s="208">
        <f>D38+D40+D44+D48+D50+D52+D54</f>
        <v>0</v>
      </c>
      <c r="E58" s="208">
        <f>E38+E40+E44+E48+E50+E52+E54</f>
        <v>0</v>
      </c>
      <c r="F58" s="208">
        <f>F38+F40+F44+F48+F50+F52+F54</f>
        <v>0</v>
      </c>
      <c r="G58" s="221"/>
      <c r="H58" s="208">
        <f>H38+H40+H44+H48+H50+H52+H54</f>
        <v>0</v>
      </c>
      <c r="I58" s="208">
        <f>I38+I40+I44+I48+I50+I52+I54</f>
        <v>50000</v>
      </c>
      <c r="J58" s="208">
        <f>J38+J40+J44+J48+J50+J52+J54</f>
        <v>3046752</v>
      </c>
      <c r="K58" s="208">
        <f>K38+K40+K44+K48+K50+K52+K54</f>
        <v>-303248</v>
      </c>
      <c r="L58" s="208">
        <f>L38+L40+L44+L48+L50+L52+L54</f>
        <v>-303248</v>
      </c>
      <c r="M58" s="208"/>
    </row>
    <row r="59" spans="2:17">
      <c r="B59" s="163"/>
      <c r="C59" s="163"/>
      <c r="D59" s="163"/>
      <c r="E59" s="163"/>
      <c r="F59" s="163"/>
      <c r="G59" s="151"/>
      <c r="H59" s="163"/>
      <c r="I59" s="163"/>
      <c r="J59" s="163"/>
      <c r="K59" s="163"/>
      <c r="L59" s="163"/>
      <c r="M59" s="203"/>
    </row>
    <row r="60" spans="2:17">
      <c r="B60" s="162" t="s">
        <v>247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207"/>
    </row>
    <row r="61" spans="2:17">
      <c r="B61" s="159" t="s">
        <v>248</v>
      </c>
      <c r="C61" s="160"/>
      <c r="D61" s="160">
        <f>D58+D60+D35+D28</f>
        <v>0</v>
      </c>
      <c r="E61" s="160">
        <f>E58+E60+E35+E28</f>
        <v>0</v>
      </c>
      <c r="F61" s="160">
        <f>F58+F60+F35+F28</f>
        <v>0</v>
      </c>
      <c r="G61" s="160"/>
      <c r="H61" s="160">
        <f>H58+H60+H35+H28</f>
        <v>0</v>
      </c>
      <c r="I61" s="160">
        <f>I58+I60+I35+I28</f>
        <v>50000</v>
      </c>
      <c r="J61" s="160">
        <f>J58+J60+J35+J28</f>
        <v>409888.41958396754</v>
      </c>
      <c r="K61" s="160">
        <f>K58+K60+K35+K28</f>
        <v>-293750.96443162725</v>
      </c>
      <c r="L61" s="160">
        <f>L58+L60+L35+L28</f>
        <v>187257.45205479459</v>
      </c>
      <c r="M61" s="202"/>
    </row>
    <row r="62" spans="2:17">
      <c r="B62" s="151"/>
      <c r="C62" s="151"/>
      <c r="D62" s="151"/>
      <c r="E62" s="151"/>
      <c r="F62" s="151"/>
      <c r="G62" s="151"/>
      <c r="H62" s="151"/>
      <c r="I62" s="151"/>
      <c r="J62" s="151"/>
      <c r="K62" s="151"/>
      <c r="L62" s="151"/>
      <c r="M62" s="203"/>
    </row>
    <row r="63" spans="2:17">
      <c r="B63" s="151" t="s">
        <v>249</v>
      </c>
      <c r="C63" s="152"/>
      <c r="D63" s="152">
        <f>C64</f>
        <v>0</v>
      </c>
      <c r="E63" s="152">
        <f>D64</f>
        <v>0</v>
      </c>
      <c r="F63" s="152">
        <f t="shared" ref="F63:L63" si="6">E64</f>
        <v>0</v>
      </c>
      <c r="G63" s="152"/>
      <c r="H63" s="152">
        <f>F64</f>
        <v>0</v>
      </c>
      <c r="I63" s="152">
        <v>0</v>
      </c>
      <c r="J63" s="152">
        <f t="shared" si="6"/>
        <v>50000</v>
      </c>
      <c r="K63" s="152">
        <f t="shared" si="6"/>
        <v>459888.41958396754</v>
      </c>
      <c r="L63" s="152">
        <f t="shared" si="6"/>
        <v>166137.45515234029</v>
      </c>
      <c r="M63" s="191"/>
    </row>
    <row r="64" spans="2:17">
      <c r="B64" s="159" t="s">
        <v>250</v>
      </c>
      <c r="C64" s="160">
        <v>0</v>
      </c>
      <c r="D64" s="160">
        <f t="shared" ref="D64:F64" si="7">D61+D63</f>
        <v>0</v>
      </c>
      <c r="E64" s="160">
        <f t="shared" si="7"/>
        <v>0</v>
      </c>
      <c r="F64" s="160">
        <f t="shared" si="7"/>
        <v>0</v>
      </c>
      <c r="G64" s="160"/>
      <c r="H64" s="160">
        <f>H61+H63</f>
        <v>0</v>
      </c>
      <c r="I64" s="160">
        <f t="shared" ref="I64:L64" si="8">I61+I63</f>
        <v>50000</v>
      </c>
      <c r="J64" s="160">
        <f t="shared" si="8"/>
        <v>459888.41958396754</v>
      </c>
      <c r="K64" s="160">
        <f t="shared" si="8"/>
        <v>166137.45515234029</v>
      </c>
      <c r="L64" s="160">
        <f t="shared" si="8"/>
        <v>353394.90720713488</v>
      </c>
      <c r="M64" s="202"/>
    </row>
    <row r="65" spans="2:16384">
      <c r="B65" s="159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205"/>
    </row>
    <row r="66" spans="2:16384">
      <c r="B66" s="168" t="s">
        <v>221</v>
      </c>
      <c r="C66" s="167"/>
      <c r="D66" s="167" t="str">
        <f>IF(ABS(D64-'Profilyss - Bilan'!D18)&lt;0.1,"Validé","Erreur")</f>
        <v>Validé</v>
      </c>
      <c r="E66" s="167" t="str">
        <f>IF(ABS(E64-'Profilyss - Bilan'!E18)&lt;0.1,"Validé","Erreur")</f>
        <v>Validé</v>
      </c>
      <c r="F66" s="167" t="str">
        <f>IF(ABS(F64-'Profilyss - Bilan'!F18)&lt;0.1,"Validé","Erreur")</f>
        <v>Validé</v>
      </c>
      <c r="G66" s="167"/>
      <c r="H66" s="167" t="str">
        <f>IF(ABS(H64-'Profilyss - Bilan'!H18)&lt;0.1,"Validé","Erreur")</f>
        <v>Validé</v>
      </c>
      <c r="I66" s="167" t="str">
        <f>IF(ABS(I64-'Profilyss - Bilan (2)'!I18)&lt;0.1,"Validé","Erreur")</f>
        <v>Validé</v>
      </c>
      <c r="J66" s="167" t="str">
        <f>IF(ABS(J64-'Profilyss - Bilan (2)'!J18)&lt;0.1,"Validé","Erreur")</f>
        <v>Validé</v>
      </c>
      <c r="K66" s="167" t="str">
        <f>IF(ABS(K64-'Profilyss - Bilan (2)'!K18)&lt;0.1,"Validé","Erreur")</f>
        <v>Validé</v>
      </c>
      <c r="L66" s="167" t="str">
        <f>IF(ABS(L64-'Profilyss - Bilan (2)'!L18)&lt;0.1,"Validé","Erreur")</f>
        <v>Validé</v>
      </c>
      <c r="M66" s="209"/>
    </row>
    <row r="67" spans="2:16384">
      <c r="C67" s="151"/>
      <c r="D67" s="151"/>
      <c r="E67" s="151"/>
      <c r="F67" s="151"/>
      <c r="G67" s="151"/>
      <c r="H67" s="151"/>
    </row>
    <row r="68" spans="2:16384">
      <c r="C68" s="134"/>
      <c r="D68" s="134"/>
      <c r="E68" s="134"/>
      <c r="F68" s="134"/>
      <c r="G68" s="134"/>
      <c r="H68" s="134"/>
      <c r="I68" s="134"/>
      <c r="J68" s="134"/>
      <c r="K68" s="134"/>
    </row>
    <row r="69" spans="2:16384">
      <c r="C69" s="136"/>
      <c r="D69" s="136"/>
      <c r="E69" s="136"/>
      <c r="F69" s="136"/>
      <c r="G69" s="136"/>
      <c r="H69" s="136"/>
      <c r="I69" s="136"/>
      <c r="J69" s="136"/>
      <c r="K69" s="136"/>
      <c r="L69" s="136"/>
    </row>
    <row r="70" spans="2:16384" s="210" customFormat="1">
      <c r="B70" s="122"/>
      <c r="C70" s="134"/>
      <c r="D70" s="134"/>
      <c r="E70" s="134"/>
      <c r="F70" s="134"/>
      <c r="G70" s="134"/>
      <c r="H70" s="134"/>
      <c r="I70" s="134"/>
      <c r="J70" s="134"/>
      <c r="K70" s="134"/>
      <c r="L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/>
      <c r="BI70" s="122"/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/>
      <c r="BV70" s="122"/>
      <c r="BW70" s="122"/>
      <c r="BX70" s="122"/>
      <c r="BY70" s="122"/>
      <c r="BZ70" s="122"/>
      <c r="CA70" s="122"/>
      <c r="CB70" s="122"/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  <c r="DL70" s="122"/>
      <c r="DM70" s="122"/>
      <c r="DN70" s="122"/>
      <c r="DO70" s="122"/>
      <c r="DP70" s="122"/>
      <c r="DQ70" s="122"/>
      <c r="DR70" s="122"/>
      <c r="DS70" s="122"/>
      <c r="DT70" s="122"/>
      <c r="DU70" s="122"/>
      <c r="DV70" s="122"/>
      <c r="DW70" s="122"/>
      <c r="DX70" s="122"/>
      <c r="DY70" s="122"/>
      <c r="DZ70" s="122"/>
      <c r="EA70" s="122"/>
      <c r="EB70" s="122"/>
      <c r="EC70" s="122"/>
      <c r="ED70" s="122"/>
      <c r="EE70" s="122"/>
      <c r="EF70" s="122"/>
      <c r="EG70" s="122"/>
      <c r="EH70" s="122"/>
      <c r="EI70" s="122"/>
      <c r="EJ70" s="122"/>
      <c r="EK70" s="122"/>
      <c r="EL70" s="122"/>
      <c r="EM70" s="122"/>
      <c r="EN70" s="122"/>
      <c r="EO70" s="122"/>
      <c r="EP70" s="122"/>
      <c r="EQ70" s="122"/>
      <c r="ER70" s="122"/>
      <c r="ES70" s="122"/>
      <c r="ET70" s="122"/>
      <c r="EU70" s="122"/>
      <c r="EV70" s="122"/>
      <c r="EW70" s="122"/>
      <c r="EX70" s="122"/>
      <c r="EY70" s="122"/>
      <c r="EZ70" s="122"/>
      <c r="FA70" s="122"/>
      <c r="FB70" s="122"/>
      <c r="FC70" s="122"/>
      <c r="FD70" s="122"/>
      <c r="FE70" s="122"/>
      <c r="FF70" s="122"/>
      <c r="FG70" s="122"/>
      <c r="FH70" s="122"/>
      <c r="FI70" s="122"/>
      <c r="FJ70" s="122"/>
      <c r="FK70" s="122"/>
      <c r="FL70" s="122"/>
      <c r="FM70" s="122"/>
      <c r="FN70" s="122"/>
      <c r="FO70" s="122"/>
      <c r="FP70" s="122"/>
      <c r="FQ70" s="122"/>
      <c r="FR70" s="122"/>
      <c r="FS70" s="122"/>
      <c r="FT70" s="122"/>
      <c r="FU70" s="122"/>
      <c r="FV70" s="122"/>
      <c r="FW70" s="122"/>
      <c r="FX70" s="122"/>
      <c r="FY70" s="122"/>
      <c r="FZ70" s="122"/>
      <c r="GA70" s="122"/>
      <c r="GB70" s="122"/>
      <c r="GC70" s="122"/>
      <c r="GD70" s="122"/>
      <c r="GE70" s="122"/>
      <c r="GF70" s="122"/>
      <c r="GG70" s="122"/>
      <c r="GH70" s="122"/>
      <c r="GI70" s="122"/>
      <c r="GJ70" s="122"/>
      <c r="GK70" s="122"/>
      <c r="GL70" s="122"/>
      <c r="GM70" s="122"/>
      <c r="GN70" s="122"/>
      <c r="GO70" s="122"/>
      <c r="GP70" s="122"/>
      <c r="GQ70" s="122"/>
      <c r="GR70" s="122"/>
      <c r="GS70" s="122"/>
      <c r="GT70" s="122"/>
      <c r="GU70" s="122"/>
      <c r="GV70" s="122"/>
      <c r="GW70" s="122"/>
      <c r="GX70" s="122"/>
      <c r="GY70" s="122"/>
      <c r="GZ70" s="122"/>
      <c r="HA70" s="122"/>
      <c r="HB70" s="122"/>
      <c r="HC70" s="122"/>
      <c r="HD70" s="122"/>
      <c r="HE70" s="122"/>
      <c r="HF70" s="122"/>
      <c r="HG70" s="122"/>
      <c r="HH70" s="122"/>
      <c r="HI70" s="122"/>
      <c r="HJ70" s="122"/>
      <c r="HK70" s="122"/>
      <c r="HL70" s="122"/>
      <c r="HM70" s="122"/>
      <c r="HN70" s="122"/>
      <c r="HO70" s="122"/>
      <c r="HP70" s="122"/>
      <c r="HQ70" s="122"/>
      <c r="HR70" s="122"/>
      <c r="HS70" s="122"/>
      <c r="HT70" s="122"/>
      <c r="HU70" s="122"/>
      <c r="HV70" s="122"/>
      <c r="HW70" s="122"/>
      <c r="HX70" s="122"/>
      <c r="HY70" s="122"/>
      <c r="HZ70" s="122"/>
      <c r="IA70" s="122"/>
      <c r="IB70" s="122"/>
      <c r="IC70" s="122"/>
      <c r="ID70" s="122"/>
      <c r="IE70" s="122"/>
      <c r="IF70" s="122"/>
      <c r="IG70" s="122"/>
      <c r="IH70" s="122"/>
      <c r="II70" s="122"/>
      <c r="IJ70" s="122"/>
      <c r="IK70" s="122"/>
      <c r="IL70" s="122"/>
      <c r="IM70" s="122"/>
      <c r="IN70" s="122"/>
      <c r="IO70" s="122"/>
      <c r="IP70" s="122"/>
      <c r="IQ70" s="122"/>
      <c r="IR70" s="122"/>
      <c r="IS70" s="122"/>
      <c r="IT70" s="122"/>
      <c r="IU70" s="122"/>
      <c r="IV70" s="122"/>
      <c r="IW70" s="122"/>
      <c r="IX70" s="122"/>
      <c r="IY70" s="122"/>
      <c r="IZ70" s="122"/>
      <c r="JA70" s="122"/>
      <c r="JB70" s="122"/>
      <c r="JC70" s="122"/>
      <c r="JD70" s="122"/>
      <c r="JE70" s="122"/>
      <c r="JF70" s="122"/>
      <c r="JG70" s="122"/>
      <c r="JH70" s="122"/>
      <c r="JI70" s="122"/>
      <c r="JJ70" s="122"/>
      <c r="JK70" s="122"/>
      <c r="JL70" s="122"/>
      <c r="JM70" s="122"/>
      <c r="JN70" s="122"/>
      <c r="JO70" s="122"/>
      <c r="JP70" s="122"/>
      <c r="JQ70" s="122"/>
      <c r="JR70" s="122"/>
      <c r="JS70" s="122"/>
      <c r="JT70" s="122"/>
      <c r="JU70" s="122"/>
      <c r="JV70" s="122"/>
      <c r="JW70" s="122"/>
      <c r="JX70" s="122"/>
      <c r="JY70" s="122"/>
      <c r="JZ70" s="122"/>
      <c r="KA70" s="122"/>
      <c r="KB70" s="122"/>
      <c r="KC70" s="122"/>
      <c r="KD70" s="122"/>
      <c r="KE70" s="122"/>
      <c r="KF70" s="122"/>
      <c r="KG70" s="122"/>
      <c r="KH70" s="122"/>
      <c r="KI70" s="122"/>
      <c r="KJ70" s="122"/>
      <c r="KK70" s="122"/>
      <c r="KL70" s="122"/>
      <c r="KM70" s="122"/>
      <c r="KN70" s="122"/>
      <c r="KO70" s="122"/>
      <c r="KP70" s="122"/>
      <c r="KQ70" s="122"/>
      <c r="KR70" s="122"/>
      <c r="KS70" s="122"/>
      <c r="KT70" s="122"/>
      <c r="KU70" s="122"/>
      <c r="KV70" s="122"/>
      <c r="KW70" s="122"/>
      <c r="KX70" s="122"/>
      <c r="KY70" s="122"/>
      <c r="KZ70" s="122"/>
      <c r="LA70" s="122"/>
      <c r="LB70" s="122"/>
      <c r="LC70" s="122"/>
      <c r="LD70" s="122"/>
      <c r="LE70" s="122"/>
      <c r="LF70" s="122"/>
      <c r="LG70" s="122"/>
      <c r="LH70" s="122"/>
      <c r="LI70" s="122"/>
      <c r="LJ70" s="122"/>
      <c r="LK70" s="122"/>
      <c r="LL70" s="122"/>
      <c r="LM70" s="122"/>
      <c r="LN70" s="122"/>
      <c r="LO70" s="122"/>
      <c r="LP70" s="122"/>
      <c r="LQ70" s="122"/>
      <c r="LR70" s="122"/>
      <c r="LS70" s="122"/>
      <c r="LT70" s="122"/>
      <c r="LU70" s="122"/>
      <c r="LV70" s="122"/>
      <c r="LW70" s="122"/>
      <c r="LX70" s="122"/>
      <c r="LY70" s="122"/>
      <c r="LZ70" s="122"/>
      <c r="MA70" s="122"/>
      <c r="MB70" s="122"/>
      <c r="MC70" s="122"/>
      <c r="MD70" s="122"/>
      <c r="ME70" s="122"/>
      <c r="MF70" s="122"/>
      <c r="MG70" s="122"/>
      <c r="MH70" s="122"/>
      <c r="MI70" s="122"/>
      <c r="MJ70" s="122"/>
      <c r="MK70" s="122"/>
      <c r="ML70" s="122"/>
      <c r="MM70" s="122"/>
      <c r="MN70" s="122"/>
      <c r="MO70" s="122"/>
      <c r="MP70" s="122"/>
      <c r="MQ70" s="122"/>
      <c r="MR70" s="122"/>
      <c r="MS70" s="122"/>
      <c r="MT70" s="122"/>
      <c r="MU70" s="122"/>
      <c r="MV70" s="122"/>
      <c r="MW70" s="122"/>
      <c r="MX70" s="122"/>
      <c r="MY70" s="122"/>
      <c r="MZ70" s="122"/>
      <c r="NA70" s="122"/>
      <c r="NB70" s="122"/>
      <c r="NC70" s="122"/>
      <c r="ND70" s="122"/>
      <c r="NE70" s="122"/>
      <c r="NF70" s="122"/>
      <c r="NG70" s="122"/>
      <c r="NH70" s="122"/>
      <c r="NI70" s="122"/>
      <c r="NJ70" s="122"/>
      <c r="NK70" s="122"/>
      <c r="NL70" s="122"/>
      <c r="NM70" s="122"/>
      <c r="NN70" s="122"/>
      <c r="NO70" s="122"/>
      <c r="NP70" s="122"/>
      <c r="NQ70" s="122"/>
      <c r="NR70" s="122"/>
      <c r="NS70" s="122"/>
      <c r="NT70" s="122"/>
      <c r="NU70" s="122"/>
      <c r="NV70" s="122"/>
      <c r="NW70" s="122"/>
      <c r="NX70" s="122"/>
      <c r="NY70" s="122"/>
      <c r="NZ70" s="122"/>
      <c r="OA70" s="122"/>
      <c r="OB70" s="122"/>
      <c r="OC70" s="122"/>
      <c r="OD70" s="122"/>
      <c r="OE70" s="122"/>
      <c r="OF70" s="122"/>
      <c r="OG70" s="122"/>
      <c r="OH70" s="122"/>
      <c r="OI70" s="122"/>
      <c r="OJ70" s="122"/>
      <c r="OK70" s="122"/>
      <c r="OL70" s="122"/>
      <c r="OM70" s="122"/>
      <c r="ON70" s="122"/>
      <c r="OO70" s="122"/>
      <c r="OP70" s="122"/>
      <c r="OQ70" s="122"/>
      <c r="OR70" s="122"/>
      <c r="OS70" s="122"/>
      <c r="OT70" s="122"/>
      <c r="OU70" s="122"/>
      <c r="OV70" s="122"/>
      <c r="OW70" s="122"/>
      <c r="OX70" s="122"/>
      <c r="OY70" s="122"/>
      <c r="OZ70" s="122"/>
      <c r="PA70" s="122"/>
      <c r="PB70" s="122"/>
      <c r="PC70" s="122"/>
      <c r="PD70" s="122"/>
      <c r="PE70" s="122"/>
      <c r="PF70" s="122"/>
      <c r="PG70" s="122"/>
      <c r="PH70" s="122"/>
      <c r="PI70" s="122"/>
      <c r="PJ70" s="122"/>
      <c r="PK70" s="122"/>
      <c r="PL70" s="122"/>
      <c r="PM70" s="122"/>
      <c r="PN70" s="122"/>
      <c r="PO70" s="122"/>
      <c r="PP70" s="122"/>
      <c r="PQ70" s="122"/>
      <c r="PR70" s="122"/>
      <c r="PS70" s="122"/>
      <c r="PT70" s="122"/>
      <c r="PU70" s="122"/>
      <c r="PV70" s="122"/>
      <c r="PW70" s="122"/>
      <c r="PX70" s="122"/>
      <c r="PY70" s="122"/>
      <c r="PZ70" s="122"/>
      <c r="QA70" s="122"/>
      <c r="QB70" s="122"/>
      <c r="QC70" s="122"/>
      <c r="QD70" s="122"/>
      <c r="QE70" s="122"/>
      <c r="QF70" s="122"/>
      <c r="QG70" s="122"/>
      <c r="QH70" s="122"/>
      <c r="QI70" s="122"/>
      <c r="QJ70" s="122"/>
      <c r="QK70" s="122"/>
      <c r="QL70" s="122"/>
      <c r="QM70" s="122"/>
      <c r="QN70" s="122"/>
      <c r="QO70" s="122"/>
      <c r="QP70" s="122"/>
      <c r="QQ70" s="122"/>
      <c r="QR70" s="122"/>
      <c r="QS70" s="122"/>
      <c r="QT70" s="122"/>
      <c r="QU70" s="122"/>
      <c r="QV70" s="122"/>
      <c r="QW70" s="122"/>
      <c r="QX70" s="122"/>
      <c r="QY70" s="122"/>
      <c r="QZ70" s="122"/>
      <c r="RA70" s="122"/>
      <c r="RB70" s="122"/>
      <c r="RC70" s="122"/>
      <c r="RD70" s="122"/>
      <c r="RE70" s="122"/>
      <c r="RF70" s="122"/>
      <c r="RG70" s="122"/>
      <c r="RH70" s="122"/>
      <c r="RI70" s="122"/>
      <c r="RJ70" s="122"/>
      <c r="RK70" s="122"/>
      <c r="RL70" s="122"/>
      <c r="RM70" s="122"/>
      <c r="RN70" s="122"/>
      <c r="RO70" s="122"/>
      <c r="RP70" s="122"/>
      <c r="RQ70" s="122"/>
      <c r="RR70" s="122"/>
      <c r="RS70" s="122"/>
      <c r="RT70" s="122"/>
      <c r="RU70" s="122"/>
      <c r="RV70" s="122"/>
      <c r="RW70" s="122"/>
      <c r="RX70" s="122"/>
      <c r="RY70" s="122"/>
      <c r="RZ70" s="122"/>
      <c r="SA70" s="122"/>
      <c r="SB70" s="122"/>
      <c r="SC70" s="122"/>
      <c r="SD70" s="122"/>
      <c r="SE70" s="122"/>
      <c r="SF70" s="122"/>
      <c r="SG70" s="122"/>
      <c r="SH70" s="122"/>
      <c r="SI70" s="122"/>
      <c r="SJ70" s="122"/>
      <c r="SK70" s="122"/>
      <c r="SL70" s="122"/>
      <c r="SM70" s="122"/>
      <c r="SN70" s="122"/>
      <c r="SO70" s="122"/>
      <c r="SP70" s="122"/>
      <c r="SQ70" s="122"/>
      <c r="SR70" s="122"/>
      <c r="SS70" s="122"/>
      <c r="ST70" s="122"/>
      <c r="SU70" s="122"/>
      <c r="SV70" s="122"/>
      <c r="SW70" s="122"/>
      <c r="SX70" s="122"/>
      <c r="SY70" s="122"/>
      <c r="SZ70" s="122"/>
      <c r="TA70" s="122"/>
      <c r="TB70" s="122"/>
      <c r="TC70" s="122"/>
      <c r="TD70" s="122"/>
      <c r="TE70" s="122"/>
      <c r="TF70" s="122"/>
      <c r="TG70" s="122"/>
      <c r="TH70" s="122"/>
      <c r="TI70" s="122"/>
      <c r="TJ70" s="122"/>
      <c r="TK70" s="122"/>
      <c r="TL70" s="122"/>
      <c r="TM70" s="122"/>
      <c r="TN70" s="122"/>
      <c r="TO70" s="122"/>
      <c r="TP70" s="122"/>
      <c r="TQ70" s="122"/>
      <c r="TR70" s="122"/>
      <c r="TS70" s="122"/>
      <c r="TT70" s="122"/>
      <c r="TU70" s="122"/>
      <c r="TV70" s="122"/>
      <c r="TW70" s="122"/>
      <c r="TX70" s="122"/>
      <c r="TY70" s="122"/>
      <c r="TZ70" s="122"/>
      <c r="UA70" s="122"/>
      <c r="UB70" s="122"/>
      <c r="UC70" s="122"/>
      <c r="UD70" s="122"/>
      <c r="UE70" s="122"/>
      <c r="UF70" s="122"/>
      <c r="UG70" s="122"/>
      <c r="UH70" s="122"/>
      <c r="UI70" s="122"/>
      <c r="UJ70" s="122"/>
      <c r="UK70" s="122"/>
      <c r="UL70" s="122"/>
      <c r="UM70" s="122"/>
      <c r="UN70" s="122"/>
      <c r="UO70" s="122"/>
      <c r="UP70" s="122"/>
      <c r="UQ70" s="122"/>
      <c r="UR70" s="122"/>
      <c r="US70" s="122"/>
      <c r="UT70" s="122"/>
      <c r="UU70" s="122"/>
      <c r="UV70" s="122"/>
      <c r="UW70" s="122"/>
      <c r="UX70" s="122"/>
      <c r="UY70" s="122"/>
      <c r="UZ70" s="122"/>
      <c r="VA70" s="122"/>
      <c r="VB70" s="122"/>
      <c r="VC70" s="122"/>
      <c r="VD70" s="122"/>
      <c r="VE70" s="122"/>
      <c r="VF70" s="122"/>
      <c r="VG70" s="122"/>
      <c r="VH70" s="122"/>
      <c r="VI70" s="122"/>
      <c r="VJ70" s="122"/>
      <c r="VK70" s="122"/>
      <c r="VL70" s="122"/>
      <c r="VM70" s="122"/>
      <c r="VN70" s="122"/>
      <c r="VO70" s="122"/>
      <c r="VP70" s="122"/>
      <c r="VQ70" s="122"/>
      <c r="VR70" s="122"/>
      <c r="VS70" s="122"/>
      <c r="VT70" s="122"/>
      <c r="VU70" s="122"/>
      <c r="VV70" s="122"/>
      <c r="VW70" s="122"/>
      <c r="VX70" s="122"/>
      <c r="VY70" s="122"/>
      <c r="VZ70" s="122"/>
      <c r="WA70" s="122"/>
      <c r="WB70" s="122"/>
      <c r="WC70" s="122"/>
      <c r="WD70" s="122"/>
      <c r="WE70" s="122"/>
      <c r="WF70" s="122"/>
      <c r="WG70" s="122"/>
      <c r="WH70" s="122"/>
      <c r="WI70" s="122"/>
      <c r="WJ70" s="122"/>
      <c r="WK70" s="122"/>
      <c r="WL70" s="122"/>
      <c r="WM70" s="122"/>
      <c r="WN70" s="122"/>
      <c r="WO70" s="122"/>
      <c r="WP70" s="122"/>
      <c r="WQ70" s="122"/>
      <c r="WR70" s="122"/>
      <c r="WS70" s="122"/>
      <c r="WT70" s="122"/>
      <c r="WU70" s="122"/>
      <c r="WV70" s="122"/>
      <c r="WW70" s="122"/>
      <c r="WX70" s="122"/>
      <c r="WY70" s="122"/>
      <c r="WZ70" s="122"/>
      <c r="XA70" s="122"/>
      <c r="XB70" s="122"/>
      <c r="XC70" s="122"/>
      <c r="XD70" s="122"/>
      <c r="XE70" s="122"/>
      <c r="XF70" s="122"/>
      <c r="XG70" s="122"/>
      <c r="XH70" s="122"/>
      <c r="XI70" s="122"/>
      <c r="XJ70" s="122"/>
      <c r="XK70" s="122"/>
      <c r="XL70" s="122"/>
      <c r="XM70" s="122"/>
      <c r="XN70" s="122"/>
      <c r="XO70" s="122"/>
      <c r="XP70" s="122"/>
      <c r="XQ70" s="122"/>
      <c r="XR70" s="122"/>
      <c r="XS70" s="122"/>
      <c r="XT70" s="122"/>
      <c r="XU70" s="122"/>
      <c r="XV70" s="122"/>
      <c r="XW70" s="122"/>
      <c r="XX70" s="122"/>
      <c r="XY70" s="122"/>
      <c r="XZ70" s="122"/>
      <c r="YA70" s="122"/>
      <c r="YB70" s="122"/>
      <c r="YC70" s="122"/>
      <c r="YD70" s="122"/>
      <c r="YE70" s="122"/>
      <c r="YF70" s="122"/>
      <c r="YG70" s="122"/>
      <c r="YH70" s="122"/>
      <c r="YI70" s="122"/>
      <c r="YJ70" s="122"/>
      <c r="YK70" s="122"/>
      <c r="YL70" s="122"/>
      <c r="YM70" s="122"/>
      <c r="YN70" s="122"/>
      <c r="YO70" s="122"/>
      <c r="YP70" s="122"/>
      <c r="YQ70" s="122"/>
      <c r="YR70" s="122"/>
      <c r="YS70" s="122"/>
      <c r="YT70" s="122"/>
      <c r="YU70" s="122"/>
      <c r="YV70" s="122"/>
      <c r="YW70" s="122"/>
      <c r="YX70" s="122"/>
      <c r="YY70" s="122"/>
      <c r="YZ70" s="122"/>
      <c r="ZA70" s="122"/>
      <c r="ZB70" s="122"/>
      <c r="ZC70" s="122"/>
      <c r="ZD70" s="122"/>
      <c r="ZE70" s="122"/>
      <c r="ZF70" s="122"/>
      <c r="ZG70" s="122"/>
      <c r="ZH70" s="122"/>
      <c r="ZI70" s="122"/>
      <c r="ZJ70" s="122"/>
      <c r="ZK70" s="122"/>
      <c r="ZL70" s="122"/>
      <c r="ZM70" s="122"/>
      <c r="ZN70" s="122"/>
      <c r="ZO70" s="122"/>
      <c r="ZP70" s="122"/>
      <c r="ZQ70" s="122"/>
      <c r="ZR70" s="122"/>
      <c r="ZS70" s="122"/>
      <c r="ZT70" s="122"/>
      <c r="ZU70" s="122"/>
      <c r="ZV70" s="122"/>
      <c r="ZW70" s="122"/>
      <c r="ZX70" s="122"/>
      <c r="ZY70" s="122"/>
      <c r="ZZ70" s="122"/>
      <c r="AAA70" s="122"/>
      <c r="AAB70" s="122"/>
      <c r="AAC70" s="122"/>
      <c r="AAD70" s="122"/>
      <c r="AAE70" s="122"/>
      <c r="AAF70" s="122"/>
      <c r="AAG70" s="122"/>
      <c r="AAH70" s="122"/>
      <c r="AAI70" s="122"/>
      <c r="AAJ70" s="122"/>
      <c r="AAK70" s="122"/>
      <c r="AAL70" s="122"/>
      <c r="AAM70" s="122"/>
      <c r="AAN70" s="122"/>
      <c r="AAO70" s="122"/>
      <c r="AAP70" s="122"/>
      <c r="AAQ70" s="122"/>
      <c r="AAR70" s="122"/>
      <c r="AAS70" s="122"/>
      <c r="AAT70" s="122"/>
      <c r="AAU70" s="122"/>
      <c r="AAV70" s="122"/>
      <c r="AAW70" s="122"/>
      <c r="AAX70" s="122"/>
      <c r="AAY70" s="122"/>
      <c r="AAZ70" s="122"/>
      <c r="ABA70" s="122"/>
      <c r="ABB70" s="122"/>
      <c r="ABC70" s="122"/>
      <c r="ABD70" s="122"/>
      <c r="ABE70" s="122"/>
      <c r="ABF70" s="122"/>
      <c r="ABG70" s="122"/>
      <c r="ABH70" s="122"/>
      <c r="ABI70" s="122"/>
      <c r="ABJ70" s="122"/>
      <c r="ABK70" s="122"/>
      <c r="ABL70" s="122"/>
      <c r="ABM70" s="122"/>
      <c r="ABN70" s="122"/>
      <c r="ABO70" s="122"/>
      <c r="ABP70" s="122"/>
      <c r="ABQ70" s="122"/>
      <c r="ABR70" s="122"/>
      <c r="ABS70" s="122"/>
      <c r="ABT70" s="122"/>
      <c r="ABU70" s="122"/>
      <c r="ABV70" s="122"/>
      <c r="ABW70" s="122"/>
      <c r="ABX70" s="122"/>
      <c r="ABY70" s="122"/>
      <c r="ABZ70" s="122"/>
      <c r="ACA70" s="122"/>
      <c r="ACB70" s="122"/>
      <c r="ACC70" s="122"/>
      <c r="ACD70" s="122"/>
      <c r="ACE70" s="122"/>
      <c r="ACF70" s="122"/>
      <c r="ACG70" s="122"/>
      <c r="ACH70" s="122"/>
      <c r="ACI70" s="122"/>
      <c r="ACJ70" s="122"/>
      <c r="ACK70" s="122"/>
      <c r="ACL70" s="122"/>
      <c r="ACM70" s="122"/>
      <c r="ACN70" s="122"/>
      <c r="ACO70" s="122"/>
      <c r="ACP70" s="122"/>
      <c r="ACQ70" s="122"/>
      <c r="ACR70" s="122"/>
      <c r="ACS70" s="122"/>
      <c r="ACT70" s="122"/>
      <c r="ACU70" s="122"/>
      <c r="ACV70" s="122"/>
      <c r="ACW70" s="122"/>
      <c r="ACX70" s="122"/>
      <c r="ACY70" s="122"/>
      <c r="ACZ70" s="122"/>
      <c r="ADA70" s="122"/>
      <c r="ADB70" s="122"/>
      <c r="ADC70" s="122"/>
      <c r="ADD70" s="122"/>
      <c r="ADE70" s="122"/>
      <c r="ADF70" s="122"/>
      <c r="ADG70" s="122"/>
      <c r="ADH70" s="122"/>
      <c r="ADI70" s="122"/>
      <c r="ADJ70" s="122"/>
      <c r="ADK70" s="122"/>
      <c r="ADL70" s="122"/>
      <c r="ADM70" s="122"/>
      <c r="ADN70" s="122"/>
      <c r="ADO70" s="122"/>
      <c r="ADP70" s="122"/>
      <c r="ADQ70" s="122"/>
      <c r="ADR70" s="122"/>
      <c r="ADS70" s="122"/>
      <c r="ADT70" s="122"/>
      <c r="ADU70" s="122"/>
      <c r="ADV70" s="122"/>
      <c r="ADW70" s="122"/>
      <c r="ADX70" s="122"/>
      <c r="ADY70" s="122"/>
      <c r="ADZ70" s="122"/>
      <c r="AEA70" s="122"/>
      <c r="AEB70" s="122"/>
      <c r="AEC70" s="122"/>
      <c r="AED70" s="122"/>
      <c r="AEE70" s="122"/>
      <c r="AEF70" s="122"/>
      <c r="AEG70" s="122"/>
      <c r="AEH70" s="122"/>
      <c r="AEI70" s="122"/>
      <c r="AEJ70" s="122"/>
      <c r="AEK70" s="122"/>
      <c r="AEL70" s="122"/>
      <c r="AEM70" s="122"/>
      <c r="AEN70" s="122"/>
      <c r="AEO70" s="122"/>
      <c r="AEP70" s="122"/>
      <c r="AEQ70" s="122"/>
      <c r="AER70" s="122"/>
      <c r="AES70" s="122"/>
      <c r="AET70" s="122"/>
      <c r="AEU70" s="122"/>
      <c r="AEV70" s="122"/>
      <c r="AEW70" s="122"/>
      <c r="AEX70" s="122"/>
      <c r="AEY70" s="122"/>
      <c r="AEZ70" s="122"/>
      <c r="AFA70" s="122"/>
      <c r="AFB70" s="122"/>
      <c r="AFC70" s="122"/>
      <c r="AFD70" s="122"/>
      <c r="AFE70" s="122"/>
      <c r="AFF70" s="122"/>
      <c r="AFG70" s="122"/>
      <c r="AFH70" s="122"/>
      <c r="AFI70" s="122"/>
      <c r="AFJ70" s="122"/>
      <c r="AFK70" s="122"/>
      <c r="AFL70" s="122"/>
      <c r="AFM70" s="122"/>
      <c r="AFN70" s="122"/>
      <c r="AFO70" s="122"/>
      <c r="AFP70" s="122"/>
      <c r="AFQ70" s="122"/>
      <c r="AFR70" s="122"/>
      <c r="AFS70" s="122"/>
      <c r="AFT70" s="122"/>
      <c r="AFU70" s="122"/>
      <c r="AFV70" s="122"/>
      <c r="AFW70" s="122"/>
      <c r="AFX70" s="122"/>
      <c r="AFY70" s="122"/>
      <c r="AFZ70" s="122"/>
      <c r="AGA70" s="122"/>
      <c r="AGB70" s="122"/>
      <c r="AGC70" s="122"/>
      <c r="AGD70" s="122"/>
      <c r="AGE70" s="122"/>
      <c r="AGF70" s="122"/>
      <c r="AGG70" s="122"/>
      <c r="AGH70" s="122"/>
      <c r="AGI70" s="122"/>
      <c r="AGJ70" s="122"/>
      <c r="AGK70" s="122"/>
      <c r="AGL70" s="122"/>
      <c r="AGM70" s="122"/>
      <c r="AGN70" s="122"/>
      <c r="AGO70" s="122"/>
      <c r="AGP70" s="122"/>
      <c r="AGQ70" s="122"/>
      <c r="AGR70" s="122"/>
      <c r="AGS70" s="122"/>
      <c r="AGT70" s="122"/>
      <c r="AGU70" s="122"/>
      <c r="AGV70" s="122"/>
      <c r="AGW70" s="122"/>
      <c r="AGX70" s="122"/>
      <c r="AGY70" s="122"/>
      <c r="AGZ70" s="122"/>
      <c r="AHA70" s="122"/>
      <c r="AHB70" s="122"/>
      <c r="AHC70" s="122"/>
      <c r="AHD70" s="122"/>
      <c r="AHE70" s="122"/>
      <c r="AHF70" s="122"/>
      <c r="AHG70" s="122"/>
      <c r="AHH70" s="122"/>
      <c r="AHI70" s="122"/>
      <c r="AHJ70" s="122"/>
      <c r="AHK70" s="122"/>
      <c r="AHL70" s="122"/>
      <c r="AHM70" s="122"/>
      <c r="AHN70" s="122"/>
      <c r="AHO70" s="122"/>
      <c r="AHP70" s="122"/>
      <c r="AHQ70" s="122"/>
      <c r="AHR70" s="122"/>
      <c r="AHS70" s="122"/>
      <c r="AHT70" s="122"/>
      <c r="AHU70" s="122"/>
      <c r="AHV70" s="122"/>
      <c r="AHW70" s="122"/>
      <c r="AHX70" s="122"/>
      <c r="AHY70" s="122"/>
      <c r="AHZ70" s="122"/>
      <c r="AIA70" s="122"/>
      <c r="AIB70" s="122"/>
      <c r="AIC70" s="122"/>
      <c r="AID70" s="122"/>
      <c r="AIE70" s="122"/>
      <c r="AIF70" s="122"/>
      <c r="AIG70" s="122"/>
      <c r="AIH70" s="122"/>
      <c r="AII70" s="122"/>
      <c r="AIJ70" s="122"/>
      <c r="AIK70" s="122"/>
      <c r="AIL70" s="122"/>
      <c r="AIM70" s="122"/>
      <c r="AIN70" s="122"/>
      <c r="AIO70" s="122"/>
      <c r="AIP70" s="122"/>
      <c r="AIQ70" s="122"/>
      <c r="AIR70" s="122"/>
      <c r="AIS70" s="122"/>
      <c r="AIT70" s="122"/>
      <c r="AIU70" s="122"/>
      <c r="AIV70" s="122"/>
      <c r="AIW70" s="122"/>
      <c r="AIX70" s="122"/>
      <c r="AIY70" s="122"/>
      <c r="AIZ70" s="122"/>
      <c r="AJA70" s="122"/>
      <c r="AJB70" s="122"/>
      <c r="AJC70" s="122"/>
      <c r="AJD70" s="122"/>
      <c r="AJE70" s="122"/>
      <c r="AJF70" s="122"/>
      <c r="AJG70" s="122"/>
      <c r="AJH70" s="122"/>
      <c r="AJI70" s="122"/>
      <c r="AJJ70" s="122"/>
      <c r="AJK70" s="122"/>
      <c r="AJL70" s="122"/>
      <c r="AJM70" s="122"/>
      <c r="AJN70" s="122"/>
      <c r="AJO70" s="122"/>
      <c r="AJP70" s="122"/>
      <c r="AJQ70" s="122"/>
      <c r="AJR70" s="122"/>
      <c r="AJS70" s="122"/>
      <c r="AJT70" s="122"/>
      <c r="AJU70" s="122"/>
      <c r="AJV70" s="122"/>
      <c r="AJW70" s="122"/>
      <c r="AJX70" s="122"/>
      <c r="AJY70" s="122"/>
      <c r="AJZ70" s="122"/>
      <c r="AKA70" s="122"/>
      <c r="AKB70" s="122"/>
      <c r="AKC70" s="122"/>
      <c r="AKD70" s="122"/>
      <c r="AKE70" s="122"/>
      <c r="AKF70" s="122"/>
      <c r="AKG70" s="122"/>
      <c r="AKH70" s="122"/>
      <c r="AKI70" s="122"/>
      <c r="AKJ70" s="122"/>
      <c r="AKK70" s="122"/>
      <c r="AKL70" s="122"/>
      <c r="AKM70" s="122"/>
      <c r="AKN70" s="122"/>
      <c r="AKO70" s="122"/>
      <c r="AKP70" s="122"/>
      <c r="AKQ70" s="122"/>
      <c r="AKR70" s="122"/>
      <c r="AKS70" s="122"/>
      <c r="AKT70" s="122"/>
      <c r="AKU70" s="122"/>
      <c r="AKV70" s="122"/>
      <c r="AKW70" s="122"/>
      <c r="AKX70" s="122"/>
      <c r="AKY70" s="122"/>
      <c r="AKZ70" s="122"/>
      <c r="ALA70" s="122"/>
      <c r="ALB70" s="122"/>
      <c r="ALC70" s="122"/>
      <c r="ALD70" s="122"/>
      <c r="ALE70" s="122"/>
      <c r="ALF70" s="122"/>
      <c r="ALG70" s="122"/>
      <c r="ALH70" s="122"/>
      <c r="ALI70" s="122"/>
      <c r="ALJ70" s="122"/>
      <c r="ALK70" s="122"/>
      <c r="ALL70" s="122"/>
      <c r="ALM70" s="122"/>
      <c r="ALN70" s="122"/>
      <c r="ALO70" s="122"/>
      <c r="ALP70" s="122"/>
      <c r="ALQ70" s="122"/>
      <c r="ALR70" s="122"/>
      <c r="ALS70" s="122"/>
      <c r="ALT70" s="122"/>
      <c r="ALU70" s="122"/>
      <c r="ALV70" s="122"/>
      <c r="ALW70" s="122"/>
      <c r="ALX70" s="122"/>
      <c r="ALY70" s="122"/>
      <c r="ALZ70" s="122"/>
      <c r="AMA70" s="122"/>
      <c r="AMB70" s="122"/>
      <c r="AMC70" s="122"/>
      <c r="AMD70" s="122"/>
      <c r="AME70" s="122"/>
      <c r="AMF70" s="122"/>
      <c r="AMG70" s="122"/>
      <c r="AMH70" s="122"/>
      <c r="AMI70" s="122"/>
      <c r="AMJ70" s="122"/>
      <c r="AMK70" s="122"/>
      <c r="AML70" s="122"/>
      <c r="AMM70" s="122"/>
      <c r="AMN70" s="122"/>
      <c r="AMO70" s="122"/>
      <c r="AMP70" s="122"/>
      <c r="AMQ70" s="122"/>
      <c r="AMR70" s="122"/>
      <c r="AMS70" s="122"/>
      <c r="AMT70" s="122"/>
      <c r="AMU70" s="122"/>
      <c r="AMV70" s="122"/>
      <c r="AMW70" s="122"/>
      <c r="AMX70" s="122"/>
      <c r="AMY70" s="122"/>
      <c r="AMZ70" s="122"/>
      <c r="ANA70" s="122"/>
      <c r="ANB70" s="122"/>
      <c r="ANC70" s="122"/>
      <c r="AND70" s="122"/>
      <c r="ANE70" s="122"/>
      <c r="ANF70" s="122"/>
      <c r="ANG70" s="122"/>
      <c r="ANH70" s="122"/>
      <c r="ANI70" s="122"/>
      <c r="ANJ70" s="122"/>
      <c r="ANK70" s="122"/>
      <c r="ANL70" s="122"/>
      <c r="ANM70" s="122"/>
      <c r="ANN70" s="122"/>
      <c r="ANO70" s="122"/>
      <c r="ANP70" s="122"/>
      <c r="ANQ70" s="122"/>
      <c r="ANR70" s="122"/>
      <c r="ANS70" s="122"/>
      <c r="ANT70" s="122"/>
      <c r="ANU70" s="122"/>
      <c r="ANV70" s="122"/>
      <c r="ANW70" s="122"/>
      <c r="ANX70" s="122"/>
      <c r="ANY70" s="122"/>
      <c r="ANZ70" s="122"/>
      <c r="AOA70" s="122"/>
      <c r="AOB70" s="122"/>
      <c r="AOC70" s="122"/>
      <c r="AOD70" s="122"/>
      <c r="AOE70" s="122"/>
      <c r="AOF70" s="122"/>
      <c r="AOG70" s="122"/>
      <c r="AOH70" s="122"/>
      <c r="AOI70" s="122"/>
      <c r="AOJ70" s="122"/>
      <c r="AOK70" s="122"/>
      <c r="AOL70" s="122"/>
      <c r="AOM70" s="122"/>
      <c r="AON70" s="122"/>
      <c r="AOO70" s="122"/>
      <c r="AOP70" s="122"/>
      <c r="AOQ70" s="122"/>
      <c r="AOR70" s="122"/>
      <c r="AOS70" s="122"/>
      <c r="AOT70" s="122"/>
      <c r="AOU70" s="122"/>
      <c r="AOV70" s="122"/>
      <c r="AOW70" s="122"/>
      <c r="AOX70" s="122"/>
      <c r="AOY70" s="122"/>
      <c r="AOZ70" s="122"/>
      <c r="APA70" s="122"/>
      <c r="APB70" s="122"/>
      <c r="APC70" s="122"/>
      <c r="APD70" s="122"/>
      <c r="APE70" s="122"/>
      <c r="APF70" s="122"/>
      <c r="APG70" s="122"/>
      <c r="APH70" s="122"/>
      <c r="API70" s="122"/>
      <c r="APJ70" s="122"/>
      <c r="APK70" s="122"/>
      <c r="APL70" s="122"/>
      <c r="APM70" s="122"/>
      <c r="APN70" s="122"/>
      <c r="APO70" s="122"/>
      <c r="APP70" s="122"/>
      <c r="APQ70" s="122"/>
      <c r="APR70" s="122"/>
      <c r="APS70" s="122"/>
      <c r="APT70" s="122"/>
      <c r="APU70" s="122"/>
      <c r="APV70" s="122"/>
      <c r="APW70" s="122"/>
      <c r="APX70" s="122"/>
      <c r="APY70" s="122"/>
      <c r="APZ70" s="122"/>
      <c r="AQA70" s="122"/>
      <c r="AQB70" s="122"/>
      <c r="AQC70" s="122"/>
      <c r="AQD70" s="122"/>
      <c r="AQE70" s="122"/>
      <c r="AQF70" s="122"/>
      <c r="AQG70" s="122"/>
      <c r="AQH70" s="122"/>
      <c r="AQI70" s="122"/>
      <c r="AQJ70" s="122"/>
      <c r="AQK70" s="122"/>
      <c r="AQL70" s="122"/>
      <c r="AQM70" s="122"/>
      <c r="AQN70" s="122"/>
      <c r="AQO70" s="122"/>
      <c r="AQP70" s="122"/>
      <c r="AQQ70" s="122"/>
      <c r="AQR70" s="122"/>
      <c r="AQS70" s="122"/>
      <c r="AQT70" s="122"/>
      <c r="AQU70" s="122"/>
      <c r="AQV70" s="122"/>
      <c r="AQW70" s="122"/>
      <c r="AQX70" s="122"/>
      <c r="AQY70" s="122"/>
      <c r="AQZ70" s="122"/>
      <c r="ARA70" s="122"/>
      <c r="ARB70" s="122"/>
      <c r="ARC70" s="122"/>
      <c r="ARD70" s="122"/>
      <c r="ARE70" s="122"/>
      <c r="ARF70" s="122"/>
      <c r="ARG70" s="122"/>
      <c r="ARH70" s="122"/>
      <c r="ARI70" s="122"/>
      <c r="ARJ70" s="122"/>
      <c r="ARK70" s="122"/>
      <c r="ARL70" s="122"/>
      <c r="ARM70" s="122"/>
      <c r="ARN70" s="122"/>
      <c r="ARO70" s="122"/>
      <c r="ARP70" s="122"/>
      <c r="ARQ70" s="122"/>
      <c r="ARR70" s="122"/>
      <c r="ARS70" s="122"/>
      <c r="ART70" s="122"/>
      <c r="ARU70" s="122"/>
      <c r="ARV70" s="122"/>
      <c r="ARW70" s="122"/>
      <c r="ARX70" s="122"/>
      <c r="ARY70" s="122"/>
      <c r="ARZ70" s="122"/>
      <c r="ASA70" s="122"/>
      <c r="ASB70" s="122"/>
      <c r="ASC70" s="122"/>
      <c r="ASD70" s="122"/>
      <c r="ASE70" s="122"/>
      <c r="ASF70" s="122"/>
      <c r="ASG70" s="122"/>
      <c r="ASH70" s="122"/>
      <c r="ASI70" s="122"/>
      <c r="ASJ70" s="122"/>
      <c r="ASK70" s="122"/>
      <c r="ASL70" s="122"/>
      <c r="ASM70" s="122"/>
      <c r="ASN70" s="122"/>
      <c r="ASO70" s="122"/>
      <c r="ASP70" s="122"/>
      <c r="ASQ70" s="122"/>
      <c r="ASR70" s="122"/>
      <c r="ASS70" s="122"/>
      <c r="AST70" s="122"/>
      <c r="ASU70" s="122"/>
      <c r="ASV70" s="122"/>
      <c r="ASW70" s="122"/>
      <c r="ASX70" s="122"/>
      <c r="ASY70" s="122"/>
      <c r="ASZ70" s="122"/>
      <c r="ATA70" s="122"/>
      <c r="ATB70" s="122"/>
      <c r="ATC70" s="122"/>
      <c r="ATD70" s="122"/>
      <c r="ATE70" s="122"/>
      <c r="ATF70" s="122"/>
      <c r="ATG70" s="122"/>
      <c r="ATH70" s="122"/>
      <c r="ATI70" s="122"/>
      <c r="ATJ70" s="122"/>
      <c r="ATK70" s="122"/>
      <c r="ATL70" s="122"/>
      <c r="ATM70" s="122"/>
      <c r="ATN70" s="122"/>
      <c r="ATO70" s="122"/>
      <c r="ATP70" s="122"/>
      <c r="ATQ70" s="122"/>
      <c r="ATR70" s="122"/>
      <c r="ATS70" s="122"/>
      <c r="ATT70" s="122"/>
      <c r="ATU70" s="122"/>
      <c r="ATV70" s="122"/>
      <c r="ATW70" s="122"/>
      <c r="ATX70" s="122"/>
      <c r="ATY70" s="122"/>
      <c r="ATZ70" s="122"/>
      <c r="AUA70" s="122"/>
      <c r="AUB70" s="122"/>
      <c r="AUC70" s="122"/>
      <c r="AUD70" s="122"/>
      <c r="AUE70" s="122"/>
      <c r="AUF70" s="122"/>
      <c r="AUG70" s="122"/>
      <c r="AUH70" s="122"/>
      <c r="AUI70" s="122"/>
      <c r="AUJ70" s="122"/>
      <c r="AUK70" s="122"/>
      <c r="AUL70" s="122"/>
      <c r="AUM70" s="122"/>
      <c r="AUN70" s="122"/>
      <c r="AUO70" s="122"/>
      <c r="AUP70" s="122"/>
      <c r="AUQ70" s="122"/>
      <c r="AUR70" s="122"/>
      <c r="AUS70" s="122"/>
      <c r="AUT70" s="122"/>
      <c r="AUU70" s="122"/>
      <c r="AUV70" s="122"/>
      <c r="AUW70" s="122"/>
      <c r="AUX70" s="122"/>
      <c r="AUY70" s="122"/>
      <c r="AUZ70" s="122"/>
      <c r="AVA70" s="122"/>
      <c r="AVB70" s="122"/>
      <c r="AVC70" s="122"/>
      <c r="AVD70" s="122"/>
      <c r="AVE70" s="122"/>
      <c r="AVF70" s="122"/>
      <c r="AVG70" s="122"/>
      <c r="AVH70" s="122"/>
      <c r="AVI70" s="122"/>
      <c r="AVJ70" s="122"/>
      <c r="AVK70" s="122"/>
      <c r="AVL70" s="122"/>
      <c r="AVM70" s="122"/>
      <c r="AVN70" s="122"/>
      <c r="AVO70" s="122"/>
      <c r="AVP70" s="122"/>
      <c r="AVQ70" s="122"/>
      <c r="AVR70" s="122"/>
      <c r="AVS70" s="122"/>
      <c r="AVT70" s="122"/>
      <c r="AVU70" s="122"/>
      <c r="AVV70" s="122"/>
      <c r="AVW70" s="122"/>
      <c r="AVX70" s="122"/>
      <c r="AVY70" s="122"/>
      <c r="AVZ70" s="122"/>
      <c r="AWA70" s="122"/>
      <c r="AWB70" s="122"/>
      <c r="AWC70" s="122"/>
      <c r="AWD70" s="122"/>
      <c r="AWE70" s="122"/>
      <c r="AWF70" s="122"/>
      <c r="AWG70" s="122"/>
      <c r="AWH70" s="122"/>
      <c r="AWI70" s="122"/>
      <c r="AWJ70" s="122"/>
      <c r="AWK70" s="122"/>
      <c r="AWL70" s="122"/>
      <c r="AWM70" s="122"/>
      <c r="AWN70" s="122"/>
      <c r="AWO70" s="122"/>
      <c r="AWP70" s="122"/>
      <c r="AWQ70" s="122"/>
      <c r="AWR70" s="122"/>
      <c r="AWS70" s="122"/>
      <c r="AWT70" s="122"/>
      <c r="AWU70" s="122"/>
      <c r="AWV70" s="122"/>
      <c r="AWW70" s="122"/>
      <c r="AWX70" s="122"/>
      <c r="AWY70" s="122"/>
      <c r="AWZ70" s="122"/>
      <c r="AXA70" s="122"/>
      <c r="AXB70" s="122"/>
      <c r="AXC70" s="122"/>
      <c r="AXD70" s="122"/>
      <c r="AXE70" s="122"/>
      <c r="AXF70" s="122"/>
      <c r="AXG70" s="122"/>
      <c r="AXH70" s="122"/>
      <c r="AXI70" s="122"/>
      <c r="AXJ70" s="122"/>
      <c r="AXK70" s="122"/>
      <c r="AXL70" s="122"/>
      <c r="AXM70" s="122"/>
      <c r="AXN70" s="122"/>
      <c r="AXO70" s="122"/>
      <c r="AXP70" s="122"/>
      <c r="AXQ70" s="122"/>
      <c r="AXR70" s="122"/>
      <c r="AXS70" s="122"/>
      <c r="AXT70" s="122"/>
      <c r="AXU70" s="122"/>
      <c r="AXV70" s="122"/>
      <c r="AXW70" s="122"/>
      <c r="AXX70" s="122"/>
      <c r="AXY70" s="122"/>
      <c r="AXZ70" s="122"/>
      <c r="AYA70" s="122"/>
      <c r="AYB70" s="122"/>
      <c r="AYC70" s="122"/>
      <c r="AYD70" s="122"/>
      <c r="AYE70" s="122"/>
      <c r="AYF70" s="122"/>
      <c r="AYG70" s="122"/>
      <c r="AYH70" s="122"/>
      <c r="AYI70" s="122"/>
      <c r="AYJ70" s="122"/>
      <c r="AYK70" s="122"/>
      <c r="AYL70" s="122"/>
      <c r="AYM70" s="122"/>
      <c r="AYN70" s="122"/>
      <c r="AYO70" s="122"/>
      <c r="AYP70" s="122"/>
      <c r="AYQ70" s="122"/>
      <c r="AYR70" s="122"/>
      <c r="AYS70" s="122"/>
      <c r="AYT70" s="122"/>
      <c r="AYU70" s="122"/>
      <c r="AYV70" s="122"/>
      <c r="AYW70" s="122"/>
      <c r="AYX70" s="122"/>
      <c r="AYY70" s="122"/>
      <c r="AYZ70" s="122"/>
      <c r="AZA70" s="122"/>
      <c r="AZB70" s="122"/>
      <c r="AZC70" s="122"/>
      <c r="AZD70" s="122"/>
      <c r="AZE70" s="122"/>
      <c r="AZF70" s="122"/>
      <c r="AZG70" s="122"/>
      <c r="AZH70" s="122"/>
      <c r="AZI70" s="122"/>
      <c r="AZJ70" s="122"/>
      <c r="AZK70" s="122"/>
      <c r="AZL70" s="122"/>
      <c r="AZM70" s="122"/>
      <c r="AZN70" s="122"/>
      <c r="AZO70" s="122"/>
      <c r="AZP70" s="122"/>
      <c r="AZQ70" s="122"/>
      <c r="AZR70" s="122"/>
      <c r="AZS70" s="122"/>
      <c r="AZT70" s="122"/>
      <c r="AZU70" s="122"/>
      <c r="AZV70" s="122"/>
      <c r="AZW70" s="122"/>
      <c r="AZX70" s="122"/>
      <c r="AZY70" s="122"/>
      <c r="AZZ70" s="122"/>
      <c r="BAA70" s="122"/>
      <c r="BAB70" s="122"/>
      <c r="BAC70" s="122"/>
      <c r="BAD70" s="122"/>
      <c r="BAE70" s="122"/>
      <c r="BAF70" s="122"/>
      <c r="BAG70" s="122"/>
      <c r="BAH70" s="122"/>
      <c r="BAI70" s="122"/>
      <c r="BAJ70" s="122"/>
      <c r="BAK70" s="122"/>
      <c r="BAL70" s="122"/>
      <c r="BAM70" s="122"/>
      <c r="BAN70" s="122"/>
      <c r="BAO70" s="122"/>
      <c r="BAP70" s="122"/>
      <c r="BAQ70" s="122"/>
      <c r="BAR70" s="122"/>
      <c r="BAS70" s="122"/>
      <c r="BAT70" s="122"/>
      <c r="BAU70" s="122"/>
      <c r="BAV70" s="122"/>
      <c r="BAW70" s="122"/>
      <c r="BAX70" s="122"/>
      <c r="BAY70" s="122"/>
      <c r="BAZ70" s="122"/>
      <c r="BBA70" s="122"/>
      <c r="BBB70" s="122"/>
      <c r="BBC70" s="122"/>
      <c r="BBD70" s="122"/>
      <c r="BBE70" s="122"/>
      <c r="BBF70" s="122"/>
      <c r="BBG70" s="122"/>
      <c r="BBH70" s="122"/>
      <c r="BBI70" s="122"/>
      <c r="BBJ70" s="122"/>
      <c r="BBK70" s="122"/>
      <c r="BBL70" s="122"/>
      <c r="BBM70" s="122"/>
      <c r="BBN70" s="122"/>
      <c r="BBO70" s="122"/>
      <c r="BBP70" s="122"/>
      <c r="BBQ70" s="122"/>
      <c r="BBR70" s="122"/>
      <c r="BBS70" s="122"/>
      <c r="BBT70" s="122"/>
      <c r="BBU70" s="122"/>
      <c r="BBV70" s="122"/>
      <c r="BBW70" s="122"/>
      <c r="BBX70" s="122"/>
      <c r="BBY70" s="122"/>
      <c r="BBZ70" s="122"/>
      <c r="BCA70" s="122"/>
      <c r="BCB70" s="122"/>
      <c r="BCC70" s="122"/>
      <c r="BCD70" s="122"/>
      <c r="BCE70" s="122"/>
      <c r="BCF70" s="122"/>
      <c r="BCG70" s="122"/>
      <c r="BCH70" s="122"/>
      <c r="BCI70" s="122"/>
      <c r="BCJ70" s="122"/>
      <c r="BCK70" s="122"/>
      <c r="BCL70" s="122"/>
      <c r="BCM70" s="122"/>
      <c r="BCN70" s="122"/>
      <c r="BCO70" s="122"/>
      <c r="BCP70" s="122"/>
      <c r="BCQ70" s="122"/>
      <c r="BCR70" s="122"/>
      <c r="BCS70" s="122"/>
      <c r="BCT70" s="122"/>
      <c r="BCU70" s="122"/>
      <c r="BCV70" s="122"/>
      <c r="BCW70" s="122"/>
      <c r="BCX70" s="122"/>
      <c r="BCY70" s="122"/>
      <c r="BCZ70" s="122"/>
      <c r="BDA70" s="122"/>
      <c r="BDB70" s="122"/>
      <c r="BDC70" s="122"/>
      <c r="BDD70" s="122"/>
      <c r="BDE70" s="122"/>
      <c r="BDF70" s="122"/>
      <c r="BDG70" s="122"/>
      <c r="BDH70" s="122"/>
      <c r="BDI70" s="122"/>
      <c r="BDJ70" s="122"/>
      <c r="BDK70" s="122"/>
      <c r="BDL70" s="122"/>
      <c r="BDM70" s="122"/>
      <c r="BDN70" s="122"/>
      <c r="BDO70" s="122"/>
      <c r="BDP70" s="122"/>
      <c r="BDQ70" s="122"/>
      <c r="BDR70" s="122"/>
      <c r="BDS70" s="122"/>
      <c r="BDT70" s="122"/>
      <c r="BDU70" s="122"/>
      <c r="BDV70" s="122"/>
      <c r="BDW70" s="122"/>
      <c r="BDX70" s="122"/>
      <c r="BDY70" s="122"/>
      <c r="BDZ70" s="122"/>
      <c r="BEA70" s="122"/>
      <c r="BEB70" s="122"/>
      <c r="BEC70" s="122"/>
      <c r="BED70" s="122"/>
      <c r="BEE70" s="122"/>
      <c r="BEF70" s="122"/>
      <c r="BEG70" s="122"/>
      <c r="BEH70" s="122"/>
      <c r="BEI70" s="122"/>
      <c r="BEJ70" s="122"/>
      <c r="BEK70" s="122"/>
      <c r="BEL70" s="122"/>
      <c r="BEM70" s="122"/>
      <c r="BEN70" s="122"/>
      <c r="BEO70" s="122"/>
      <c r="BEP70" s="122"/>
      <c r="BEQ70" s="122"/>
      <c r="BER70" s="122"/>
      <c r="BES70" s="122"/>
      <c r="BET70" s="122"/>
      <c r="BEU70" s="122"/>
      <c r="BEV70" s="122"/>
      <c r="BEW70" s="122"/>
      <c r="BEX70" s="122"/>
      <c r="BEY70" s="122"/>
      <c r="BEZ70" s="122"/>
      <c r="BFA70" s="122"/>
      <c r="BFB70" s="122"/>
      <c r="BFC70" s="122"/>
      <c r="BFD70" s="122"/>
      <c r="BFE70" s="122"/>
      <c r="BFF70" s="122"/>
      <c r="BFG70" s="122"/>
      <c r="BFH70" s="122"/>
      <c r="BFI70" s="122"/>
      <c r="BFJ70" s="122"/>
      <c r="BFK70" s="122"/>
      <c r="BFL70" s="122"/>
      <c r="BFM70" s="122"/>
      <c r="BFN70" s="122"/>
      <c r="BFO70" s="122"/>
      <c r="BFP70" s="122"/>
      <c r="BFQ70" s="122"/>
      <c r="BFR70" s="122"/>
      <c r="BFS70" s="122"/>
      <c r="BFT70" s="122"/>
      <c r="BFU70" s="122"/>
      <c r="BFV70" s="122"/>
      <c r="BFW70" s="122"/>
      <c r="BFX70" s="122"/>
      <c r="BFY70" s="122"/>
      <c r="BFZ70" s="122"/>
      <c r="BGA70" s="122"/>
      <c r="BGB70" s="122"/>
      <c r="BGC70" s="122"/>
      <c r="BGD70" s="122"/>
      <c r="BGE70" s="122"/>
      <c r="BGF70" s="122"/>
      <c r="BGG70" s="122"/>
      <c r="BGH70" s="122"/>
      <c r="BGI70" s="122"/>
      <c r="BGJ70" s="122"/>
      <c r="BGK70" s="122"/>
      <c r="BGL70" s="122"/>
      <c r="BGM70" s="122"/>
      <c r="BGN70" s="122"/>
      <c r="BGO70" s="122"/>
      <c r="BGP70" s="122"/>
      <c r="BGQ70" s="122"/>
      <c r="BGR70" s="122"/>
      <c r="BGS70" s="122"/>
      <c r="BGT70" s="122"/>
      <c r="BGU70" s="122"/>
      <c r="BGV70" s="122"/>
      <c r="BGW70" s="122"/>
      <c r="BGX70" s="122"/>
      <c r="BGY70" s="122"/>
      <c r="BGZ70" s="122"/>
      <c r="BHA70" s="122"/>
      <c r="BHB70" s="122"/>
      <c r="BHC70" s="122"/>
      <c r="BHD70" s="122"/>
      <c r="BHE70" s="122"/>
      <c r="BHF70" s="122"/>
      <c r="BHG70" s="122"/>
      <c r="BHH70" s="122"/>
      <c r="BHI70" s="122"/>
      <c r="BHJ70" s="122"/>
      <c r="BHK70" s="122"/>
      <c r="BHL70" s="122"/>
      <c r="BHM70" s="122"/>
      <c r="BHN70" s="122"/>
      <c r="BHO70" s="122"/>
      <c r="BHP70" s="122"/>
      <c r="BHQ70" s="122"/>
      <c r="BHR70" s="122"/>
      <c r="BHS70" s="122"/>
      <c r="BHT70" s="122"/>
      <c r="BHU70" s="122"/>
      <c r="BHV70" s="122"/>
      <c r="BHW70" s="122"/>
      <c r="BHX70" s="122"/>
      <c r="BHY70" s="122"/>
      <c r="BHZ70" s="122"/>
      <c r="BIA70" s="122"/>
      <c r="BIB70" s="122"/>
      <c r="BIC70" s="122"/>
      <c r="BID70" s="122"/>
      <c r="BIE70" s="122"/>
      <c r="BIF70" s="122"/>
      <c r="BIG70" s="122"/>
      <c r="BIH70" s="122"/>
      <c r="BII70" s="122"/>
      <c r="BIJ70" s="122"/>
      <c r="BIK70" s="122"/>
      <c r="BIL70" s="122"/>
      <c r="BIM70" s="122"/>
      <c r="BIN70" s="122"/>
      <c r="BIO70" s="122"/>
      <c r="BIP70" s="122"/>
      <c r="BIQ70" s="122"/>
      <c r="BIR70" s="122"/>
      <c r="BIS70" s="122"/>
      <c r="BIT70" s="122"/>
      <c r="BIU70" s="122"/>
      <c r="BIV70" s="122"/>
      <c r="BIW70" s="122"/>
      <c r="BIX70" s="122"/>
      <c r="BIY70" s="122"/>
      <c r="BIZ70" s="122"/>
      <c r="BJA70" s="122"/>
      <c r="BJB70" s="122"/>
      <c r="BJC70" s="122"/>
      <c r="BJD70" s="122"/>
      <c r="BJE70" s="122"/>
      <c r="BJF70" s="122"/>
      <c r="BJG70" s="122"/>
      <c r="BJH70" s="122"/>
      <c r="BJI70" s="122"/>
      <c r="BJJ70" s="122"/>
      <c r="BJK70" s="122"/>
      <c r="BJL70" s="122"/>
      <c r="BJM70" s="122"/>
      <c r="BJN70" s="122"/>
      <c r="BJO70" s="122"/>
      <c r="BJP70" s="122"/>
      <c r="BJQ70" s="122"/>
      <c r="BJR70" s="122"/>
      <c r="BJS70" s="122"/>
      <c r="BJT70" s="122"/>
      <c r="BJU70" s="122"/>
      <c r="BJV70" s="122"/>
      <c r="BJW70" s="122"/>
      <c r="BJX70" s="122"/>
      <c r="BJY70" s="122"/>
      <c r="BJZ70" s="122"/>
      <c r="BKA70" s="122"/>
      <c r="BKB70" s="122"/>
      <c r="BKC70" s="122"/>
      <c r="BKD70" s="122"/>
      <c r="BKE70" s="122"/>
      <c r="BKF70" s="122"/>
      <c r="BKG70" s="122"/>
      <c r="BKH70" s="122"/>
      <c r="BKI70" s="122"/>
      <c r="BKJ70" s="122"/>
      <c r="BKK70" s="122"/>
      <c r="BKL70" s="122"/>
      <c r="BKM70" s="122"/>
      <c r="BKN70" s="122"/>
      <c r="BKO70" s="122"/>
      <c r="BKP70" s="122"/>
      <c r="BKQ70" s="122"/>
      <c r="BKR70" s="122"/>
      <c r="BKS70" s="122"/>
      <c r="BKT70" s="122"/>
      <c r="BKU70" s="122"/>
      <c r="BKV70" s="122"/>
      <c r="BKW70" s="122"/>
      <c r="BKX70" s="122"/>
      <c r="BKY70" s="122"/>
      <c r="BKZ70" s="122"/>
      <c r="BLA70" s="122"/>
      <c r="BLB70" s="122"/>
      <c r="BLC70" s="122"/>
      <c r="BLD70" s="122"/>
      <c r="BLE70" s="122"/>
      <c r="BLF70" s="122"/>
      <c r="BLG70" s="122"/>
      <c r="BLH70" s="122"/>
      <c r="BLI70" s="122"/>
      <c r="BLJ70" s="122"/>
      <c r="BLK70" s="122"/>
      <c r="BLL70" s="122"/>
      <c r="BLM70" s="122"/>
      <c r="BLN70" s="122"/>
      <c r="BLO70" s="122"/>
      <c r="BLP70" s="122"/>
      <c r="BLQ70" s="122"/>
      <c r="BLR70" s="122"/>
      <c r="BLS70" s="122"/>
      <c r="BLT70" s="122"/>
      <c r="BLU70" s="122"/>
      <c r="BLV70" s="122"/>
      <c r="BLW70" s="122"/>
      <c r="BLX70" s="122"/>
      <c r="BLY70" s="122"/>
      <c r="BLZ70" s="122"/>
      <c r="BMA70" s="122"/>
      <c r="BMB70" s="122"/>
      <c r="BMC70" s="122"/>
      <c r="BMD70" s="122"/>
      <c r="BME70" s="122"/>
      <c r="BMF70" s="122"/>
      <c r="BMG70" s="122"/>
      <c r="BMH70" s="122"/>
      <c r="BMI70" s="122"/>
      <c r="BMJ70" s="122"/>
      <c r="BMK70" s="122"/>
      <c r="BML70" s="122"/>
      <c r="BMM70" s="122"/>
      <c r="BMN70" s="122"/>
      <c r="BMO70" s="122"/>
      <c r="BMP70" s="122"/>
      <c r="BMQ70" s="122"/>
      <c r="BMR70" s="122"/>
      <c r="BMS70" s="122"/>
      <c r="BMT70" s="122"/>
      <c r="BMU70" s="122"/>
      <c r="BMV70" s="122"/>
      <c r="BMW70" s="122"/>
      <c r="BMX70" s="122"/>
      <c r="BMY70" s="122"/>
      <c r="BMZ70" s="122"/>
      <c r="BNA70" s="122"/>
      <c r="BNB70" s="122"/>
      <c r="BNC70" s="122"/>
      <c r="BND70" s="122"/>
      <c r="BNE70" s="122"/>
      <c r="BNF70" s="122"/>
      <c r="BNG70" s="122"/>
      <c r="BNH70" s="122"/>
      <c r="BNI70" s="122"/>
      <c r="BNJ70" s="122"/>
      <c r="BNK70" s="122"/>
      <c r="BNL70" s="122"/>
      <c r="BNM70" s="122"/>
      <c r="BNN70" s="122"/>
      <c r="BNO70" s="122"/>
      <c r="BNP70" s="122"/>
      <c r="BNQ70" s="122"/>
      <c r="BNR70" s="122"/>
      <c r="BNS70" s="122"/>
      <c r="BNT70" s="122"/>
      <c r="BNU70" s="122"/>
      <c r="BNV70" s="122"/>
      <c r="BNW70" s="122"/>
      <c r="BNX70" s="122"/>
      <c r="BNY70" s="122"/>
      <c r="BNZ70" s="122"/>
      <c r="BOA70" s="122"/>
      <c r="BOB70" s="122"/>
      <c r="BOC70" s="122"/>
      <c r="BOD70" s="122"/>
      <c r="BOE70" s="122"/>
      <c r="BOF70" s="122"/>
      <c r="BOG70" s="122"/>
      <c r="BOH70" s="122"/>
      <c r="BOI70" s="122"/>
      <c r="BOJ70" s="122"/>
      <c r="BOK70" s="122"/>
      <c r="BOL70" s="122"/>
      <c r="BOM70" s="122"/>
      <c r="BON70" s="122"/>
      <c r="BOO70" s="122"/>
      <c r="BOP70" s="122"/>
      <c r="BOQ70" s="122"/>
      <c r="BOR70" s="122"/>
      <c r="BOS70" s="122"/>
      <c r="BOT70" s="122"/>
      <c r="BOU70" s="122"/>
      <c r="BOV70" s="122"/>
      <c r="BOW70" s="122"/>
      <c r="BOX70" s="122"/>
      <c r="BOY70" s="122"/>
      <c r="BOZ70" s="122"/>
      <c r="BPA70" s="122"/>
      <c r="BPB70" s="122"/>
      <c r="BPC70" s="122"/>
      <c r="BPD70" s="122"/>
      <c r="BPE70" s="122"/>
      <c r="BPF70" s="122"/>
      <c r="BPG70" s="122"/>
      <c r="BPH70" s="122"/>
      <c r="BPI70" s="122"/>
      <c r="BPJ70" s="122"/>
      <c r="BPK70" s="122"/>
      <c r="BPL70" s="122"/>
      <c r="BPM70" s="122"/>
      <c r="BPN70" s="122"/>
      <c r="BPO70" s="122"/>
      <c r="BPP70" s="122"/>
      <c r="BPQ70" s="122"/>
      <c r="BPR70" s="122"/>
      <c r="BPS70" s="122"/>
      <c r="BPT70" s="122"/>
      <c r="BPU70" s="122"/>
      <c r="BPV70" s="122"/>
      <c r="BPW70" s="122"/>
      <c r="BPX70" s="122"/>
      <c r="BPY70" s="122"/>
      <c r="BPZ70" s="122"/>
      <c r="BQA70" s="122"/>
      <c r="BQB70" s="122"/>
      <c r="BQC70" s="122"/>
      <c r="BQD70" s="122"/>
      <c r="BQE70" s="122"/>
      <c r="BQF70" s="122"/>
      <c r="BQG70" s="122"/>
      <c r="BQH70" s="122"/>
      <c r="BQI70" s="122"/>
      <c r="BQJ70" s="122"/>
      <c r="BQK70" s="122"/>
      <c r="BQL70" s="122"/>
      <c r="BQM70" s="122"/>
      <c r="BQN70" s="122"/>
      <c r="BQO70" s="122"/>
      <c r="BQP70" s="122"/>
      <c r="BQQ70" s="122"/>
      <c r="BQR70" s="122"/>
      <c r="BQS70" s="122"/>
      <c r="BQT70" s="122"/>
      <c r="BQU70" s="122"/>
      <c r="BQV70" s="122"/>
      <c r="BQW70" s="122"/>
      <c r="BQX70" s="122"/>
      <c r="BQY70" s="122"/>
      <c r="BQZ70" s="122"/>
      <c r="BRA70" s="122"/>
      <c r="BRB70" s="122"/>
      <c r="BRC70" s="122"/>
      <c r="BRD70" s="122"/>
      <c r="BRE70" s="122"/>
      <c r="BRF70" s="122"/>
      <c r="BRG70" s="122"/>
      <c r="BRH70" s="122"/>
      <c r="BRI70" s="122"/>
      <c r="BRJ70" s="122"/>
      <c r="BRK70" s="122"/>
      <c r="BRL70" s="122"/>
      <c r="BRM70" s="122"/>
      <c r="BRN70" s="122"/>
      <c r="BRO70" s="122"/>
      <c r="BRP70" s="122"/>
      <c r="BRQ70" s="122"/>
      <c r="BRR70" s="122"/>
      <c r="BRS70" s="122"/>
      <c r="BRT70" s="122"/>
      <c r="BRU70" s="122"/>
      <c r="BRV70" s="122"/>
      <c r="BRW70" s="122"/>
      <c r="BRX70" s="122"/>
      <c r="BRY70" s="122"/>
      <c r="BRZ70" s="122"/>
      <c r="BSA70" s="122"/>
      <c r="BSB70" s="122"/>
      <c r="BSC70" s="122"/>
      <c r="BSD70" s="122"/>
      <c r="BSE70" s="122"/>
      <c r="BSF70" s="122"/>
      <c r="BSG70" s="122"/>
      <c r="BSH70" s="122"/>
      <c r="BSI70" s="122"/>
      <c r="BSJ70" s="122"/>
      <c r="BSK70" s="122"/>
      <c r="BSL70" s="122"/>
      <c r="BSM70" s="122"/>
      <c r="BSN70" s="122"/>
      <c r="BSO70" s="122"/>
      <c r="BSP70" s="122"/>
      <c r="BSQ70" s="122"/>
      <c r="BSR70" s="122"/>
      <c r="BSS70" s="122"/>
      <c r="BST70" s="122"/>
      <c r="BSU70" s="122"/>
      <c r="BSV70" s="122"/>
      <c r="BSW70" s="122"/>
      <c r="BSX70" s="122"/>
      <c r="BSY70" s="122"/>
      <c r="BSZ70" s="122"/>
      <c r="BTA70" s="122"/>
      <c r="BTB70" s="122"/>
      <c r="BTC70" s="122"/>
      <c r="BTD70" s="122"/>
      <c r="BTE70" s="122"/>
      <c r="BTF70" s="122"/>
      <c r="BTG70" s="122"/>
      <c r="BTH70" s="122"/>
      <c r="BTI70" s="122"/>
      <c r="BTJ70" s="122"/>
      <c r="BTK70" s="122"/>
      <c r="BTL70" s="122"/>
      <c r="BTM70" s="122"/>
      <c r="BTN70" s="122"/>
      <c r="BTO70" s="122"/>
      <c r="BTP70" s="122"/>
      <c r="BTQ70" s="122"/>
      <c r="BTR70" s="122"/>
      <c r="BTS70" s="122"/>
      <c r="BTT70" s="122"/>
      <c r="BTU70" s="122"/>
      <c r="BTV70" s="122"/>
      <c r="BTW70" s="122"/>
      <c r="BTX70" s="122"/>
      <c r="BTY70" s="122"/>
      <c r="BTZ70" s="122"/>
      <c r="BUA70" s="122"/>
      <c r="BUB70" s="122"/>
      <c r="BUC70" s="122"/>
      <c r="BUD70" s="122"/>
      <c r="BUE70" s="122"/>
      <c r="BUF70" s="122"/>
      <c r="BUG70" s="122"/>
      <c r="BUH70" s="122"/>
      <c r="BUI70" s="122"/>
      <c r="BUJ70" s="122"/>
      <c r="BUK70" s="122"/>
      <c r="BUL70" s="122"/>
      <c r="BUM70" s="122"/>
      <c r="BUN70" s="122"/>
      <c r="BUO70" s="122"/>
      <c r="BUP70" s="122"/>
      <c r="BUQ70" s="122"/>
      <c r="BUR70" s="122"/>
      <c r="BUS70" s="122"/>
      <c r="BUT70" s="122"/>
      <c r="BUU70" s="122"/>
      <c r="BUV70" s="122"/>
      <c r="BUW70" s="122"/>
      <c r="BUX70" s="122"/>
      <c r="BUY70" s="122"/>
      <c r="BUZ70" s="122"/>
      <c r="BVA70" s="122"/>
      <c r="BVB70" s="122"/>
      <c r="BVC70" s="122"/>
      <c r="BVD70" s="122"/>
      <c r="BVE70" s="122"/>
      <c r="BVF70" s="122"/>
      <c r="BVG70" s="122"/>
      <c r="BVH70" s="122"/>
      <c r="BVI70" s="122"/>
      <c r="BVJ70" s="122"/>
      <c r="BVK70" s="122"/>
      <c r="BVL70" s="122"/>
      <c r="BVM70" s="122"/>
      <c r="BVN70" s="122"/>
      <c r="BVO70" s="122"/>
      <c r="BVP70" s="122"/>
      <c r="BVQ70" s="122"/>
      <c r="BVR70" s="122"/>
      <c r="BVS70" s="122"/>
      <c r="BVT70" s="122"/>
      <c r="BVU70" s="122"/>
      <c r="BVV70" s="122"/>
      <c r="BVW70" s="122"/>
      <c r="BVX70" s="122"/>
      <c r="BVY70" s="122"/>
      <c r="BVZ70" s="122"/>
      <c r="BWA70" s="122"/>
      <c r="BWB70" s="122"/>
      <c r="BWC70" s="122"/>
      <c r="BWD70" s="122"/>
      <c r="BWE70" s="122"/>
      <c r="BWF70" s="122"/>
      <c r="BWG70" s="122"/>
      <c r="BWH70" s="122"/>
      <c r="BWI70" s="122"/>
      <c r="BWJ70" s="122"/>
      <c r="BWK70" s="122"/>
      <c r="BWL70" s="122"/>
      <c r="BWM70" s="122"/>
      <c r="BWN70" s="122"/>
      <c r="BWO70" s="122"/>
      <c r="BWP70" s="122"/>
      <c r="BWQ70" s="122"/>
      <c r="BWR70" s="122"/>
      <c r="BWS70" s="122"/>
      <c r="BWT70" s="122"/>
      <c r="BWU70" s="122"/>
      <c r="BWV70" s="122"/>
      <c r="BWW70" s="122"/>
      <c r="BWX70" s="122"/>
      <c r="BWY70" s="122"/>
      <c r="BWZ70" s="122"/>
      <c r="BXA70" s="122"/>
      <c r="BXB70" s="122"/>
      <c r="BXC70" s="122"/>
      <c r="BXD70" s="122"/>
      <c r="BXE70" s="122"/>
      <c r="BXF70" s="122"/>
      <c r="BXG70" s="122"/>
      <c r="BXH70" s="122"/>
      <c r="BXI70" s="122"/>
      <c r="BXJ70" s="122"/>
      <c r="BXK70" s="122"/>
      <c r="BXL70" s="122"/>
      <c r="BXM70" s="122"/>
      <c r="BXN70" s="122"/>
      <c r="BXO70" s="122"/>
      <c r="BXP70" s="122"/>
      <c r="BXQ70" s="122"/>
      <c r="BXR70" s="122"/>
      <c r="BXS70" s="122"/>
      <c r="BXT70" s="122"/>
      <c r="BXU70" s="122"/>
      <c r="BXV70" s="122"/>
      <c r="BXW70" s="122"/>
      <c r="BXX70" s="122"/>
      <c r="BXY70" s="122"/>
      <c r="BXZ70" s="122"/>
      <c r="BYA70" s="122"/>
      <c r="BYB70" s="122"/>
      <c r="BYC70" s="122"/>
      <c r="BYD70" s="122"/>
      <c r="BYE70" s="122"/>
      <c r="BYF70" s="122"/>
      <c r="BYG70" s="122"/>
      <c r="BYH70" s="122"/>
      <c r="BYI70" s="122"/>
      <c r="BYJ70" s="122"/>
      <c r="BYK70" s="122"/>
      <c r="BYL70" s="122"/>
      <c r="BYM70" s="122"/>
      <c r="BYN70" s="122"/>
      <c r="BYO70" s="122"/>
      <c r="BYP70" s="122"/>
      <c r="BYQ70" s="122"/>
      <c r="BYR70" s="122"/>
      <c r="BYS70" s="122"/>
      <c r="BYT70" s="122"/>
      <c r="BYU70" s="122"/>
      <c r="BYV70" s="122"/>
      <c r="BYW70" s="122"/>
      <c r="BYX70" s="122"/>
      <c r="BYY70" s="122"/>
      <c r="BYZ70" s="122"/>
      <c r="BZA70" s="122"/>
      <c r="BZB70" s="122"/>
      <c r="BZC70" s="122"/>
      <c r="BZD70" s="122"/>
      <c r="BZE70" s="122"/>
      <c r="BZF70" s="122"/>
      <c r="BZG70" s="122"/>
      <c r="BZH70" s="122"/>
      <c r="BZI70" s="122"/>
      <c r="BZJ70" s="122"/>
      <c r="BZK70" s="122"/>
      <c r="BZL70" s="122"/>
      <c r="BZM70" s="122"/>
      <c r="BZN70" s="122"/>
      <c r="BZO70" s="122"/>
      <c r="BZP70" s="122"/>
      <c r="BZQ70" s="122"/>
      <c r="BZR70" s="122"/>
      <c r="BZS70" s="122"/>
      <c r="BZT70" s="122"/>
      <c r="BZU70" s="122"/>
      <c r="BZV70" s="122"/>
      <c r="BZW70" s="122"/>
      <c r="BZX70" s="122"/>
      <c r="BZY70" s="122"/>
      <c r="BZZ70" s="122"/>
      <c r="CAA70" s="122"/>
      <c r="CAB70" s="122"/>
      <c r="CAC70" s="122"/>
      <c r="CAD70" s="122"/>
      <c r="CAE70" s="122"/>
      <c r="CAF70" s="122"/>
      <c r="CAG70" s="122"/>
      <c r="CAH70" s="122"/>
      <c r="CAI70" s="122"/>
      <c r="CAJ70" s="122"/>
      <c r="CAK70" s="122"/>
      <c r="CAL70" s="122"/>
      <c r="CAM70" s="122"/>
      <c r="CAN70" s="122"/>
      <c r="CAO70" s="122"/>
      <c r="CAP70" s="122"/>
      <c r="CAQ70" s="122"/>
      <c r="CAR70" s="122"/>
      <c r="CAS70" s="122"/>
      <c r="CAT70" s="122"/>
      <c r="CAU70" s="122"/>
      <c r="CAV70" s="122"/>
      <c r="CAW70" s="122"/>
      <c r="CAX70" s="122"/>
      <c r="CAY70" s="122"/>
      <c r="CAZ70" s="122"/>
      <c r="CBA70" s="122"/>
      <c r="CBB70" s="122"/>
      <c r="CBC70" s="122"/>
      <c r="CBD70" s="122"/>
      <c r="CBE70" s="122"/>
      <c r="CBF70" s="122"/>
      <c r="CBG70" s="122"/>
      <c r="CBH70" s="122"/>
      <c r="CBI70" s="122"/>
      <c r="CBJ70" s="122"/>
      <c r="CBK70" s="122"/>
      <c r="CBL70" s="122"/>
      <c r="CBM70" s="122"/>
      <c r="CBN70" s="122"/>
      <c r="CBO70" s="122"/>
      <c r="CBP70" s="122"/>
      <c r="CBQ70" s="122"/>
      <c r="CBR70" s="122"/>
      <c r="CBS70" s="122"/>
      <c r="CBT70" s="122"/>
      <c r="CBU70" s="122"/>
      <c r="CBV70" s="122"/>
      <c r="CBW70" s="122"/>
      <c r="CBX70" s="122"/>
      <c r="CBY70" s="122"/>
      <c r="CBZ70" s="122"/>
      <c r="CCA70" s="122"/>
      <c r="CCB70" s="122"/>
      <c r="CCC70" s="122"/>
      <c r="CCD70" s="122"/>
      <c r="CCE70" s="122"/>
      <c r="CCF70" s="122"/>
      <c r="CCG70" s="122"/>
      <c r="CCH70" s="122"/>
      <c r="CCI70" s="122"/>
      <c r="CCJ70" s="122"/>
      <c r="CCK70" s="122"/>
      <c r="CCL70" s="122"/>
      <c r="CCM70" s="122"/>
      <c r="CCN70" s="122"/>
      <c r="CCO70" s="122"/>
      <c r="CCP70" s="122"/>
      <c r="CCQ70" s="122"/>
      <c r="CCR70" s="122"/>
      <c r="CCS70" s="122"/>
      <c r="CCT70" s="122"/>
      <c r="CCU70" s="122"/>
      <c r="CCV70" s="122"/>
      <c r="CCW70" s="122"/>
      <c r="CCX70" s="122"/>
      <c r="CCY70" s="122"/>
      <c r="CCZ70" s="122"/>
      <c r="CDA70" s="122"/>
      <c r="CDB70" s="122"/>
      <c r="CDC70" s="122"/>
      <c r="CDD70" s="122"/>
      <c r="CDE70" s="122"/>
      <c r="CDF70" s="122"/>
      <c r="CDG70" s="122"/>
      <c r="CDH70" s="122"/>
      <c r="CDI70" s="122"/>
      <c r="CDJ70" s="122"/>
      <c r="CDK70" s="122"/>
      <c r="CDL70" s="122"/>
      <c r="CDM70" s="122"/>
      <c r="CDN70" s="122"/>
      <c r="CDO70" s="122"/>
      <c r="CDP70" s="122"/>
      <c r="CDQ70" s="122"/>
      <c r="CDR70" s="122"/>
      <c r="CDS70" s="122"/>
      <c r="CDT70" s="122"/>
      <c r="CDU70" s="122"/>
      <c r="CDV70" s="122"/>
      <c r="CDW70" s="122"/>
      <c r="CDX70" s="122"/>
      <c r="CDY70" s="122"/>
      <c r="CDZ70" s="122"/>
      <c r="CEA70" s="122"/>
      <c r="CEB70" s="122"/>
      <c r="CEC70" s="122"/>
      <c r="CED70" s="122"/>
      <c r="CEE70" s="122"/>
      <c r="CEF70" s="122"/>
      <c r="CEG70" s="122"/>
      <c r="CEH70" s="122"/>
      <c r="CEI70" s="122"/>
      <c r="CEJ70" s="122"/>
      <c r="CEK70" s="122"/>
      <c r="CEL70" s="122"/>
      <c r="CEM70" s="122"/>
      <c r="CEN70" s="122"/>
      <c r="CEO70" s="122"/>
      <c r="CEP70" s="122"/>
      <c r="CEQ70" s="122"/>
      <c r="CER70" s="122"/>
      <c r="CES70" s="122"/>
      <c r="CET70" s="122"/>
      <c r="CEU70" s="122"/>
      <c r="CEV70" s="122"/>
      <c r="CEW70" s="122"/>
      <c r="CEX70" s="122"/>
      <c r="CEY70" s="122"/>
      <c r="CEZ70" s="122"/>
      <c r="CFA70" s="122"/>
      <c r="CFB70" s="122"/>
      <c r="CFC70" s="122"/>
      <c r="CFD70" s="122"/>
      <c r="CFE70" s="122"/>
      <c r="CFF70" s="122"/>
      <c r="CFG70" s="122"/>
      <c r="CFH70" s="122"/>
      <c r="CFI70" s="122"/>
      <c r="CFJ70" s="122"/>
      <c r="CFK70" s="122"/>
      <c r="CFL70" s="122"/>
      <c r="CFM70" s="122"/>
      <c r="CFN70" s="122"/>
      <c r="CFO70" s="122"/>
      <c r="CFP70" s="122"/>
      <c r="CFQ70" s="122"/>
      <c r="CFR70" s="122"/>
      <c r="CFS70" s="122"/>
      <c r="CFT70" s="122"/>
      <c r="CFU70" s="122"/>
      <c r="CFV70" s="122"/>
      <c r="CFW70" s="122"/>
      <c r="CFX70" s="122"/>
      <c r="CFY70" s="122"/>
      <c r="CFZ70" s="122"/>
      <c r="CGA70" s="122"/>
      <c r="CGB70" s="122"/>
      <c r="CGC70" s="122"/>
      <c r="CGD70" s="122"/>
      <c r="CGE70" s="122"/>
      <c r="CGF70" s="122"/>
      <c r="CGG70" s="122"/>
      <c r="CGH70" s="122"/>
      <c r="CGI70" s="122"/>
      <c r="CGJ70" s="122"/>
      <c r="CGK70" s="122"/>
      <c r="CGL70" s="122"/>
      <c r="CGM70" s="122"/>
      <c r="CGN70" s="122"/>
      <c r="CGO70" s="122"/>
      <c r="CGP70" s="122"/>
      <c r="CGQ70" s="122"/>
      <c r="CGR70" s="122"/>
      <c r="CGS70" s="122"/>
      <c r="CGT70" s="122"/>
      <c r="CGU70" s="122"/>
      <c r="CGV70" s="122"/>
      <c r="CGW70" s="122"/>
      <c r="CGX70" s="122"/>
      <c r="CGY70" s="122"/>
      <c r="CGZ70" s="122"/>
      <c r="CHA70" s="122"/>
      <c r="CHB70" s="122"/>
      <c r="CHC70" s="122"/>
      <c r="CHD70" s="122"/>
      <c r="CHE70" s="122"/>
      <c r="CHF70" s="122"/>
      <c r="CHG70" s="122"/>
      <c r="CHH70" s="122"/>
      <c r="CHI70" s="122"/>
      <c r="CHJ70" s="122"/>
      <c r="CHK70" s="122"/>
      <c r="CHL70" s="122"/>
      <c r="CHM70" s="122"/>
      <c r="CHN70" s="122"/>
      <c r="CHO70" s="122"/>
      <c r="CHP70" s="122"/>
      <c r="CHQ70" s="122"/>
      <c r="CHR70" s="122"/>
      <c r="CHS70" s="122"/>
      <c r="CHT70" s="122"/>
      <c r="CHU70" s="122"/>
      <c r="CHV70" s="122"/>
      <c r="CHW70" s="122"/>
      <c r="CHX70" s="122"/>
      <c r="CHY70" s="122"/>
      <c r="CHZ70" s="122"/>
      <c r="CIA70" s="122"/>
      <c r="CIB70" s="122"/>
      <c r="CIC70" s="122"/>
      <c r="CID70" s="122"/>
      <c r="CIE70" s="122"/>
      <c r="CIF70" s="122"/>
      <c r="CIG70" s="122"/>
      <c r="CIH70" s="122"/>
      <c r="CII70" s="122"/>
      <c r="CIJ70" s="122"/>
      <c r="CIK70" s="122"/>
      <c r="CIL70" s="122"/>
      <c r="CIM70" s="122"/>
      <c r="CIN70" s="122"/>
      <c r="CIO70" s="122"/>
      <c r="CIP70" s="122"/>
      <c r="CIQ70" s="122"/>
      <c r="CIR70" s="122"/>
      <c r="CIS70" s="122"/>
      <c r="CIT70" s="122"/>
      <c r="CIU70" s="122"/>
      <c r="CIV70" s="122"/>
      <c r="CIW70" s="122"/>
      <c r="CIX70" s="122"/>
      <c r="CIY70" s="122"/>
      <c r="CIZ70" s="122"/>
      <c r="CJA70" s="122"/>
      <c r="CJB70" s="122"/>
      <c r="CJC70" s="122"/>
      <c r="CJD70" s="122"/>
      <c r="CJE70" s="122"/>
      <c r="CJF70" s="122"/>
      <c r="CJG70" s="122"/>
      <c r="CJH70" s="122"/>
      <c r="CJI70" s="122"/>
      <c r="CJJ70" s="122"/>
      <c r="CJK70" s="122"/>
      <c r="CJL70" s="122"/>
      <c r="CJM70" s="122"/>
      <c r="CJN70" s="122"/>
      <c r="CJO70" s="122"/>
      <c r="CJP70" s="122"/>
      <c r="CJQ70" s="122"/>
      <c r="CJR70" s="122"/>
      <c r="CJS70" s="122"/>
      <c r="CJT70" s="122"/>
      <c r="CJU70" s="122"/>
      <c r="CJV70" s="122"/>
      <c r="CJW70" s="122"/>
      <c r="CJX70" s="122"/>
      <c r="CJY70" s="122"/>
      <c r="CJZ70" s="122"/>
      <c r="CKA70" s="122"/>
      <c r="CKB70" s="122"/>
      <c r="CKC70" s="122"/>
      <c r="CKD70" s="122"/>
      <c r="CKE70" s="122"/>
      <c r="CKF70" s="122"/>
      <c r="CKG70" s="122"/>
      <c r="CKH70" s="122"/>
      <c r="CKI70" s="122"/>
      <c r="CKJ70" s="122"/>
      <c r="CKK70" s="122"/>
      <c r="CKL70" s="122"/>
      <c r="CKM70" s="122"/>
      <c r="CKN70" s="122"/>
      <c r="CKO70" s="122"/>
      <c r="CKP70" s="122"/>
      <c r="CKQ70" s="122"/>
      <c r="CKR70" s="122"/>
      <c r="CKS70" s="122"/>
      <c r="CKT70" s="122"/>
      <c r="CKU70" s="122"/>
      <c r="CKV70" s="122"/>
      <c r="CKW70" s="122"/>
      <c r="CKX70" s="122"/>
      <c r="CKY70" s="122"/>
      <c r="CKZ70" s="122"/>
      <c r="CLA70" s="122"/>
      <c r="CLB70" s="122"/>
      <c r="CLC70" s="122"/>
      <c r="CLD70" s="122"/>
      <c r="CLE70" s="122"/>
      <c r="CLF70" s="122"/>
      <c r="CLG70" s="122"/>
      <c r="CLH70" s="122"/>
      <c r="CLI70" s="122"/>
      <c r="CLJ70" s="122"/>
      <c r="CLK70" s="122"/>
      <c r="CLL70" s="122"/>
      <c r="CLM70" s="122"/>
      <c r="CLN70" s="122"/>
      <c r="CLO70" s="122"/>
      <c r="CLP70" s="122"/>
      <c r="CLQ70" s="122"/>
      <c r="CLR70" s="122"/>
      <c r="CLS70" s="122"/>
      <c r="CLT70" s="122"/>
      <c r="CLU70" s="122"/>
      <c r="CLV70" s="122"/>
      <c r="CLW70" s="122"/>
      <c r="CLX70" s="122"/>
      <c r="CLY70" s="122"/>
      <c r="CLZ70" s="122"/>
      <c r="CMA70" s="122"/>
      <c r="CMB70" s="122"/>
      <c r="CMC70" s="122"/>
      <c r="CMD70" s="122"/>
      <c r="CME70" s="122"/>
      <c r="CMF70" s="122"/>
      <c r="CMG70" s="122"/>
      <c r="CMH70" s="122"/>
      <c r="CMI70" s="122"/>
      <c r="CMJ70" s="122"/>
      <c r="CMK70" s="122"/>
      <c r="CML70" s="122"/>
      <c r="CMM70" s="122"/>
      <c r="CMN70" s="122"/>
      <c r="CMO70" s="122"/>
      <c r="CMP70" s="122"/>
      <c r="CMQ70" s="122"/>
      <c r="CMR70" s="122"/>
      <c r="CMS70" s="122"/>
      <c r="CMT70" s="122"/>
      <c r="CMU70" s="122"/>
      <c r="CMV70" s="122"/>
      <c r="CMW70" s="122"/>
      <c r="CMX70" s="122"/>
      <c r="CMY70" s="122"/>
      <c r="CMZ70" s="122"/>
      <c r="CNA70" s="122"/>
      <c r="CNB70" s="122"/>
      <c r="CNC70" s="122"/>
      <c r="CND70" s="122"/>
      <c r="CNE70" s="122"/>
      <c r="CNF70" s="122"/>
      <c r="CNG70" s="122"/>
      <c r="CNH70" s="122"/>
      <c r="CNI70" s="122"/>
      <c r="CNJ70" s="122"/>
      <c r="CNK70" s="122"/>
      <c r="CNL70" s="122"/>
      <c r="CNM70" s="122"/>
      <c r="CNN70" s="122"/>
      <c r="CNO70" s="122"/>
      <c r="CNP70" s="122"/>
      <c r="CNQ70" s="122"/>
      <c r="CNR70" s="122"/>
      <c r="CNS70" s="122"/>
      <c r="CNT70" s="122"/>
      <c r="CNU70" s="122"/>
      <c r="CNV70" s="122"/>
      <c r="CNW70" s="122"/>
      <c r="CNX70" s="122"/>
      <c r="CNY70" s="122"/>
      <c r="CNZ70" s="122"/>
      <c r="COA70" s="122"/>
      <c r="COB70" s="122"/>
      <c r="COC70" s="122"/>
      <c r="COD70" s="122"/>
      <c r="COE70" s="122"/>
      <c r="COF70" s="122"/>
      <c r="COG70" s="122"/>
      <c r="COH70" s="122"/>
      <c r="COI70" s="122"/>
      <c r="COJ70" s="122"/>
      <c r="COK70" s="122"/>
      <c r="COL70" s="122"/>
      <c r="COM70" s="122"/>
      <c r="CON70" s="122"/>
      <c r="COO70" s="122"/>
      <c r="COP70" s="122"/>
      <c r="COQ70" s="122"/>
      <c r="COR70" s="122"/>
      <c r="COS70" s="122"/>
      <c r="COT70" s="122"/>
      <c r="COU70" s="122"/>
      <c r="COV70" s="122"/>
      <c r="COW70" s="122"/>
      <c r="COX70" s="122"/>
      <c r="COY70" s="122"/>
      <c r="COZ70" s="122"/>
      <c r="CPA70" s="122"/>
      <c r="CPB70" s="122"/>
      <c r="CPC70" s="122"/>
      <c r="CPD70" s="122"/>
      <c r="CPE70" s="122"/>
      <c r="CPF70" s="122"/>
      <c r="CPG70" s="122"/>
      <c r="CPH70" s="122"/>
      <c r="CPI70" s="122"/>
      <c r="CPJ70" s="122"/>
      <c r="CPK70" s="122"/>
      <c r="CPL70" s="122"/>
      <c r="CPM70" s="122"/>
      <c r="CPN70" s="122"/>
      <c r="CPO70" s="122"/>
      <c r="CPP70" s="122"/>
      <c r="CPQ70" s="122"/>
      <c r="CPR70" s="122"/>
      <c r="CPS70" s="122"/>
      <c r="CPT70" s="122"/>
      <c r="CPU70" s="122"/>
      <c r="CPV70" s="122"/>
      <c r="CPW70" s="122"/>
      <c r="CPX70" s="122"/>
      <c r="CPY70" s="122"/>
      <c r="CPZ70" s="122"/>
      <c r="CQA70" s="122"/>
      <c r="CQB70" s="122"/>
      <c r="CQC70" s="122"/>
      <c r="CQD70" s="122"/>
      <c r="CQE70" s="122"/>
      <c r="CQF70" s="122"/>
      <c r="CQG70" s="122"/>
      <c r="CQH70" s="122"/>
      <c r="CQI70" s="122"/>
      <c r="CQJ70" s="122"/>
      <c r="CQK70" s="122"/>
      <c r="CQL70" s="122"/>
      <c r="CQM70" s="122"/>
      <c r="CQN70" s="122"/>
      <c r="CQO70" s="122"/>
      <c r="CQP70" s="122"/>
      <c r="CQQ70" s="122"/>
      <c r="CQR70" s="122"/>
      <c r="CQS70" s="122"/>
      <c r="CQT70" s="122"/>
      <c r="CQU70" s="122"/>
      <c r="CQV70" s="122"/>
      <c r="CQW70" s="122"/>
      <c r="CQX70" s="122"/>
      <c r="CQY70" s="122"/>
      <c r="CQZ70" s="122"/>
      <c r="CRA70" s="122"/>
      <c r="CRB70" s="122"/>
      <c r="CRC70" s="122"/>
      <c r="CRD70" s="122"/>
      <c r="CRE70" s="122"/>
      <c r="CRF70" s="122"/>
      <c r="CRG70" s="122"/>
      <c r="CRH70" s="122"/>
      <c r="CRI70" s="122"/>
      <c r="CRJ70" s="122"/>
      <c r="CRK70" s="122"/>
      <c r="CRL70" s="122"/>
      <c r="CRM70" s="122"/>
      <c r="CRN70" s="122"/>
      <c r="CRO70" s="122"/>
      <c r="CRP70" s="122"/>
      <c r="CRQ70" s="122"/>
      <c r="CRR70" s="122"/>
      <c r="CRS70" s="122"/>
      <c r="CRT70" s="122"/>
      <c r="CRU70" s="122"/>
      <c r="CRV70" s="122"/>
      <c r="CRW70" s="122"/>
      <c r="CRX70" s="122"/>
      <c r="CRY70" s="122"/>
      <c r="CRZ70" s="122"/>
      <c r="CSA70" s="122"/>
      <c r="CSB70" s="122"/>
      <c r="CSC70" s="122"/>
      <c r="CSD70" s="122"/>
      <c r="CSE70" s="122"/>
      <c r="CSF70" s="122"/>
      <c r="CSG70" s="122"/>
      <c r="CSH70" s="122"/>
      <c r="CSI70" s="122"/>
      <c r="CSJ70" s="122"/>
      <c r="CSK70" s="122"/>
      <c r="CSL70" s="122"/>
      <c r="CSM70" s="122"/>
      <c r="CSN70" s="122"/>
      <c r="CSO70" s="122"/>
      <c r="CSP70" s="122"/>
      <c r="CSQ70" s="122"/>
      <c r="CSR70" s="122"/>
      <c r="CSS70" s="122"/>
      <c r="CST70" s="122"/>
      <c r="CSU70" s="122"/>
      <c r="CSV70" s="122"/>
      <c r="CSW70" s="122"/>
      <c r="CSX70" s="122"/>
      <c r="CSY70" s="122"/>
      <c r="CSZ70" s="122"/>
      <c r="CTA70" s="122"/>
      <c r="CTB70" s="122"/>
      <c r="CTC70" s="122"/>
      <c r="CTD70" s="122"/>
      <c r="CTE70" s="122"/>
      <c r="CTF70" s="122"/>
      <c r="CTG70" s="122"/>
      <c r="CTH70" s="122"/>
      <c r="CTI70" s="122"/>
      <c r="CTJ70" s="122"/>
      <c r="CTK70" s="122"/>
      <c r="CTL70" s="122"/>
      <c r="CTM70" s="122"/>
      <c r="CTN70" s="122"/>
      <c r="CTO70" s="122"/>
      <c r="CTP70" s="122"/>
      <c r="CTQ70" s="122"/>
      <c r="CTR70" s="122"/>
      <c r="CTS70" s="122"/>
      <c r="CTT70" s="122"/>
      <c r="CTU70" s="122"/>
      <c r="CTV70" s="122"/>
      <c r="CTW70" s="122"/>
      <c r="CTX70" s="122"/>
      <c r="CTY70" s="122"/>
      <c r="CTZ70" s="122"/>
      <c r="CUA70" s="122"/>
      <c r="CUB70" s="122"/>
      <c r="CUC70" s="122"/>
      <c r="CUD70" s="122"/>
      <c r="CUE70" s="122"/>
      <c r="CUF70" s="122"/>
      <c r="CUG70" s="122"/>
      <c r="CUH70" s="122"/>
      <c r="CUI70" s="122"/>
      <c r="CUJ70" s="122"/>
      <c r="CUK70" s="122"/>
      <c r="CUL70" s="122"/>
      <c r="CUM70" s="122"/>
      <c r="CUN70" s="122"/>
      <c r="CUO70" s="122"/>
      <c r="CUP70" s="122"/>
      <c r="CUQ70" s="122"/>
      <c r="CUR70" s="122"/>
      <c r="CUS70" s="122"/>
      <c r="CUT70" s="122"/>
      <c r="CUU70" s="122"/>
      <c r="CUV70" s="122"/>
      <c r="CUW70" s="122"/>
      <c r="CUX70" s="122"/>
      <c r="CUY70" s="122"/>
      <c r="CUZ70" s="122"/>
      <c r="CVA70" s="122"/>
      <c r="CVB70" s="122"/>
      <c r="CVC70" s="122"/>
      <c r="CVD70" s="122"/>
      <c r="CVE70" s="122"/>
      <c r="CVF70" s="122"/>
      <c r="CVG70" s="122"/>
      <c r="CVH70" s="122"/>
      <c r="CVI70" s="122"/>
      <c r="CVJ70" s="122"/>
      <c r="CVK70" s="122"/>
      <c r="CVL70" s="122"/>
      <c r="CVM70" s="122"/>
      <c r="CVN70" s="122"/>
      <c r="CVO70" s="122"/>
      <c r="CVP70" s="122"/>
      <c r="CVQ70" s="122"/>
      <c r="CVR70" s="122"/>
      <c r="CVS70" s="122"/>
      <c r="CVT70" s="122"/>
      <c r="CVU70" s="122"/>
      <c r="CVV70" s="122"/>
      <c r="CVW70" s="122"/>
      <c r="CVX70" s="122"/>
      <c r="CVY70" s="122"/>
      <c r="CVZ70" s="122"/>
      <c r="CWA70" s="122"/>
      <c r="CWB70" s="122"/>
      <c r="CWC70" s="122"/>
      <c r="CWD70" s="122"/>
      <c r="CWE70" s="122"/>
      <c r="CWF70" s="122"/>
      <c r="CWG70" s="122"/>
      <c r="CWH70" s="122"/>
      <c r="CWI70" s="122"/>
      <c r="CWJ70" s="122"/>
      <c r="CWK70" s="122"/>
      <c r="CWL70" s="122"/>
      <c r="CWM70" s="122"/>
      <c r="CWN70" s="122"/>
      <c r="CWO70" s="122"/>
      <c r="CWP70" s="122"/>
      <c r="CWQ70" s="122"/>
      <c r="CWR70" s="122"/>
      <c r="CWS70" s="122"/>
      <c r="CWT70" s="122"/>
      <c r="CWU70" s="122"/>
      <c r="CWV70" s="122"/>
      <c r="CWW70" s="122"/>
      <c r="CWX70" s="122"/>
      <c r="CWY70" s="122"/>
      <c r="CWZ70" s="122"/>
      <c r="CXA70" s="122"/>
      <c r="CXB70" s="122"/>
      <c r="CXC70" s="122"/>
      <c r="CXD70" s="122"/>
      <c r="CXE70" s="122"/>
      <c r="CXF70" s="122"/>
      <c r="CXG70" s="122"/>
      <c r="CXH70" s="122"/>
      <c r="CXI70" s="122"/>
      <c r="CXJ70" s="122"/>
      <c r="CXK70" s="122"/>
      <c r="CXL70" s="122"/>
      <c r="CXM70" s="122"/>
      <c r="CXN70" s="122"/>
      <c r="CXO70" s="122"/>
      <c r="CXP70" s="122"/>
      <c r="CXQ70" s="122"/>
      <c r="CXR70" s="122"/>
      <c r="CXS70" s="122"/>
      <c r="CXT70" s="122"/>
      <c r="CXU70" s="122"/>
      <c r="CXV70" s="122"/>
      <c r="CXW70" s="122"/>
      <c r="CXX70" s="122"/>
      <c r="CXY70" s="122"/>
      <c r="CXZ70" s="122"/>
      <c r="CYA70" s="122"/>
      <c r="CYB70" s="122"/>
      <c r="CYC70" s="122"/>
      <c r="CYD70" s="122"/>
      <c r="CYE70" s="122"/>
      <c r="CYF70" s="122"/>
      <c r="CYG70" s="122"/>
      <c r="CYH70" s="122"/>
      <c r="CYI70" s="122"/>
      <c r="CYJ70" s="122"/>
      <c r="CYK70" s="122"/>
      <c r="CYL70" s="122"/>
      <c r="CYM70" s="122"/>
      <c r="CYN70" s="122"/>
      <c r="CYO70" s="122"/>
      <c r="CYP70" s="122"/>
      <c r="CYQ70" s="122"/>
      <c r="CYR70" s="122"/>
      <c r="CYS70" s="122"/>
      <c r="CYT70" s="122"/>
      <c r="CYU70" s="122"/>
      <c r="CYV70" s="122"/>
      <c r="CYW70" s="122"/>
      <c r="CYX70" s="122"/>
      <c r="CYY70" s="122"/>
      <c r="CYZ70" s="122"/>
      <c r="CZA70" s="122"/>
      <c r="CZB70" s="122"/>
      <c r="CZC70" s="122"/>
      <c r="CZD70" s="122"/>
      <c r="CZE70" s="122"/>
      <c r="CZF70" s="122"/>
      <c r="CZG70" s="122"/>
      <c r="CZH70" s="122"/>
      <c r="CZI70" s="122"/>
      <c r="CZJ70" s="122"/>
      <c r="CZK70" s="122"/>
      <c r="CZL70" s="122"/>
      <c r="CZM70" s="122"/>
      <c r="CZN70" s="122"/>
      <c r="CZO70" s="122"/>
      <c r="CZP70" s="122"/>
      <c r="CZQ70" s="122"/>
      <c r="CZR70" s="122"/>
      <c r="CZS70" s="122"/>
      <c r="CZT70" s="122"/>
      <c r="CZU70" s="122"/>
      <c r="CZV70" s="122"/>
      <c r="CZW70" s="122"/>
      <c r="CZX70" s="122"/>
      <c r="CZY70" s="122"/>
      <c r="CZZ70" s="122"/>
      <c r="DAA70" s="122"/>
      <c r="DAB70" s="122"/>
      <c r="DAC70" s="122"/>
      <c r="DAD70" s="122"/>
      <c r="DAE70" s="122"/>
      <c r="DAF70" s="122"/>
      <c r="DAG70" s="122"/>
      <c r="DAH70" s="122"/>
      <c r="DAI70" s="122"/>
      <c r="DAJ70" s="122"/>
      <c r="DAK70" s="122"/>
      <c r="DAL70" s="122"/>
      <c r="DAM70" s="122"/>
      <c r="DAN70" s="122"/>
      <c r="DAO70" s="122"/>
      <c r="DAP70" s="122"/>
      <c r="DAQ70" s="122"/>
      <c r="DAR70" s="122"/>
      <c r="DAS70" s="122"/>
      <c r="DAT70" s="122"/>
      <c r="DAU70" s="122"/>
      <c r="DAV70" s="122"/>
      <c r="DAW70" s="122"/>
      <c r="DAX70" s="122"/>
      <c r="DAY70" s="122"/>
      <c r="DAZ70" s="122"/>
      <c r="DBA70" s="122"/>
      <c r="DBB70" s="122"/>
      <c r="DBC70" s="122"/>
      <c r="DBD70" s="122"/>
      <c r="DBE70" s="122"/>
      <c r="DBF70" s="122"/>
      <c r="DBG70" s="122"/>
      <c r="DBH70" s="122"/>
      <c r="DBI70" s="122"/>
      <c r="DBJ70" s="122"/>
      <c r="DBK70" s="122"/>
      <c r="DBL70" s="122"/>
      <c r="DBM70" s="122"/>
      <c r="DBN70" s="122"/>
      <c r="DBO70" s="122"/>
      <c r="DBP70" s="122"/>
      <c r="DBQ70" s="122"/>
      <c r="DBR70" s="122"/>
      <c r="DBS70" s="122"/>
      <c r="DBT70" s="122"/>
      <c r="DBU70" s="122"/>
      <c r="DBV70" s="122"/>
      <c r="DBW70" s="122"/>
      <c r="DBX70" s="122"/>
      <c r="DBY70" s="122"/>
      <c r="DBZ70" s="122"/>
      <c r="DCA70" s="122"/>
      <c r="DCB70" s="122"/>
      <c r="DCC70" s="122"/>
      <c r="DCD70" s="122"/>
      <c r="DCE70" s="122"/>
      <c r="DCF70" s="122"/>
      <c r="DCG70" s="122"/>
      <c r="DCH70" s="122"/>
      <c r="DCI70" s="122"/>
      <c r="DCJ70" s="122"/>
      <c r="DCK70" s="122"/>
      <c r="DCL70" s="122"/>
      <c r="DCM70" s="122"/>
      <c r="DCN70" s="122"/>
      <c r="DCO70" s="122"/>
      <c r="DCP70" s="122"/>
      <c r="DCQ70" s="122"/>
      <c r="DCR70" s="122"/>
      <c r="DCS70" s="122"/>
      <c r="DCT70" s="122"/>
      <c r="DCU70" s="122"/>
      <c r="DCV70" s="122"/>
      <c r="DCW70" s="122"/>
      <c r="DCX70" s="122"/>
      <c r="DCY70" s="122"/>
      <c r="DCZ70" s="122"/>
      <c r="DDA70" s="122"/>
      <c r="DDB70" s="122"/>
      <c r="DDC70" s="122"/>
      <c r="DDD70" s="122"/>
      <c r="DDE70" s="122"/>
      <c r="DDF70" s="122"/>
      <c r="DDG70" s="122"/>
      <c r="DDH70" s="122"/>
      <c r="DDI70" s="122"/>
      <c r="DDJ70" s="122"/>
      <c r="DDK70" s="122"/>
      <c r="DDL70" s="122"/>
      <c r="DDM70" s="122"/>
      <c r="DDN70" s="122"/>
      <c r="DDO70" s="122"/>
      <c r="DDP70" s="122"/>
      <c r="DDQ70" s="122"/>
      <c r="DDR70" s="122"/>
      <c r="DDS70" s="122"/>
      <c r="DDT70" s="122"/>
      <c r="DDU70" s="122"/>
      <c r="DDV70" s="122"/>
      <c r="DDW70" s="122"/>
      <c r="DDX70" s="122"/>
      <c r="DDY70" s="122"/>
      <c r="DDZ70" s="122"/>
      <c r="DEA70" s="122"/>
      <c r="DEB70" s="122"/>
      <c r="DEC70" s="122"/>
      <c r="DED70" s="122"/>
      <c r="DEE70" s="122"/>
      <c r="DEF70" s="122"/>
      <c r="DEG70" s="122"/>
      <c r="DEH70" s="122"/>
      <c r="DEI70" s="122"/>
      <c r="DEJ70" s="122"/>
      <c r="DEK70" s="122"/>
      <c r="DEL70" s="122"/>
      <c r="DEM70" s="122"/>
      <c r="DEN70" s="122"/>
      <c r="DEO70" s="122"/>
      <c r="DEP70" s="122"/>
      <c r="DEQ70" s="122"/>
      <c r="DER70" s="122"/>
      <c r="DES70" s="122"/>
      <c r="DET70" s="122"/>
      <c r="DEU70" s="122"/>
      <c r="DEV70" s="122"/>
      <c r="DEW70" s="122"/>
      <c r="DEX70" s="122"/>
      <c r="DEY70" s="122"/>
      <c r="DEZ70" s="122"/>
      <c r="DFA70" s="122"/>
      <c r="DFB70" s="122"/>
      <c r="DFC70" s="122"/>
      <c r="DFD70" s="122"/>
      <c r="DFE70" s="122"/>
      <c r="DFF70" s="122"/>
      <c r="DFG70" s="122"/>
      <c r="DFH70" s="122"/>
      <c r="DFI70" s="122"/>
      <c r="DFJ70" s="122"/>
      <c r="DFK70" s="122"/>
      <c r="DFL70" s="122"/>
      <c r="DFM70" s="122"/>
      <c r="DFN70" s="122"/>
      <c r="DFO70" s="122"/>
      <c r="DFP70" s="122"/>
      <c r="DFQ70" s="122"/>
      <c r="DFR70" s="122"/>
      <c r="DFS70" s="122"/>
      <c r="DFT70" s="122"/>
      <c r="DFU70" s="122"/>
      <c r="DFV70" s="122"/>
      <c r="DFW70" s="122"/>
      <c r="DFX70" s="122"/>
      <c r="DFY70" s="122"/>
      <c r="DFZ70" s="122"/>
      <c r="DGA70" s="122"/>
      <c r="DGB70" s="122"/>
      <c r="DGC70" s="122"/>
      <c r="DGD70" s="122"/>
      <c r="DGE70" s="122"/>
      <c r="DGF70" s="122"/>
      <c r="DGG70" s="122"/>
      <c r="DGH70" s="122"/>
      <c r="DGI70" s="122"/>
      <c r="DGJ70" s="122"/>
      <c r="DGK70" s="122"/>
      <c r="DGL70" s="122"/>
      <c r="DGM70" s="122"/>
      <c r="DGN70" s="122"/>
      <c r="DGO70" s="122"/>
      <c r="DGP70" s="122"/>
      <c r="DGQ70" s="122"/>
      <c r="DGR70" s="122"/>
      <c r="DGS70" s="122"/>
      <c r="DGT70" s="122"/>
      <c r="DGU70" s="122"/>
      <c r="DGV70" s="122"/>
      <c r="DGW70" s="122"/>
      <c r="DGX70" s="122"/>
      <c r="DGY70" s="122"/>
      <c r="DGZ70" s="122"/>
      <c r="DHA70" s="122"/>
      <c r="DHB70" s="122"/>
      <c r="DHC70" s="122"/>
      <c r="DHD70" s="122"/>
      <c r="DHE70" s="122"/>
      <c r="DHF70" s="122"/>
      <c r="DHG70" s="122"/>
      <c r="DHH70" s="122"/>
      <c r="DHI70" s="122"/>
      <c r="DHJ70" s="122"/>
      <c r="DHK70" s="122"/>
      <c r="DHL70" s="122"/>
      <c r="DHM70" s="122"/>
      <c r="DHN70" s="122"/>
      <c r="DHO70" s="122"/>
      <c r="DHP70" s="122"/>
      <c r="DHQ70" s="122"/>
      <c r="DHR70" s="122"/>
      <c r="DHS70" s="122"/>
      <c r="DHT70" s="122"/>
      <c r="DHU70" s="122"/>
      <c r="DHV70" s="122"/>
      <c r="DHW70" s="122"/>
      <c r="DHX70" s="122"/>
      <c r="DHY70" s="122"/>
      <c r="DHZ70" s="122"/>
      <c r="DIA70" s="122"/>
      <c r="DIB70" s="122"/>
      <c r="DIC70" s="122"/>
      <c r="DID70" s="122"/>
      <c r="DIE70" s="122"/>
      <c r="DIF70" s="122"/>
      <c r="DIG70" s="122"/>
      <c r="DIH70" s="122"/>
      <c r="DII70" s="122"/>
      <c r="DIJ70" s="122"/>
      <c r="DIK70" s="122"/>
      <c r="DIL70" s="122"/>
      <c r="DIM70" s="122"/>
      <c r="DIN70" s="122"/>
      <c r="DIO70" s="122"/>
      <c r="DIP70" s="122"/>
      <c r="DIQ70" s="122"/>
      <c r="DIR70" s="122"/>
      <c r="DIS70" s="122"/>
      <c r="DIT70" s="122"/>
      <c r="DIU70" s="122"/>
      <c r="DIV70" s="122"/>
      <c r="DIW70" s="122"/>
      <c r="DIX70" s="122"/>
      <c r="DIY70" s="122"/>
      <c r="DIZ70" s="122"/>
      <c r="DJA70" s="122"/>
      <c r="DJB70" s="122"/>
      <c r="DJC70" s="122"/>
      <c r="DJD70" s="122"/>
      <c r="DJE70" s="122"/>
      <c r="DJF70" s="122"/>
      <c r="DJG70" s="122"/>
      <c r="DJH70" s="122"/>
      <c r="DJI70" s="122"/>
      <c r="DJJ70" s="122"/>
      <c r="DJK70" s="122"/>
      <c r="DJL70" s="122"/>
      <c r="DJM70" s="122"/>
      <c r="DJN70" s="122"/>
      <c r="DJO70" s="122"/>
      <c r="DJP70" s="122"/>
      <c r="DJQ70" s="122"/>
      <c r="DJR70" s="122"/>
      <c r="DJS70" s="122"/>
      <c r="DJT70" s="122"/>
      <c r="DJU70" s="122"/>
      <c r="DJV70" s="122"/>
      <c r="DJW70" s="122"/>
      <c r="DJX70" s="122"/>
      <c r="DJY70" s="122"/>
      <c r="DJZ70" s="122"/>
      <c r="DKA70" s="122"/>
      <c r="DKB70" s="122"/>
      <c r="DKC70" s="122"/>
      <c r="DKD70" s="122"/>
      <c r="DKE70" s="122"/>
      <c r="DKF70" s="122"/>
      <c r="DKG70" s="122"/>
      <c r="DKH70" s="122"/>
      <c r="DKI70" s="122"/>
      <c r="DKJ70" s="122"/>
      <c r="DKK70" s="122"/>
      <c r="DKL70" s="122"/>
      <c r="DKM70" s="122"/>
      <c r="DKN70" s="122"/>
      <c r="DKO70" s="122"/>
      <c r="DKP70" s="122"/>
      <c r="DKQ70" s="122"/>
      <c r="DKR70" s="122"/>
      <c r="DKS70" s="122"/>
      <c r="DKT70" s="122"/>
      <c r="DKU70" s="122"/>
      <c r="DKV70" s="122"/>
      <c r="DKW70" s="122"/>
      <c r="DKX70" s="122"/>
      <c r="DKY70" s="122"/>
      <c r="DKZ70" s="122"/>
      <c r="DLA70" s="122"/>
      <c r="DLB70" s="122"/>
      <c r="DLC70" s="122"/>
      <c r="DLD70" s="122"/>
      <c r="DLE70" s="122"/>
      <c r="DLF70" s="122"/>
      <c r="DLG70" s="122"/>
      <c r="DLH70" s="122"/>
      <c r="DLI70" s="122"/>
      <c r="DLJ70" s="122"/>
      <c r="DLK70" s="122"/>
      <c r="DLL70" s="122"/>
      <c r="DLM70" s="122"/>
      <c r="DLN70" s="122"/>
      <c r="DLO70" s="122"/>
      <c r="DLP70" s="122"/>
      <c r="DLQ70" s="122"/>
      <c r="DLR70" s="122"/>
      <c r="DLS70" s="122"/>
      <c r="DLT70" s="122"/>
      <c r="DLU70" s="122"/>
      <c r="DLV70" s="122"/>
      <c r="DLW70" s="122"/>
      <c r="DLX70" s="122"/>
      <c r="DLY70" s="122"/>
      <c r="DLZ70" s="122"/>
      <c r="DMA70" s="122"/>
      <c r="DMB70" s="122"/>
      <c r="DMC70" s="122"/>
      <c r="DMD70" s="122"/>
      <c r="DME70" s="122"/>
      <c r="DMF70" s="122"/>
      <c r="DMG70" s="122"/>
      <c r="DMH70" s="122"/>
      <c r="DMI70" s="122"/>
      <c r="DMJ70" s="122"/>
      <c r="DMK70" s="122"/>
      <c r="DML70" s="122"/>
      <c r="DMM70" s="122"/>
      <c r="DMN70" s="122"/>
      <c r="DMO70" s="122"/>
      <c r="DMP70" s="122"/>
      <c r="DMQ70" s="122"/>
      <c r="DMR70" s="122"/>
      <c r="DMS70" s="122"/>
      <c r="DMT70" s="122"/>
      <c r="DMU70" s="122"/>
      <c r="DMV70" s="122"/>
      <c r="DMW70" s="122"/>
      <c r="DMX70" s="122"/>
      <c r="DMY70" s="122"/>
      <c r="DMZ70" s="122"/>
      <c r="DNA70" s="122"/>
      <c r="DNB70" s="122"/>
      <c r="DNC70" s="122"/>
      <c r="DND70" s="122"/>
      <c r="DNE70" s="122"/>
      <c r="DNF70" s="122"/>
      <c r="DNG70" s="122"/>
      <c r="DNH70" s="122"/>
      <c r="DNI70" s="122"/>
      <c r="DNJ70" s="122"/>
      <c r="DNK70" s="122"/>
      <c r="DNL70" s="122"/>
      <c r="DNM70" s="122"/>
      <c r="DNN70" s="122"/>
      <c r="DNO70" s="122"/>
      <c r="DNP70" s="122"/>
      <c r="DNQ70" s="122"/>
      <c r="DNR70" s="122"/>
      <c r="DNS70" s="122"/>
      <c r="DNT70" s="122"/>
      <c r="DNU70" s="122"/>
      <c r="DNV70" s="122"/>
      <c r="DNW70" s="122"/>
      <c r="DNX70" s="122"/>
      <c r="DNY70" s="122"/>
      <c r="DNZ70" s="122"/>
      <c r="DOA70" s="122"/>
      <c r="DOB70" s="122"/>
      <c r="DOC70" s="122"/>
      <c r="DOD70" s="122"/>
      <c r="DOE70" s="122"/>
      <c r="DOF70" s="122"/>
      <c r="DOG70" s="122"/>
      <c r="DOH70" s="122"/>
      <c r="DOI70" s="122"/>
      <c r="DOJ70" s="122"/>
      <c r="DOK70" s="122"/>
      <c r="DOL70" s="122"/>
      <c r="DOM70" s="122"/>
      <c r="DON70" s="122"/>
      <c r="DOO70" s="122"/>
      <c r="DOP70" s="122"/>
      <c r="DOQ70" s="122"/>
      <c r="DOR70" s="122"/>
      <c r="DOS70" s="122"/>
      <c r="DOT70" s="122"/>
      <c r="DOU70" s="122"/>
      <c r="DOV70" s="122"/>
      <c r="DOW70" s="122"/>
      <c r="DOX70" s="122"/>
      <c r="DOY70" s="122"/>
      <c r="DOZ70" s="122"/>
      <c r="DPA70" s="122"/>
      <c r="DPB70" s="122"/>
      <c r="DPC70" s="122"/>
      <c r="DPD70" s="122"/>
      <c r="DPE70" s="122"/>
      <c r="DPF70" s="122"/>
      <c r="DPG70" s="122"/>
      <c r="DPH70" s="122"/>
      <c r="DPI70" s="122"/>
      <c r="DPJ70" s="122"/>
      <c r="DPK70" s="122"/>
      <c r="DPL70" s="122"/>
      <c r="DPM70" s="122"/>
      <c r="DPN70" s="122"/>
      <c r="DPO70" s="122"/>
      <c r="DPP70" s="122"/>
      <c r="DPQ70" s="122"/>
      <c r="DPR70" s="122"/>
      <c r="DPS70" s="122"/>
      <c r="DPT70" s="122"/>
      <c r="DPU70" s="122"/>
      <c r="DPV70" s="122"/>
      <c r="DPW70" s="122"/>
      <c r="DPX70" s="122"/>
      <c r="DPY70" s="122"/>
      <c r="DPZ70" s="122"/>
      <c r="DQA70" s="122"/>
      <c r="DQB70" s="122"/>
      <c r="DQC70" s="122"/>
      <c r="DQD70" s="122"/>
      <c r="DQE70" s="122"/>
      <c r="DQF70" s="122"/>
      <c r="DQG70" s="122"/>
      <c r="DQH70" s="122"/>
      <c r="DQI70" s="122"/>
      <c r="DQJ70" s="122"/>
      <c r="DQK70" s="122"/>
      <c r="DQL70" s="122"/>
      <c r="DQM70" s="122"/>
      <c r="DQN70" s="122"/>
      <c r="DQO70" s="122"/>
      <c r="DQP70" s="122"/>
      <c r="DQQ70" s="122"/>
      <c r="DQR70" s="122"/>
      <c r="DQS70" s="122"/>
      <c r="DQT70" s="122"/>
      <c r="DQU70" s="122"/>
      <c r="DQV70" s="122"/>
      <c r="DQW70" s="122"/>
      <c r="DQX70" s="122"/>
      <c r="DQY70" s="122"/>
      <c r="DQZ70" s="122"/>
      <c r="DRA70" s="122"/>
      <c r="DRB70" s="122"/>
      <c r="DRC70" s="122"/>
      <c r="DRD70" s="122"/>
      <c r="DRE70" s="122"/>
      <c r="DRF70" s="122"/>
      <c r="DRG70" s="122"/>
      <c r="DRH70" s="122"/>
      <c r="DRI70" s="122"/>
      <c r="DRJ70" s="122"/>
      <c r="DRK70" s="122"/>
      <c r="DRL70" s="122"/>
      <c r="DRM70" s="122"/>
      <c r="DRN70" s="122"/>
      <c r="DRO70" s="122"/>
      <c r="DRP70" s="122"/>
      <c r="DRQ70" s="122"/>
      <c r="DRR70" s="122"/>
      <c r="DRS70" s="122"/>
      <c r="DRT70" s="122"/>
      <c r="DRU70" s="122"/>
      <c r="DRV70" s="122"/>
      <c r="DRW70" s="122"/>
      <c r="DRX70" s="122"/>
      <c r="DRY70" s="122"/>
      <c r="DRZ70" s="122"/>
      <c r="DSA70" s="122"/>
      <c r="DSB70" s="122"/>
      <c r="DSC70" s="122"/>
      <c r="DSD70" s="122"/>
      <c r="DSE70" s="122"/>
      <c r="DSF70" s="122"/>
      <c r="DSG70" s="122"/>
      <c r="DSH70" s="122"/>
      <c r="DSI70" s="122"/>
      <c r="DSJ70" s="122"/>
      <c r="DSK70" s="122"/>
      <c r="DSL70" s="122"/>
      <c r="DSM70" s="122"/>
      <c r="DSN70" s="122"/>
      <c r="DSO70" s="122"/>
      <c r="DSP70" s="122"/>
      <c r="DSQ70" s="122"/>
      <c r="DSR70" s="122"/>
      <c r="DSS70" s="122"/>
      <c r="DST70" s="122"/>
      <c r="DSU70" s="122"/>
      <c r="DSV70" s="122"/>
      <c r="DSW70" s="122"/>
      <c r="DSX70" s="122"/>
      <c r="DSY70" s="122"/>
      <c r="DSZ70" s="122"/>
      <c r="DTA70" s="122"/>
      <c r="DTB70" s="122"/>
      <c r="DTC70" s="122"/>
      <c r="DTD70" s="122"/>
      <c r="DTE70" s="122"/>
      <c r="DTF70" s="122"/>
      <c r="DTG70" s="122"/>
      <c r="DTH70" s="122"/>
      <c r="DTI70" s="122"/>
      <c r="DTJ70" s="122"/>
      <c r="DTK70" s="122"/>
      <c r="DTL70" s="122"/>
      <c r="DTM70" s="122"/>
      <c r="DTN70" s="122"/>
      <c r="DTO70" s="122"/>
      <c r="DTP70" s="122"/>
      <c r="DTQ70" s="122"/>
      <c r="DTR70" s="122"/>
      <c r="DTS70" s="122"/>
      <c r="DTT70" s="122"/>
      <c r="DTU70" s="122"/>
      <c r="DTV70" s="122"/>
      <c r="DTW70" s="122"/>
      <c r="DTX70" s="122"/>
      <c r="DTY70" s="122"/>
      <c r="DTZ70" s="122"/>
      <c r="DUA70" s="122"/>
      <c r="DUB70" s="122"/>
      <c r="DUC70" s="122"/>
      <c r="DUD70" s="122"/>
      <c r="DUE70" s="122"/>
      <c r="DUF70" s="122"/>
      <c r="DUG70" s="122"/>
      <c r="DUH70" s="122"/>
      <c r="DUI70" s="122"/>
      <c r="DUJ70" s="122"/>
      <c r="DUK70" s="122"/>
      <c r="DUL70" s="122"/>
      <c r="DUM70" s="122"/>
      <c r="DUN70" s="122"/>
      <c r="DUO70" s="122"/>
      <c r="DUP70" s="122"/>
      <c r="DUQ70" s="122"/>
      <c r="DUR70" s="122"/>
      <c r="DUS70" s="122"/>
      <c r="DUT70" s="122"/>
      <c r="DUU70" s="122"/>
      <c r="DUV70" s="122"/>
      <c r="DUW70" s="122"/>
      <c r="DUX70" s="122"/>
      <c r="DUY70" s="122"/>
      <c r="DUZ70" s="122"/>
      <c r="DVA70" s="122"/>
      <c r="DVB70" s="122"/>
      <c r="DVC70" s="122"/>
      <c r="DVD70" s="122"/>
      <c r="DVE70" s="122"/>
      <c r="DVF70" s="122"/>
      <c r="DVG70" s="122"/>
      <c r="DVH70" s="122"/>
      <c r="DVI70" s="122"/>
      <c r="DVJ70" s="122"/>
      <c r="DVK70" s="122"/>
      <c r="DVL70" s="122"/>
      <c r="DVM70" s="122"/>
      <c r="DVN70" s="122"/>
      <c r="DVO70" s="122"/>
      <c r="DVP70" s="122"/>
      <c r="DVQ70" s="122"/>
      <c r="DVR70" s="122"/>
      <c r="DVS70" s="122"/>
      <c r="DVT70" s="122"/>
      <c r="DVU70" s="122"/>
      <c r="DVV70" s="122"/>
      <c r="DVW70" s="122"/>
      <c r="DVX70" s="122"/>
      <c r="DVY70" s="122"/>
      <c r="DVZ70" s="122"/>
      <c r="DWA70" s="122"/>
      <c r="DWB70" s="122"/>
      <c r="DWC70" s="122"/>
      <c r="DWD70" s="122"/>
      <c r="DWE70" s="122"/>
      <c r="DWF70" s="122"/>
      <c r="DWG70" s="122"/>
      <c r="DWH70" s="122"/>
      <c r="DWI70" s="122"/>
      <c r="DWJ70" s="122"/>
      <c r="DWK70" s="122"/>
      <c r="DWL70" s="122"/>
      <c r="DWM70" s="122"/>
      <c r="DWN70" s="122"/>
      <c r="DWO70" s="122"/>
      <c r="DWP70" s="122"/>
      <c r="DWQ70" s="122"/>
      <c r="DWR70" s="122"/>
      <c r="DWS70" s="122"/>
      <c r="DWT70" s="122"/>
      <c r="DWU70" s="122"/>
      <c r="DWV70" s="122"/>
      <c r="DWW70" s="122"/>
      <c r="DWX70" s="122"/>
      <c r="DWY70" s="122"/>
      <c r="DWZ70" s="122"/>
      <c r="DXA70" s="122"/>
      <c r="DXB70" s="122"/>
      <c r="DXC70" s="122"/>
      <c r="DXD70" s="122"/>
      <c r="DXE70" s="122"/>
      <c r="DXF70" s="122"/>
      <c r="DXG70" s="122"/>
      <c r="DXH70" s="122"/>
      <c r="DXI70" s="122"/>
      <c r="DXJ70" s="122"/>
      <c r="DXK70" s="122"/>
      <c r="DXL70" s="122"/>
      <c r="DXM70" s="122"/>
      <c r="DXN70" s="122"/>
      <c r="DXO70" s="122"/>
      <c r="DXP70" s="122"/>
      <c r="DXQ70" s="122"/>
      <c r="DXR70" s="122"/>
      <c r="DXS70" s="122"/>
      <c r="DXT70" s="122"/>
      <c r="DXU70" s="122"/>
      <c r="DXV70" s="122"/>
      <c r="DXW70" s="122"/>
      <c r="DXX70" s="122"/>
      <c r="DXY70" s="122"/>
      <c r="DXZ70" s="122"/>
      <c r="DYA70" s="122"/>
      <c r="DYB70" s="122"/>
      <c r="DYC70" s="122"/>
      <c r="DYD70" s="122"/>
      <c r="DYE70" s="122"/>
      <c r="DYF70" s="122"/>
      <c r="DYG70" s="122"/>
      <c r="DYH70" s="122"/>
      <c r="DYI70" s="122"/>
      <c r="DYJ70" s="122"/>
      <c r="DYK70" s="122"/>
      <c r="DYL70" s="122"/>
      <c r="DYM70" s="122"/>
      <c r="DYN70" s="122"/>
      <c r="DYO70" s="122"/>
      <c r="DYP70" s="122"/>
      <c r="DYQ70" s="122"/>
      <c r="DYR70" s="122"/>
      <c r="DYS70" s="122"/>
      <c r="DYT70" s="122"/>
      <c r="DYU70" s="122"/>
      <c r="DYV70" s="122"/>
      <c r="DYW70" s="122"/>
      <c r="DYX70" s="122"/>
      <c r="DYY70" s="122"/>
      <c r="DYZ70" s="122"/>
      <c r="DZA70" s="122"/>
      <c r="DZB70" s="122"/>
      <c r="DZC70" s="122"/>
      <c r="DZD70" s="122"/>
      <c r="DZE70" s="122"/>
      <c r="DZF70" s="122"/>
      <c r="DZG70" s="122"/>
      <c r="DZH70" s="122"/>
      <c r="DZI70" s="122"/>
      <c r="DZJ70" s="122"/>
      <c r="DZK70" s="122"/>
      <c r="DZL70" s="122"/>
      <c r="DZM70" s="122"/>
      <c r="DZN70" s="122"/>
      <c r="DZO70" s="122"/>
      <c r="DZP70" s="122"/>
      <c r="DZQ70" s="122"/>
      <c r="DZR70" s="122"/>
      <c r="DZS70" s="122"/>
      <c r="DZT70" s="122"/>
      <c r="DZU70" s="122"/>
      <c r="DZV70" s="122"/>
      <c r="DZW70" s="122"/>
      <c r="DZX70" s="122"/>
      <c r="DZY70" s="122"/>
      <c r="DZZ70" s="122"/>
      <c r="EAA70" s="122"/>
      <c r="EAB70" s="122"/>
      <c r="EAC70" s="122"/>
      <c r="EAD70" s="122"/>
      <c r="EAE70" s="122"/>
      <c r="EAF70" s="122"/>
      <c r="EAG70" s="122"/>
      <c r="EAH70" s="122"/>
      <c r="EAI70" s="122"/>
      <c r="EAJ70" s="122"/>
      <c r="EAK70" s="122"/>
      <c r="EAL70" s="122"/>
      <c r="EAM70" s="122"/>
      <c r="EAN70" s="122"/>
      <c r="EAO70" s="122"/>
      <c r="EAP70" s="122"/>
      <c r="EAQ70" s="122"/>
      <c r="EAR70" s="122"/>
      <c r="EAS70" s="122"/>
      <c r="EAT70" s="122"/>
      <c r="EAU70" s="122"/>
      <c r="EAV70" s="122"/>
      <c r="EAW70" s="122"/>
      <c r="EAX70" s="122"/>
      <c r="EAY70" s="122"/>
      <c r="EAZ70" s="122"/>
      <c r="EBA70" s="122"/>
      <c r="EBB70" s="122"/>
      <c r="EBC70" s="122"/>
      <c r="EBD70" s="122"/>
      <c r="EBE70" s="122"/>
      <c r="EBF70" s="122"/>
      <c r="EBG70" s="122"/>
      <c r="EBH70" s="122"/>
      <c r="EBI70" s="122"/>
      <c r="EBJ70" s="122"/>
      <c r="EBK70" s="122"/>
      <c r="EBL70" s="122"/>
      <c r="EBM70" s="122"/>
      <c r="EBN70" s="122"/>
      <c r="EBO70" s="122"/>
      <c r="EBP70" s="122"/>
      <c r="EBQ70" s="122"/>
      <c r="EBR70" s="122"/>
      <c r="EBS70" s="122"/>
      <c r="EBT70" s="122"/>
      <c r="EBU70" s="122"/>
      <c r="EBV70" s="122"/>
      <c r="EBW70" s="122"/>
      <c r="EBX70" s="122"/>
      <c r="EBY70" s="122"/>
      <c r="EBZ70" s="122"/>
      <c r="ECA70" s="122"/>
      <c r="ECB70" s="122"/>
      <c r="ECC70" s="122"/>
      <c r="ECD70" s="122"/>
      <c r="ECE70" s="122"/>
      <c r="ECF70" s="122"/>
      <c r="ECG70" s="122"/>
      <c r="ECH70" s="122"/>
      <c r="ECI70" s="122"/>
      <c r="ECJ70" s="122"/>
      <c r="ECK70" s="122"/>
      <c r="ECL70" s="122"/>
      <c r="ECM70" s="122"/>
      <c r="ECN70" s="122"/>
      <c r="ECO70" s="122"/>
      <c r="ECP70" s="122"/>
      <c r="ECQ70" s="122"/>
      <c r="ECR70" s="122"/>
      <c r="ECS70" s="122"/>
      <c r="ECT70" s="122"/>
      <c r="ECU70" s="122"/>
      <c r="ECV70" s="122"/>
      <c r="ECW70" s="122"/>
      <c r="ECX70" s="122"/>
      <c r="ECY70" s="122"/>
      <c r="ECZ70" s="122"/>
      <c r="EDA70" s="122"/>
      <c r="EDB70" s="122"/>
      <c r="EDC70" s="122"/>
      <c r="EDD70" s="122"/>
      <c r="EDE70" s="122"/>
      <c r="EDF70" s="122"/>
      <c r="EDG70" s="122"/>
      <c r="EDH70" s="122"/>
      <c r="EDI70" s="122"/>
      <c r="EDJ70" s="122"/>
      <c r="EDK70" s="122"/>
      <c r="EDL70" s="122"/>
      <c r="EDM70" s="122"/>
      <c r="EDN70" s="122"/>
      <c r="EDO70" s="122"/>
      <c r="EDP70" s="122"/>
      <c r="EDQ70" s="122"/>
      <c r="EDR70" s="122"/>
      <c r="EDS70" s="122"/>
      <c r="EDT70" s="122"/>
      <c r="EDU70" s="122"/>
      <c r="EDV70" s="122"/>
      <c r="EDW70" s="122"/>
      <c r="EDX70" s="122"/>
      <c r="EDY70" s="122"/>
      <c r="EDZ70" s="122"/>
      <c r="EEA70" s="122"/>
      <c r="EEB70" s="122"/>
      <c r="EEC70" s="122"/>
      <c r="EED70" s="122"/>
      <c r="EEE70" s="122"/>
      <c r="EEF70" s="122"/>
      <c r="EEG70" s="122"/>
      <c r="EEH70" s="122"/>
      <c r="EEI70" s="122"/>
      <c r="EEJ70" s="122"/>
      <c r="EEK70" s="122"/>
      <c r="EEL70" s="122"/>
      <c r="EEM70" s="122"/>
      <c r="EEN70" s="122"/>
      <c r="EEO70" s="122"/>
      <c r="EEP70" s="122"/>
      <c r="EEQ70" s="122"/>
      <c r="EER70" s="122"/>
      <c r="EES70" s="122"/>
      <c r="EET70" s="122"/>
      <c r="EEU70" s="122"/>
      <c r="EEV70" s="122"/>
      <c r="EEW70" s="122"/>
      <c r="EEX70" s="122"/>
      <c r="EEY70" s="122"/>
      <c r="EEZ70" s="122"/>
      <c r="EFA70" s="122"/>
      <c r="EFB70" s="122"/>
      <c r="EFC70" s="122"/>
      <c r="EFD70" s="122"/>
      <c r="EFE70" s="122"/>
      <c r="EFF70" s="122"/>
      <c r="EFG70" s="122"/>
      <c r="EFH70" s="122"/>
      <c r="EFI70" s="122"/>
      <c r="EFJ70" s="122"/>
      <c r="EFK70" s="122"/>
      <c r="EFL70" s="122"/>
      <c r="EFM70" s="122"/>
      <c r="EFN70" s="122"/>
      <c r="EFO70" s="122"/>
      <c r="EFP70" s="122"/>
      <c r="EFQ70" s="122"/>
      <c r="EFR70" s="122"/>
      <c r="EFS70" s="122"/>
      <c r="EFT70" s="122"/>
      <c r="EFU70" s="122"/>
      <c r="EFV70" s="122"/>
      <c r="EFW70" s="122"/>
      <c r="EFX70" s="122"/>
      <c r="EFY70" s="122"/>
      <c r="EFZ70" s="122"/>
      <c r="EGA70" s="122"/>
      <c r="EGB70" s="122"/>
      <c r="EGC70" s="122"/>
      <c r="EGD70" s="122"/>
      <c r="EGE70" s="122"/>
      <c r="EGF70" s="122"/>
      <c r="EGG70" s="122"/>
      <c r="EGH70" s="122"/>
      <c r="EGI70" s="122"/>
      <c r="EGJ70" s="122"/>
      <c r="EGK70" s="122"/>
      <c r="EGL70" s="122"/>
      <c r="EGM70" s="122"/>
      <c r="EGN70" s="122"/>
      <c r="EGO70" s="122"/>
      <c r="EGP70" s="122"/>
      <c r="EGQ70" s="122"/>
      <c r="EGR70" s="122"/>
      <c r="EGS70" s="122"/>
      <c r="EGT70" s="122"/>
      <c r="EGU70" s="122"/>
      <c r="EGV70" s="122"/>
      <c r="EGW70" s="122"/>
      <c r="EGX70" s="122"/>
      <c r="EGY70" s="122"/>
      <c r="EGZ70" s="122"/>
      <c r="EHA70" s="122"/>
      <c r="EHB70" s="122"/>
      <c r="EHC70" s="122"/>
      <c r="EHD70" s="122"/>
      <c r="EHE70" s="122"/>
      <c r="EHF70" s="122"/>
      <c r="EHG70" s="122"/>
      <c r="EHH70" s="122"/>
      <c r="EHI70" s="122"/>
      <c r="EHJ70" s="122"/>
      <c r="EHK70" s="122"/>
      <c r="EHL70" s="122"/>
      <c r="EHM70" s="122"/>
      <c r="EHN70" s="122"/>
      <c r="EHO70" s="122"/>
      <c r="EHP70" s="122"/>
      <c r="EHQ70" s="122"/>
      <c r="EHR70" s="122"/>
      <c r="EHS70" s="122"/>
      <c r="EHT70" s="122"/>
      <c r="EHU70" s="122"/>
      <c r="EHV70" s="122"/>
      <c r="EHW70" s="122"/>
      <c r="EHX70" s="122"/>
      <c r="EHY70" s="122"/>
      <c r="EHZ70" s="122"/>
      <c r="EIA70" s="122"/>
      <c r="EIB70" s="122"/>
      <c r="EIC70" s="122"/>
      <c r="EID70" s="122"/>
      <c r="EIE70" s="122"/>
      <c r="EIF70" s="122"/>
      <c r="EIG70" s="122"/>
      <c r="EIH70" s="122"/>
      <c r="EII70" s="122"/>
      <c r="EIJ70" s="122"/>
      <c r="EIK70" s="122"/>
      <c r="EIL70" s="122"/>
      <c r="EIM70" s="122"/>
      <c r="EIN70" s="122"/>
      <c r="EIO70" s="122"/>
      <c r="EIP70" s="122"/>
      <c r="EIQ70" s="122"/>
      <c r="EIR70" s="122"/>
      <c r="EIS70" s="122"/>
      <c r="EIT70" s="122"/>
      <c r="EIU70" s="122"/>
      <c r="EIV70" s="122"/>
      <c r="EIW70" s="122"/>
      <c r="EIX70" s="122"/>
      <c r="EIY70" s="122"/>
      <c r="EIZ70" s="122"/>
      <c r="EJA70" s="122"/>
      <c r="EJB70" s="122"/>
      <c r="EJC70" s="122"/>
      <c r="EJD70" s="122"/>
      <c r="EJE70" s="122"/>
      <c r="EJF70" s="122"/>
      <c r="EJG70" s="122"/>
      <c r="EJH70" s="122"/>
      <c r="EJI70" s="122"/>
      <c r="EJJ70" s="122"/>
      <c r="EJK70" s="122"/>
      <c r="EJL70" s="122"/>
      <c r="EJM70" s="122"/>
      <c r="EJN70" s="122"/>
      <c r="EJO70" s="122"/>
      <c r="EJP70" s="122"/>
      <c r="EJQ70" s="122"/>
      <c r="EJR70" s="122"/>
      <c r="EJS70" s="122"/>
      <c r="EJT70" s="122"/>
      <c r="EJU70" s="122"/>
      <c r="EJV70" s="122"/>
      <c r="EJW70" s="122"/>
      <c r="EJX70" s="122"/>
      <c r="EJY70" s="122"/>
      <c r="EJZ70" s="122"/>
      <c r="EKA70" s="122"/>
      <c r="EKB70" s="122"/>
      <c r="EKC70" s="122"/>
      <c r="EKD70" s="122"/>
      <c r="EKE70" s="122"/>
      <c r="EKF70" s="122"/>
      <c r="EKG70" s="122"/>
      <c r="EKH70" s="122"/>
      <c r="EKI70" s="122"/>
      <c r="EKJ70" s="122"/>
      <c r="EKK70" s="122"/>
      <c r="EKL70" s="122"/>
      <c r="EKM70" s="122"/>
      <c r="EKN70" s="122"/>
      <c r="EKO70" s="122"/>
      <c r="EKP70" s="122"/>
      <c r="EKQ70" s="122"/>
      <c r="EKR70" s="122"/>
      <c r="EKS70" s="122"/>
      <c r="EKT70" s="122"/>
      <c r="EKU70" s="122"/>
      <c r="EKV70" s="122"/>
      <c r="EKW70" s="122"/>
      <c r="EKX70" s="122"/>
      <c r="EKY70" s="122"/>
      <c r="EKZ70" s="122"/>
      <c r="ELA70" s="122"/>
      <c r="ELB70" s="122"/>
      <c r="ELC70" s="122"/>
      <c r="ELD70" s="122"/>
      <c r="ELE70" s="122"/>
      <c r="ELF70" s="122"/>
      <c r="ELG70" s="122"/>
      <c r="ELH70" s="122"/>
      <c r="ELI70" s="122"/>
      <c r="ELJ70" s="122"/>
      <c r="ELK70" s="122"/>
      <c r="ELL70" s="122"/>
      <c r="ELM70" s="122"/>
      <c r="ELN70" s="122"/>
      <c r="ELO70" s="122"/>
      <c r="ELP70" s="122"/>
      <c r="ELQ70" s="122"/>
      <c r="ELR70" s="122"/>
      <c r="ELS70" s="122"/>
      <c r="ELT70" s="122"/>
      <c r="ELU70" s="122"/>
      <c r="ELV70" s="122"/>
      <c r="ELW70" s="122"/>
      <c r="ELX70" s="122"/>
      <c r="ELY70" s="122"/>
      <c r="ELZ70" s="122"/>
      <c r="EMA70" s="122"/>
      <c r="EMB70" s="122"/>
      <c r="EMC70" s="122"/>
      <c r="EMD70" s="122"/>
      <c r="EME70" s="122"/>
      <c r="EMF70" s="122"/>
      <c r="EMG70" s="122"/>
      <c r="EMH70" s="122"/>
      <c r="EMI70" s="122"/>
      <c r="EMJ70" s="122"/>
      <c r="EMK70" s="122"/>
      <c r="EML70" s="122"/>
      <c r="EMM70" s="122"/>
      <c r="EMN70" s="122"/>
      <c r="EMO70" s="122"/>
      <c r="EMP70" s="122"/>
      <c r="EMQ70" s="122"/>
      <c r="EMR70" s="122"/>
      <c r="EMS70" s="122"/>
      <c r="EMT70" s="122"/>
      <c r="EMU70" s="122"/>
      <c r="EMV70" s="122"/>
      <c r="EMW70" s="122"/>
      <c r="EMX70" s="122"/>
      <c r="EMY70" s="122"/>
      <c r="EMZ70" s="122"/>
      <c r="ENA70" s="122"/>
      <c r="ENB70" s="122"/>
      <c r="ENC70" s="122"/>
      <c r="END70" s="122"/>
      <c r="ENE70" s="122"/>
      <c r="ENF70" s="122"/>
      <c r="ENG70" s="122"/>
      <c r="ENH70" s="122"/>
      <c r="ENI70" s="122"/>
      <c r="ENJ70" s="122"/>
      <c r="ENK70" s="122"/>
      <c r="ENL70" s="122"/>
      <c r="ENM70" s="122"/>
      <c r="ENN70" s="122"/>
      <c r="ENO70" s="122"/>
      <c r="ENP70" s="122"/>
      <c r="ENQ70" s="122"/>
      <c r="ENR70" s="122"/>
      <c r="ENS70" s="122"/>
      <c r="ENT70" s="122"/>
      <c r="ENU70" s="122"/>
      <c r="ENV70" s="122"/>
      <c r="ENW70" s="122"/>
      <c r="ENX70" s="122"/>
      <c r="ENY70" s="122"/>
      <c r="ENZ70" s="122"/>
      <c r="EOA70" s="122"/>
      <c r="EOB70" s="122"/>
      <c r="EOC70" s="122"/>
      <c r="EOD70" s="122"/>
      <c r="EOE70" s="122"/>
      <c r="EOF70" s="122"/>
      <c r="EOG70" s="122"/>
      <c r="EOH70" s="122"/>
      <c r="EOI70" s="122"/>
      <c r="EOJ70" s="122"/>
      <c r="EOK70" s="122"/>
      <c r="EOL70" s="122"/>
      <c r="EOM70" s="122"/>
      <c r="EON70" s="122"/>
      <c r="EOO70" s="122"/>
      <c r="EOP70" s="122"/>
      <c r="EOQ70" s="122"/>
      <c r="EOR70" s="122"/>
      <c r="EOS70" s="122"/>
      <c r="EOT70" s="122"/>
      <c r="EOU70" s="122"/>
      <c r="EOV70" s="122"/>
      <c r="EOW70" s="122"/>
      <c r="EOX70" s="122"/>
      <c r="EOY70" s="122"/>
      <c r="EOZ70" s="122"/>
      <c r="EPA70" s="122"/>
      <c r="EPB70" s="122"/>
      <c r="EPC70" s="122"/>
      <c r="EPD70" s="122"/>
      <c r="EPE70" s="122"/>
      <c r="EPF70" s="122"/>
      <c r="EPG70" s="122"/>
      <c r="EPH70" s="122"/>
      <c r="EPI70" s="122"/>
      <c r="EPJ70" s="122"/>
      <c r="EPK70" s="122"/>
      <c r="EPL70" s="122"/>
      <c r="EPM70" s="122"/>
      <c r="EPN70" s="122"/>
      <c r="EPO70" s="122"/>
      <c r="EPP70" s="122"/>
      <c r="EPQ70" s="122"/>
      <c r="EPR70" s="122"/>
      <c r="EPS70" s="122"/>
      <c r="EPT70" s="122"/>
      <c r="EPU70" s="122"/>
      <c r="EPV70" s="122"/>
      <c r="EPW70" s="122"/>
      <c r="EPX70" s="122"/>
      <c r="EPY70" s="122"/>
      <c r="EPZ70" s="122"/>
      <c r="EQA70" s="122"/>
      <c r="EQB70" s="122"/>
      <c r="EQC70" s="122"/>
      <c r="EQD70" s="122"/>
      <c r="EQE70" s="122"/>
      <c r="EQF70" s="122"/>
      <c r="EQG70" s="122"/>
      <c r="EQH70" s="122"/>
      <c r="EQI70" s="122"/>
      <c r="EQJ70" s="122"/>
      <c r="EQK70" s="122"/>
      <c r="EQL70" s="122"/>
      <c r="EQM70" s="122"/>
      <c r="EQN70" s="122"/>
      <c r="EQO70" s="122"/>
      <c r="EQP70" s="122"/>
      <c r="EQQ70" s="122"/>
      <c r="EQR70" s="122"/>
      <c r="EQS70" s="122"/>
      <c r="EQT70" s="122"/>
      <c r="EQU70" s="122"/>
      <c r="EQV70" s="122"/>
      <c r="EQW70" s="122"/>
      <c r="EQX70" s="122"/>
      <c r="EQY70" s="122"/>
      <c r="EQZ70" s="122"/>
      <c r="ERA70" s="122"/>
      <c r="ERB70" s="122"/>
      <c r="ERC70" s="122"/>
      <c r="ERD70" s="122"/>
      <c r="ERE70" s="122"/>
      <c r="ERF70" s="122"/>
      <c r="ERG70" s="122"/>
      <c r="ERH70" s="122"/>
      <c r="ERI70" s="122"/>
      <c r="ERJ70" s="122"/>
      <c r="ERK70" s="122"/>
      <c r="ERL70" s="122"/>
      <c r="ERM70" s="122"/>
      <c r="ERN70" s="122"/>
      <c r="ERO70" s="122"/>
      <c r="ERP70" s="122"/>
      <c r="ERQ70" s="122"/>
      <c r="ERR70" s="122"/>
      <c r="ERS70" s="122"/>
      <c r="ERT70" s="122"/>
      <c r="ERU70" s="122"/>
      <c r="ERV70" s="122"/>
      <c r="ERW70" s="122"/>
      <c r="ERX70" s="122"/>
      <c r="ERY70" s="122"/>
      <c r="ERZ70" s="122"/>
      <c r="ESA70" s="122"/>
      <c r="ESB70" s="122"/>
      <c r="ESC70" s="122"/>
      <c r="ESD70" s="122"/>
      <c r="ESE70" s="122"/>
      <c r="ESF70" s="122"/>
      <c r="ESG70" s="122"/>
      <c r="ESH70" s="122"/>
      <c r="ESI70" s="122"/>
      <c r="ESJ70" s="122"/>
      <c r="ESK70" s="122"/>
      <c r="ESL70" s="122"/>
      <c r="ESM70" s="122"/>
      <c r="ESN70" s="122"/>
      <c r="ESO70" s="122"/>
      <c r="ESP70" s="122"/>
      <c r="ESQ70" s="122"/>
      <c r="ESR70" s="122"/>
      <c r="ESS70" s="122"/>
      <c r="EST70" s="122"/>
      <c r="ESU70" s="122"/>
      <c r="ESV70" s="122"/>
      <c r="ESW70" s="122"/>
      <c r="ESX70" s="122"/>
      <c r="ESY70" s="122"/>
      <c r="ESZ70" s="122"/>
      <c r="ETA70" s="122"/>
      <c r="ETB70" s="122"/>
      <c r="ETC70" s="122"/>
      <c r="ETD70" s="122"/>
      <c r="ETE70" s="122"/>
      <c r="ETF70" s="122"/>
      <c r="ETG70" s="122"/>
      <c r="ETH70" s="122"/>
      <c r="ETI70" s="122"/>
      <c r="ETJ70" s="122"/>
      <c r="ETK70" s="122"/>
      <c r="ETL70" s="122"/>
      <c r="ETM70" s="122"/>
      <c r="ETN70" s="122"/>
      <c r="ETO70" s="122"/>
      <c r="ETP70" s="122"/>
      <c r="ETQ70" s="122"/>
      <c r="ETR70" s="122"/>
      <c r="ETS70" s="122"/>
      <c r="ETT70" s="122"/>
      <c r="ETU70" s="122"/>
      <c r="ETV70" s="122"/>
      <c r="ETW70" s="122"/>
      <c r="ETX70" s="122"/>
      <c r="ETY70" s="122"/>
      <c r="ETZ70" s="122"/>
      <c r="EUA70" s="122"/>
      <c r="EUB70" s="122"/>
      <c r="EUC70" s="122"/>
      <c r="EUD70" s="122"/>
      <c r="EUE70" s="122"/>
      <c r="EUF70" s="122"/>
      <c r="EUG70" s="122"/>
      <c r="EUH70" s="122"/>
      <c r="EUI70" s="122"/>
      <c r="EUJ70" s="122"/>
      <c r="EUK70" s="122"/>
      <c r="EUL70" s="122"/>
      <c r="EUM70" s="122"/>
      <c r="EUN70" s="122"/>
      <c r="EUO70" s="122"/>
      <c r="EUP70" s="122"/>
      <c r="EUQ70" s="122"/>
      <c r="EUR70" s="122"/>
      <c r="EUS70" s="122"/>
      <c r="EUT70" s="122"/>
      <c r="EUU70" s="122"/>
      <c r="EUV70" s="122"/>
      <c r="EUW70" s="122"/>
      <c r="EUX70" s="122"/>
      <c r="EUY70" s="122"/>
      <c r="EUZ70" s="122"/>
      <c r="EVA70" s="122"/>
      <c r="EVB70" s="122"/>
      <c r="EVC70" s="122"/>
      <c r="EVD70" s="122"/>
      <c r="EVE70" s="122"/>
      <c r="EVF70" s="122"/>
      <c r="EVG70" s="122"/>
      <c r="EVH70" s="122"/>
      <c r="EVI70" s="122"/>
      <c r="EVJ70" s="122"/>
      <c r="EVK70" s="122"/>
      <c r="EVL70" s="122"/>
      <c r="EVM70" s="122"/>
      <c r="EVN70" s="122"/>
      <c r="EVO70" s="122"/>
      <c r="EVP70" s="122"/>
      <c r="EVQ70" s="122"/>
      <c r="EVR70" s="122"/>
      <c r="EVS70" s="122"/>
      <c r="EVT70" s="122"/>
      <c r="EVU70" s="122"/>
      <c r="EVV70" s="122"/>
      <c r="EVW70" s="122"/>
      <c r="EVX70" s="122"/>
      <c r="EVY70" s="122"/>
      <c r="EVZ70" s="122"/>
      <c r="EWA70" s="122"/>
      <c r="EWB70" s="122"/>
      <c r="EWC70" s="122"/>
      <c r="EWD70" s="122"/>
      <c r="EWE70" s="122"/>
      <c r="EWF70" s="122"/>
      <c r="EWG70" s="122"/>
      <c r="EWH70" s="122"/>
      <c r="EWI70" s="122"/>
      <c r="EWJ70" s="122"/>
      <c r="EWK70" s="122"/>
      <c r="EWL70" s="122"/>
      <c r="EWM70" s="122"/>
      <c r="EWN70" s="122"/>
      <c r="EWO70" s="122"/>
      <c r="EWP70" s="122"/>
      <c r="EWQ70" s="122"/>
      <c r="EWR70" s="122"/>
      <c r="EWS70" s="122"/>
      <c r="EWT70" s="122"/>
      <c r="EWU70" s="122"/>
      <c r="EWV70" s="122"/>
      <c r="EWW70" s="122"/>
      <c r="EWX70" s="122"/>
      <c r="EWY70" s="122"/>
      <c r="EWZ70" s="122"/>
      <c r="EXA70" s="122"/>
      <c r="EXB70" s="122"/>
      <c r="EXC70" s="122"/>
      <c r="EXD70" s="122"/>
      <c r="EXE70" s="122"/>
      <c r="EXF70" s="122"/>
      <c r="EXG70" s="122"/>
      <c r="EXH70" s="122"/>
      <c r="EXI70" s="122"/>
      <c r="EXJ70" s="122"/>
      <c r="EXK70" s="122"/>
      <c r="EXL70" s="122"/>
      <c r="EXM70" s="122"/>
      <c r="EXN70" s="122"/>
      <c r="EXO70" s="122"/>
      <c r="EXP70" s="122"/>
      <c r="EXQ70" s="122"/>
      <c r="EXR70" s="122"/>
      <c r="EXS70" s="122"/>
      <c r="EXT70" s="122"/>
      <c r="EXU70" s="122"/>
      <c r="EXV70" s="122"/>
      <c r="EXW70" s="122"/>
      <c r="EXX70" s="122"/>
      <c r="EXY70" s="122"/>
      <c r="EXZ70" s="122"/>
      <c r="EYA70" s="122"/>
      <c r="EYB70" s="122"/>
      <c r="EYC70" s="122"/>
      <c r="EYD70" s="122"/>
      <c r="EYE70" s="122"/>
      <c r="EYF70" s="122"/>
      <c r="EYG70" s="122"/>
      <c r="EYH70" s="122"/>
      <c r="EYI70" s="122"/>
      <c r="EYJ70" s="122"/>
      <c r="EYK70" s="122"/>
      <c r="EYL70" s="122"/>
      <c r="EYM70" s="122"/>
      <c r="EYN70" s="122"/>
      <c r="EYO70" s="122"/>
      <c r="EYP70" s="122"/>
      <c r="EYQ70" s="122"/>
      <c r="EYR70" s="122"/>
      <c r="EYS70" s="122"/>
      <c r="EYT70" s="122"/>
      <c r="EYU70" s="122"/>
      <c r="EYV70" s="122"/>
      <c r="EYW70" s="122"/>
      <c r="EYX70" s="122"/>
      <c r="EYY70" s="122"/>
      <c r="EYZ70" s="122"/>
      <c r="EZA70" s="122"/>
      <c r="EZB70" s="122"/>
      <c r="EZC70" s="122"/>
      <c r="EZD70" s="122"/>
      <c r="EZE70" s="122"/>
      <c r="EZF70" s="122"/>
      <c r="EZG70" s="122"/>
      <c r="EZH70" s="122"/>
      <c r="EZI70" s="122"/>
      <c r="EZJ70" s="122"/>
      <c r="EZK70" s="122"/>
      <c r="EZL70" s="122"/>
      <c r="EZM70" s="122"/>
      <c r="EZN70" s="122"/>
      <c r="EZO70" s="122"/>
      <c r="EZP70" s="122"/>
      <c r="EZQ70" s="122"/>
      <c r="EZR70" s="122"/>
      <c r="EZS70" s="122"/>
      <c r="EZT70" s="122"/>
      <c r="EZU70" s="122"/>
      <c r="EZV70" s="122"/>
      <c r="EZW70" s="122"/>
      <c r="EZX70" s="122"/>
      <c r="EZY70" s="122"/>
      <c r="EZZ70" s="122"/>
      <c r="FAA70" s="122"/>
      <c r="FAB70" s="122"/>
      <c r="FAC70" s="122"/>
      <c r="FAD70" s="122"/>
      <c r="FAE70" s="122"/>
      <c r="FAF70" s="122"/>
      <c r="FAG70" s="122"/>
      <c r="FAH70" s="122"/>
      <c r="FAI70" s="122"/>
      <c r="FAJ70" s="122"/>
      <c r="FAK70" s="122"/>
      <c r="FAL70" s="122"/>
      <c r="FAM70" s="122"/>
      <c r="FAN70" s="122"/>
      <c r="FAO70" s="122"/>
      <c r="FAP70" s="122"/>
      <c r="FAQ70" s="122"/>
      <c r="FAR70" s="122"/>
      <c r="FAS70" s="122"/>
      <c r="FAT70" s="122"/>
      <c r="FAU70" s="122"/>
      <c r="FAV70" s="122"/>
      <c r="FAW70" s="122"/>
      <c r="FAX70" s="122"/>
      <c r="FAY70" s="122"/>
      <c r="FAZ70" s="122"/>
      <c r="FBA70" s="122"/>
      <c r="FBB70" s="122"/>
      <c r="FBC70" s="122"/>
      <c r="FBD70" s="122"/>
      <c r="FBE70" s="122"/>
      <c r="FBF70" s="122"/>
      <c r="FBG70" s="122"/>
      <c r="FBH70" s="122"/>
      <c r="FBI70" s="122"/>
      <c r="FBJ70" s="122"/>
      <c r="FBK70" s="122"/>
      <c r="FBL70" s="122"/>
      <c r="FBM70" s="122"/>
      <c r="FBN70" s="122"/>
      <c r="FBO70" s="122"/>
      <c r="FBP70" s="122"/>
      <c r="FBQ70" s="122"/>
      <c r="FBR70" s="122"/>
      <c r="FBS70" s="122"/>
      <c r="FBT70" s="122"/>
      <c r="FBU70" s="122"/>
      <c r="FBV70" s="122"/>
      <c r="FBW70" s="122"/>
      <c r="FBX70" s="122"/>
      <c r="FBY70" s="122"/>
      <c r="FBZ70" s="122"/>
      <c r="FCA70" s="122"/>
      <c r="FCB70" s="122"/>
      <c r="FCC70" s="122"/>
      <c r="FCD70" s="122"/>
      <c r="FCE70" s="122"/>
      <c r="FCF70" s="122"/>
      <c r="FCG70" s="122"/>
      <c r="FCH70" s="122"/>
      <c r="FCI70" s="122"/>
      <c r="FCJ70" s="122"/>
      <c r="FCK70" s="122"/>
      <c r="FCL70" s="122"/>
      <c r="FCM70" s="122"/>
      <c r="FCN70" s="122"/>
      <c r="FCO70" s="122"/>
      <c r="FCP70" s="122"/>
      <c r="FCQ70" s="122"/>
      <c r="FCR70" s="122"/>
      <c r="FCS70" s="122"/>
      <c r="FCT70" s="122"/>
      <c r="FCU70" s="122"/>
      <c r="FCV70" s="122"/>
      <c r="FCW70" s="122"/>
      <c r="FCX70" s="122"/>
      <c r="FCY70" s="122"/>
      <c r="FCZ70" s="122"/>
      <c r="FDA70" s="122"/>
      <c r="FDB70" s="122"/>
      <c r="FDC70" s="122"/>
      <c r="FDD70" s="122"/>
      <c r="FDE70" s="122"/>
      <c r="FDF70" s="122"/>
      <c r="FDG70" s="122"/>
      <c r="FDH70" s="122"/>
      <c r="FDI70" s="122"/>
      <c r="FDJ70" s="122"/>
      <c r="FDK70" s="122"/>
      <c r="FDL70" s="122"/>
      <c r="FDM70" s="122"/>
      <c r="FDN70" s="122"/>
      <c r="FDO70" s="122"/>
      <c r="FDP70" s="122"/>
      <c r="FDQ70" s="122"/>
      <c r="FDR70" s="122"/>
      <c r="FDS70" s="122"/>
      <c r="FDT70" s="122"/>
      <c r="FDU70" s="122"/>
      <c r="FDV70" s="122"/>
      <c r="FDW70" s="122"/>
      <c r="FDX70" s="122"/>
      <c r="FDY70" s="122"/>
      <c r="FDZ70" s="122"/>
      <c r="FEA70" s="122"/>
      <c r="FEB70" s="122"/>
      <c r="FEC70" s="122"/>
      <c r="FED70" s="122"/>
      <c r="FEE70" s="122"/>
      <c r="FEF70" s="122"/>
      <c r="FEG70" s="122"/>
      <c r="FEH70" s="122"/>
      <c r="FEI70" s="122"/>
      <c r="FEJ70" s="122"/>
      <c r="FEK70" s="122"/>
      <c r="FEL70" s="122"/>
      <c r="FEM70" s="122"/>
      <c r="FEN70" s="122"/>
      <c r="FEO70" s="122"/>
      <c r="FEP70" s="122"/>
      <c r="FEQ70" s="122"/>
      <c r="FER70" s="122"/>
      <c r="FES70" s="122"/>
      <c r="FET70" s="122"/>
      <c r="FEU70" s="122"/>
      <c r="FEV70" s="122"/>
      <c r="FEW70" s="122"/>
      <c r="FEX70" s="122"/>
      <c r="FEY70" s="122"/>
      <c r="FEZ70" s="122"/>
      <c r="FFA70" s="122"/>
      <c r="FFB70" s="122"/>
      <c r="FFC70" s="122"/>
      <c r="FFD70" s="122"/>
      <c r="FFE70" s="122"/>
      <c r="FFF70" s="122"/>
      <c r="FFG70" s="122"/>
      <c r="FFH70" s="122"/>
      <c r="FFI70" s="122"/>
      <c r="FFJ70" s="122"/>
      <c r="FFK70" s="122"/>
      <c r="FFL70" s="122"/>
      <c r="FFM70" s="122"/>
      <c r="FFN70" s="122"/>
      <c r="FFO70" s="122"/>
      <c r="FFP70" s="122"/>
      <c r="FFQ70" s="122"/>
      <c r="FFR70" s="122"/>
      <c r="FFS70" s="122"/>
      <c r="FFT70" s="122"/>
      <c r="FFU70" s="122"/>
      <c r="FFV70" s="122"/>
      <c r="FFW70" s="122"/>
      <c r="FFX70" s="122"/>
      <c r="FFY70" s="122"/>
      <c r="FFZ70" s="122"/>
      <c r="FGA70" s="122"/>
      <c r="FGB70" s="122"/>
      <c r="FGC70" s="122"/>
      <c r="FGD70" s="122"/>
      <c r="FGE70" s="122"/>
      <c r="FGF70" s="122"/>
      <c r="FGG70" s="122"/>
      <c r="FGH70" s="122"/>
      <c r="FGI70" s="122"/>
      <c r="FGJ70" s="122"/>
      <c r="FGK70" s="122"/>
      <c r="FGL70" s="122"/>
      <c r="FGM70" s="122"/>
      <c r="FGN70" s="122"/>
      <c r="FGO70" s="122"/>
      <c r="FGP70" s="122"/>
      <c r="FGQ70" s="122"/>
      <c r="FGR70" s="122"/>
      <c r="FGS70" s="122"/>
      <c r="FGT70" s="122"/>
      <c r="FGU70" s="122"/>
      <c r="FGV70" s="122"/>
      <c r="FGW70" s="122"/>
      <c r="FGX70" s="122"/>
      <c r="FGY70" s="122"/>
      <c r="FGZ70" s="122"/>
      <c r="FHA70" s="122"/>
      <c r="FHB70" s="122"/>
      <c r="FHC70" s="122"/>
      <c r="FHD70" s="122"/>
      <c r="FHE70" s="122"/>
      <c r="FHF70" s="122"/>
      <c r="FHG70" s="122"/>
      <c r="FHH70" s="122"/>
      <c r="FHI70" s="122"/>
      <c r="FHJ70" s="122"/>
      <c r="FHK70" s="122"/>
      <c r="FHL70" s="122"/>
      <c r="FHM70" s="122"/>
      <c r="FHN70" s="122"/>
      <c r="FHO70" s="122"/>
      <c r="FHP70" s="122"/>
      <c r="FHQ70" s="122"/>
      <c r="FHR70" s="122"/>
      <c r="FHS70" s="122"/>
      <c r="FHT70" s="122"/>
      <c r="FHU70" s="122"/>
      <c r="FHV70" s="122"/>
      <c r="FHW70" s="122"/>
      <c r="FHX70" s="122"/>
      <c r="FHY70" s="122"/>
      <c r="FHZ70" s="122"/>
      <c r="FIA70" s="122"/>
      <c r="FIB70" s="122"/>
      <c r="FIC70" s="122"/>
      <c r="FID70" s="122"/>
      <c r="FIE70" s="122"/>
      <c r="FIF70" s="122"/>
      <c r="FIG70" s="122"/>
      <c r="FIH70" s="122"/>
      <c r="FII70" s="122"/>
      <c r="FIJ70" s="122"/>
      <c r="FIK70" s="122"/>
      <c r="FIL70" s="122"/>
      <c r="FIM70" s="122"/>
      <c r="FIN70" s="122"/>
      <c r="FIO70" s="122"/>
      <c r="FIP70" s="122"/>
      <c r="FIQ70" s="122"/>
      <c r="FIR70" s="122"/>
      <c r="FIS70" s="122"/>
      <c r="FIT70" s="122"/>
      <c r="FIU70" s="122"/>
      <c r="FIV70" s="122"/>
      <c r="FIW70" s="122"/>
      <c r="FIX70" s="122"/>
      <c r="FIY70" s="122"/>
      <c r="FIZ70" s="122"/>
      <c r="FJA70" s="122"/>
      <c r="FJB70" s="122"/>
      <c r="FJC70" s="122"/>
      <c r="FJD70" s="122"/>
      <c r="FJE70" s="122"/>
      <c r="FJF70" s="122"/>
      <c r="FJG70" s="122"/>
      <c r="FJH70" s="122"/>
      <c r="FJI70" s="122"/>
      <c r="FJJ70" s="122"/>
      <c r="FJK70" s="122"/>
      <c r="FJL70" s="122"/>
      <c r="FJM70" s="122"/>
      <c r="FJN70" s="122"/>
      <c r="FJO70" s="122"/>
      <c r="FJP70" s="122"/>
      <c r="FJQ70" s="122"/>
      <c r="FJR70" s="122"/>
      <c r="FJS70" s="122"/>
      <c r="FJT70" s="122"/>
      <c r="FJU70" s="122"/>
      <c r="FJV70" s="122"/>
      <c r="FJW70" s="122"/>
      <c r="FJX70" s="122"/>
      <c r="FJY70" s="122"/>
      <c r="FJZ70" s="122"/>
      <c r="FKA70" s="122"/>
      <c r="FKB70" s="122"/>
      <c r="FKC70" s="122"/>
      <c r="FKD70" s="122"/>
      <c r="FKE70" s="122"/>
      <c r="FKF70" s="122"/>
      <c r="FKG70" s="122"/>
      <c r="FKH70" s="122"/>
      <c r="FKI70" s="122"/>
      <c r="FKJ70" s="122"/>
      <c r="FKK70" s="122"/>
      <c r="FKL70" s="122"/>
      <c r="FKM70" s="122"/>
      <c r="FKN70" s="122"/>
      <c r="FKO70" s="122"/>
      <c r="FKP70" s="122"/>
      <c r="FKQ70" s="122"/>
      <c r="FKR70" s="122"/>
      <c r="FKS70" s="122"/>
      <c r="FKT70" s="122"/>
      <c r="FKU70" s="122"/>
      <c r="FKV70" s="122"/>
      <c r="FKW70" s="122"/>
      <c r="FKX70" s="122"/>
      <c r="FKY70" s="122"/>
      <c r="FKZ70" s="122"/>
      <c r="FLA70" s="122"/>
      <c r="FLB70" s="122"/>
      <c r="FLC70" s="122"/>
      <c r="FLD70" s="122"/>
      <c r="FLE70" s="122"/>
      <c r="FLF70" s="122"/>
      <c r="FLG70" s="122"/>
      <c r="FLH70" s="122"/>
      <c r="FLI70" s="122"/>
      <c r="FLJ70" s="122"/>
      <c r="FLK70" s="122"/>
      <c r="FLL70" s="122"/>
      <c r="FLM70" s="122"/>
      <c r="FLN70" s="122"/>
      <c r="FLO70" s="122"/>
      <c r="FLP70" s="122"/>
      <c r="FLQ70" s="122"/>
      <c r="FLR70" s="122"/>
      <c r="FLS70" s="122"/>
      <c r="FLT70" s="122"/>
      <c r="FLU70" s="122"/>
      <c r="FLV70" s="122"/>
      <c r="FLW70" s="122"/>
      <c r="FLX70" s="122"/>
      <c r="FLY70" s="122"/>
      <c r="FLZ70" s="122"/>
      <c r="FMA70" s="122"/>
      <c r="FMB70" s="122"/>
      <c r="FMC70" s="122"/>
      <c r="FMD70" s="122"/>
      <c r="FME70" s="122"/>
      <c r="FMF70" s="122"/>
      <c r="FMG70" s="122"/>
      <c r="FMH70" s="122"/>
      <c r="FMI70" s="122"/>
      <c r="FMJ70" s="122"/>
      <c r="FMK70" s="122"/>
      <c r="FML70" s="122"/>
      <c r="FMM70" s="122"/>
      <c r="FMN70" s="122"/>
      <c r="FMO70" s="122"/>
      <c r="FMP70" s="122"/>
      <c r="FMQ70" s="122"/>
      <c r="FMR70" s="122"/>
      <c r="FMS70" s="122"/>
      <c r="FMT70" s="122"/>
      <c r="FMU70" s="122"/>
      <c r="FMV70" s="122"/>
      <c r="FMW70" s="122"/>
      <c r="FMX70" s="122"/>
      <c r="FMY70" s="122"/>
      <c r="FMZ70" s="122"/>
      <c r="FNA70" s="122"/>
      <c r="FNB70" s="122"/>
      <c r="FNC70" s="122"/>
      <c r="FND70" s="122"/>
      <c r="FNE70" s="122"/>
      <c r="FNF70" s="122"/>
      <c r="FNG70" s="122"/>
      <c r="FNH70" s="122"/>
      <c r="FNI70" s="122"/>
      <c r="FNJ70" s="122"/>
      <c r="FNK70" s="122"/>
      <c r="FNL70" s="122"/>
      <c r="FNM70" s="122"/>
      <c r="FNN70" s="122"/>
      <c r="FNO70" s="122"/>
      <c r="FNP70" s="122"/>
      <c r="FNQ70" s="122"/>
      <c r="FNR70" s="122"/>
      <c r="FNS70" s="122"/>
      <c r="FNT70" s="122"/>
      <c r="FNU70" s="122"/>
      <c r="FNV70" s="122"/>
      <c r="FNW70" s="122"/>
      <c r="FNX70" s="122"/>
      <c r="FNY70" s="122"/>
      <c r="FNZ70" s="122"/>
      <c r="FOA70" s="122"/>
      <c r="FOB70" s="122"/>
      <c r="FOC70" s="122"/>
      <c r="FOD70" s="122"/>
      <c r="FOE70" s="122"/>
      <c r="FOF70" s="122"/>
      <c r="FOG70" s="122"/>
      <c r="FOH70" s="122"/>
      <c r="FOI70" s="122"/>
      <c r="FOJ70" s="122"/>
      <c r="FOK70" s="122"/>
      <c r="FOL70" s="122"/>
      <c r="FOM70" s="122"/>
      <c r="FON70" s="122"/>
      <c r="FOO70" s="122"/>
      <c r="FOP70" s="122"/>
      <c r="FOQ70" s="122"/>
      <c r="FOR70" s="122"/>
      <c r="FOS70" s="122"/>
      <c r="FOT70" s="122"/>
      <c r="FOU70" s="122"/>
      <c r="FOV70" s="122"/>
      <c r="FOW70" s="122"/>
      <c r="FOX70" s="122"/>
      <c r="FOY70" s="122"/>
      <c r="FOZ70" s="122"/>
      <c r="FPA70" s="122"/>
      <c r="FPB70" s="122"/>
      <c r="FPC70" s="122"/>
      <c r="FPD70" s="122"/>
      <c r="FPE70" s="122"/>
      <c r="FPF70" s="122"/>
      <c r="FPG70" s="122"/>
      <c r="FPH70" s="122"/>
      <c r="FPI70" s="122"/>
      <c r="FPJ70" s="122"/>
      <c r="FPK70" s="122"/>
      <c r="FPL70" s="122"/>
      <c r="FPM70" s="122"/>
      <c r="FPN70" s="122"/>
      <c r="FPO70" s="122"/>
      <c r="FPP70" s="122"/>
      <c r="FPQ70" s="122"/>
      <c r="FPR70" s="122"/>
      <c r="FPS70" s="122"/>
      <c r="FPT70" s="122"/>
      <c r="FPU70" s="122"/>
      <c r="FPV70" s="122"/>
      <c r="FPW70" s="122"/>
      <c r="FPX70" s="122"/>
      <c r="FPY70" s="122"/>
      <c r="FPZ70" s="122"/>
      <c r="FQA70" s="122"/>
      <c r="FQB70" s="122"/>
      <c r="FQC70" s="122"/>
      <c r="FQD70" s="122"/>
      <c r="FQE70" s="122"/>
      <c r="FQF70" s="122"/>
      <c r="FQG70" s="122"/>
      <c r="FQH70" s="122"/>
      <c r="FQI70" s="122"/>
      <c r="FQJ70" s="122"/>
      <c r="FQK70" s="122"/>
      <c r="FQL70" s="122"/>
      <c r="FQM70" s="122"/>
      <c r="FQN70" s="122"/>
      <c r="FQO70" s="122"/>
      <c r="FQP70" s="122"/>
      <c r="FQQ70" s="122"/>
      <c r="FQR70" s="122"/>
      <c r="FQS70" s="122"/>
      <c r="FQT70" s="122"/>
      <c r="FQU70" s="122"/>
      <c r="FQV70" s="122"/>
      <c r="FQW70" s="122"/>
      <c r="FQX70" s="122"/>
      <c r="FQY70" s="122"/>
      <c r="FQZ70" s="122"/>
      <c r="FRA70" s="122"/>
      <c r="FRB70" s="122"/>
      <c r="FRC70" s="122"/>
      <c r="FRD70" s="122"/>
      <c r="FRE70" s="122"/>
      <c r="FRF70" s="122"/>
      <c r="FRG70" s="122"/>
      <c r="FRH70" s="122"/>
      <c r="FRI70" s="122"/>
      <c r="FRJ70" s="122"/>
      <c r="FRK70" s="122"/>
      <c r="FRL70" s="122"/>
      <c r="FRM70" s="122"/>
      <c r="FRN70" s="122"/>
      <c r="FRO70" s="122"/>
      <c r="FRP70" s="122"/>
      <c r="FRQ70" s="122"/>
      <c r="FRR70" s="122"/>
      <c r="FRS70" s="122"/>
      <c r="FRT70" s="122"/>
      <c r="FRU70" s="122"/>
      <c r="FRV70" s="122"/>
      <c r="FRW70" s="122"/>
      <c r="FRX70" s="122"/>
      <c r="FRY70" s="122"/>
      <c r="FRZ70" s="122"/>
      <c r="FSA70" s="122"/>
      <c r="FSB70" s="122"/>
      <c r="FSC70" s="122"/>
      <c r="FSD70" s="122"/>
      <c r="FSE70" s="122"/>
      <c r="FSF70" s="122"/>
      <c r="FSG70" s="122"/>
      <c r="FSH70" s="122"/>
      <c r="FSI70" s="122"/>
      <c r="FSJ70" s="122"/>
      <c r="FSK70" s="122"/>
      <c r="FSL70" s="122"/>
      <c r="FSM70" s="122"/>
      <c r="FSN70" s="122"/>
      <c r="FSO70" s="122"/>
      <c r="FSP70" s="122"/>
      <c r="FSQ70" s="122"/>
      <c r="FSR70" s="122"/>
      <c r="FSS70" s="122"/>
      <c r="FST70" s="122"/>
      <c r="FSU70" s="122"/>
      <c r="FSV70" s="122"/>
      <c r="FSW70" s="122"/>
      <c r="FSX70" s="122"/>
      <c r="FSY70" s="122"/>
      <c r="FSZ70" s="122"/>
      <c r="FTA70" s="122"/>
      <c r="FTB70" s="122"/>
      <c r="FTC70" s="122"/>
      <c r="FTD70" s="122"/>
      <c r="FTE70" s="122"/>
      <c r="FTF70" s="122"/>
      <c r="FTG70" s="122"/>
      <c r="FTH70" s="122"/>
      <c r="FTI70" s="122"/>
      <c r="FTJ70" s="122"/>
      <c r="FTK70" s="122"/>
      <c r="FTL70" s="122"/>
      <c r="FTM70" s="122"/>
      <c r="FTN70" s="122"/>
      <c r="FTO70" s="122"/>
      <c r="FTP70" s="122"/>
      <c r="FTQ70" s="122"/>
      <c r="FTR70" s="122"/>
      <c r="FTS70" s="122"/>
      <c r="FTT70" s="122"/>
      <c r="FTU70" s="122"/>
      <c r="FTV70" s="122"/>
      <c r="FTW70" s="122"/>
      <c r="FTX70" s="122"/>
      <c r="FTY70" s="122"/>
      <c r="FTZ70" s="122"/>
      <c r="FUA70" s="122"/>
      <c r="FUB70" s="122"/>
      <c r="FUC70" s="122"/>
      <c r="FUD70" s="122"/>
      <c r="FUE70" s="122"/>
      <c r="FUF70" s="122"/>
      <c r="FUG70" s="122"/>
      <c r="FUH70" s="122"/>
      <c r="FUI70" s="122"/>
      <c r="FUJ70" s="122"/>
      <c r="FUK70" s="122"/>
      <c r="FUL70" s="122"/>
      <c r="FUM70" s="122"/>
      <c r="FUN70" s="122"/>
      <c r="FUO70" s="122"/>
      <c r="FUP70" s="122"/>
      <c r="FUQ70" s="122"/>
      <c r="FUR70" s="122"/>
      <c r="FUS70" s="122"/>
      <c r="FUT70" s="122"/>
      <c r="FUU70" s="122"/>
      <c r="FUV70" s="122"/>
      <c r="FUW70" s="122"/>
      <c r="FUX70" s="122"/>
      <c r="FUY70" s="122"/>
      <c r="FUZ70" s="122"/>
      <c r="FVA70" s="122"/>
      <c r="FVB70" s="122"/>
      <c r="FVC70" s="122"/>
      <c r="FVD70" s="122"/>
      <c r="FVE70" s="122"/>
      <c r="FVF70" s="122"/>
      <c r="FVG70" s="122"/>
      <c r="FVH70" s="122"/>
      <c r="FVI70" s="122"/>
      <c r="FVJ70" s="122"/>
      <c r="FVK70" s="122"/>
      <c r="FVL70" s="122"/>
      <c r="FVM70" s="122"/>
      <c r="FVN70" s="122"/>
      <c r="FVO70" s="122"/>
      <c r="FVP70" s="122"/>
      <c r="FVQ70" s="122"/>
      <c r="FVR70" s="122"/>
      <c r="FVS70" s="122"/>
      <c r="FVT70" s="122"/>
      <c r="FVU70" s="122"/>
      <c r="FVV70" s="122"/>
      <c r="FVW70" s="122"/>
      <c r="FVX70" s="122"/>
      <c r="FVY70" s="122"/>
      <c r="FVZ70" s="122"/>
      <c r="FWA70" s="122"/>
      <c r="FWB70" s="122"/>
      <c r="FWC70" s="122"/>
      <c r="FWD70" s="122"/>
      <c r="FWE70" s="122"/>
      <c r="FWF70" s="122"/>
      <c r="FWG70" s="122"/>
      <c r="FWH70" s="122"/>
      <c r="FWI70" s="122"/>
      <c r="FWJ70" s="122"/>
      <c r="FWK70" s="122"/>
      <c r="FWL70" s="122"/>
      <c r="FWM70" s="122"/>
      <c r="FWN70" s="122"/>
      <c r="FWO70" s="122"/>
      <c r="FWP70" s="122"/>
      <c r="FWQ70" s="122"/>
      <c r="FWR70" s="122"/>
      <c r="FWS70" s="122"/>
      <c r="FWT70" s="122"/>
      <c r="FWU70" s="122"/>
      <c r="FWV70" s="122"/>
      <c r="FWW70" s="122"/>
      <c r="FWX70" s="122"/>
      <c r="FWY70" s="122"/>
      <c r="FWZ70" s="122"/>
      <c r="FXA70" s="122"/>
      <c r="FXB70" s="122"/>
      <c r="FXC70" s="122"/>
      <c r="FXD70" s="122"/>
      <c r="FXE70" s="122"/>
      <c r="FXF70" s="122"/>
      <c r="FXG70" s="122"/>
      <c r="FXH70" s="122"/>
      <c r="FXI70" s="122"/>
      <c r="FXJ70" s="122"/>
      <c r="FXK70" s="122"/>
      <c r="FXL70" s="122"/>
      <c r="FXM70" s="122"/>
      <c r="FXN70" s="122"/>
      <c r="FXO70" s="122"/>
      <c r="FXP70" s="122"/>
      <c r="FXQ70" s="122"/>
      <c r="FXR70" s="122"/>
      <c r="FXS70" s="122"/>
      <c r="FXT70" s="122"/>
      <c r="FXU70" s="122"/>
      <c r="FXV70" s="122"/>
      <c r="FXW70" s="122"/>
      <c r="FXX70" s="122"/>
      <c r="FXY70" s="122"/>
      <c r="FXZ70" s="122"/>
      <c r="FYA70" s="122"/>
      <c r="FYB70" s="122"/>
      <c r="FYC70" s="122"/>
      <c r="FYD70" s="122"/>
      <c r="FYE70" s="122"/>
      <c r="FYF70" s="122"/>
      <c r="FYG70" s="122"/>
      <c r="FYH70" s="122"/>
      <c r="FYI70" s="122"/>
      <c r="FYJ70" s="122"/>
      <c r="FYK70" s="122"/>
      <c r="FYL70" s="122"/>
      <c r="FYM70" s="122"/>
      <c r="FYN70" s="122"/>
      <c r="FYO70" s="122"/>
      <c r="FYP70" s="122"/>
      <c r="FYQ70" s="122"/>
      <c r="FYR70" s="122"/>
      <c r="FYS70" s="122"/>
      <c r="FYT70" s="122"/>
      <c r="FYU70" s="122"/>
      <c r="FYV70" s="122"/>
      <c r="FYW70" s="122"/>
      <c r="FYX70" s="122"/>
      <c r="FYY70" s="122"/>
      <c r="FYZ70" s="122"/>
      <c r="FZA70" s="122"/>
      <c r="FZB70" s="122"/>
      <c r="FZC70" s="122"/>
      <c r="FZD70" s="122"/>
      <c r="FZE70" s="122"/>
      <c r="FZF70" s="122"/>
      <c r="FZG70" s="122"/>
      <c r="FZH70" s="122"/>
      <c r="FZI70" s="122"/>
      <c r="FZJ70" s="122"/>
      <c r="FZK70" s="122"/>
      <c r="FZL70" s="122"/>
      <c r="FZM70" s="122"/>
      <c r="FZN70" s="122"/>
      <c r="FZO70" s="122"/>
      <c r="FZP70" s="122"/>
      <c r="FZQ70" s="122"/>
      <c r="FZR70" s="122"/>
      <c r="FZS70" s="122"/>
      <c r="FZT70" s="122"/>
      <c r="FZU70" s="122"/>
      <c r="FZV70" s="122"/>
      <c r="FZW70" s="122"/>
      <c r="FZX70" s="122"/>
      <c r="FZY70" s="122"/>
      <c r="FZZ70" s="122"/>
      <c r="GAA70" s="122"/>
      <c r="GAB70" s="122"/>
      <c r="GAC70" s="122"/>
      <c r="GAD70" s="122"/>
      <c r="GAE70" s="122"/>
      <c r="GAF70" s="122"/>
      <c r="GAG70" s="122"/>
      <c r="GAH70" s="122"/>
      <c r="GAI70" s="122"/>
      <c r="GAJ70" s="122"/>
      <c r="GAK70" s="122"/>
      <c r="GAL70" s="122"/>
      <c r="GAM70" s="122"/>
      <c r="GAN70" s="122"/>
      <c r="GAO70" s="122"/>
      <c r="GAP70" s="122"/>
      <c r="GAQ70" s="122"/>
      <c r="GAR70" s="122"/>
      <c r="GAS70" s="122"/>
      <c r="GAT70" s="122"/>
      <c r="GAU70" s="122"/>
      <c r="GAV70" s="122"/>
      <c r="GAW70" s="122"/>
      <c r="GAX70" s="122"/>
      <c r="GAY70" s="122"/>
      <c r="GAZ70" s="122"/>
      <c r="GBA70" s="122"/>
      <c r="GBB70" s="122"/>
      <c r="GBC70" s="122"/>
      <c r="GBD70" s="122"/>
      <c r="GBE70" s="122"/>
      <c r="GBF70" s="122"/>
      <c r="GBG70" s="122"/>
      <c r="GBH70" s="122"/>
      <c r="GBI70" s="122"/>
      <c r="GBJ70" s="122"/>
      <c r="GBK70" s="122"/>
      <c r="GBL70" s="122"/>
      <c r="GBM70" s="122"/>
      <c r="GBN70" s="122"/>
      <c r="GBO70" s="122"/>
      <c r="GBP70" s="122"/>
      <c r="GBQ70" s="122"/>
      <c r="GBR70" s="122"/>
      <c r="GBS70" s="122"/>
      <c r="GBT70" s="122"/>
      <c r="GBU70" s="122"/>
      <c r="GBV70" s="122"/>
      <c r="GBW70" s="122"/>
      <c r="GBX70" s="122"/>
      <c r="GBY70" s="122"/>
      <c r="GBZ70" s="122"/>
      <c r="GCA70" s="122"/>
      <c r="GCB70" s="122"/>
      <c r="GCC70" s="122"/>
      <c r="GCD70" s="122"/>
      <c r="GCE70" s="122"/>
      <c r="GCF70" s="122"/>
      <c r="GCG70" s="122"/>
      <c r="GCH70" s="122"/>
      <c r="GCI70" s="122"/>
      <c r="GCJ70" s="122"/>
      <c r="GCK70" s="122"/>
      <c r="GCL70" s="122"/>
      <c r="GCM70" s="122"/>
      <c r="GCN70" s="122"/>
      <c r="GCO70" s="122"/>
      <c r="GCP70" s="122"/>
      <c r="GCQ70" s="122"/>
      <c r="GCR70" s="122"/>
      <c r="GCS70" s="122"/>
      <c r="GCT70" s="122"/>
      <c r="GCU70" s="122"/>
      <c r="GCV70" s="122"/>
      <c r="GCW70" s="122"/>
      <c r="GCX70" s="122"/>
      <c r="GCY70" s="122"/>
      <c r="GCZ70" s="122"/>
      <c r="GDA70" s="122"/>
      <c r="GDB70" s="122"/>
      <c r="GDC70" s="122"/>
      <c r="GDD70" s="122"/>
      <c r="GDE70" s="122"/>
      <c r="GDF70" s="122"/>
      <c r="GDG70" s="122"/>
      <c r="GDH70" s="122"/>
      <c r="GDI70" s="122"/>
      <c r="GDJ70" s="122"/>
      <c r="GDK70" s="122"/>
      <c r="GDL70" s="122"/>
      <c r="GDM70" s="122"/>
      <c r="GDN70" s="122"/>
      <c r="GDO70" s="122"/>
      <c r="GDP70" s="122"/>
      <c r="GDQ70" s="122"/>
      <c r="GDR70" s="122"/>
      <c r="GDS70" s="122"/>
      <c r="GDT70" s="122"/>
      <c r="GDU70" s="122"/>
      <c r="GDV70" s="122"/>
      <c r="GDW70" s="122"/>
      <c r="GDX70" s="122"/>
      <c r="GDY70" s="122"/>
      <c r="GDZ70" s="122"/>
      <c r="GEA70" s="122"/>
      <c r="GEB70" s="122"/>
      <c r="GEC70" s="122"/>
      <c r="GED70" s="122"/>
      <c r="GEE70" s="122"/>
      <c r="GEF70" s="122"/>
      <c r="GEG70" s="122"/>
      <c r="GEH70" s="122"/>
      <c r="GEI70" s="122"/>
      <c r="GEJ70" s="122"/>
      <c r="GEK70" s="122"/>
      <c r="GEL70" s="122"/>
      <c r="GEM70" s="122"/>
      <c r="GEN70" s="122"/>
      <c r="GEO70" s="122"/>
      <c r="GEP70" s="122"/>
      <c r="GEQ70" s="122"/>
      <c r="GER70" s="122"/>
      <c r="GES70" s="122"/>
      <c r="GET70" s="122"/>
      <c r="GEU70" s="122"/>
      <c r="GEV70" s="122"/>
      <c r="GEW70" s="122"/>
      <c r="GEX70" s="122"/>
      <c r="GEY70" s="122"/>
      <c r="GEZ70" s="122"/>
      <c r="GFA70" s="122"/>
      <c r="GFB70" s="122"/>
      <c r="GFC70" s="122"/>
      <c r="GFD70" s="122"/>
      <c r="GFE70" s="122"/>
      <c r="GFF70" s="122"/>
      <c r="GFG70" s="122"/>
      <c r="GFH70" s="122"/>
      <c r="GFI70" s="122"/>
      <c r="GFJ70" s="122"/>
      <c r="GFK70" s="122"/>
      <c r="GFL70" s="122"/>
      <c r="GFM70" s="122"/>
      <c r="GFN70" s="122"/>
      <c r="GFO70" s="122"/>
      <c r="GFP70" s="122"/>
      <c r="GFQ70" s="122"/>
      <c r="GFR70" s="122"/>
      <c r="GFS70" s="122"/>
      <c r="GFT70" s="122"/>
      <c r="GFU70" s="122"/>
      <c r="GFV70" s="122"/>
      <c r="GFW70" s="122"/>
      <c r="GFX70" s="122"/>
      <c r="GFY70" s="122"/>
      <c r="GFZ70" s="122"/>
      <c r="GGA70" s="122"/>
      <c r="GGB70" s="122"/>
      <c r="GGC70" s="122"/>
      <c r="GGD70" s="122"/>
      <c r="GGE70" s="122"/>
      <c r="GGF70" s="122"/>
      <c r="GGG70" s="122"/>
      <c r="GGH70" s="122"/>
      <c r="GGI70" s="122"/>
      <c r="GGJ70" s="122"/>
      <c r="GGK70" s="122"/>
      <c r="GGL70" s="122"/>
      <c r="GGM70" s="122"/>
      <c r="GGN70" s="122"/>
      <c r="GGO70" s="122"/>
      <c r="GGP70" s="122"/>
      <c r="GGQ70" s="122"/>
      <c r="GGR70" s="122"/>
      <c r="GGS70" s="122"/>
      <c r="GGT70" s="122"/>
      <c r="GGU70" s="122"/>
      <c r="GGV70" s="122"/>
      <c r="GGW70" s="122"/>
      <c r="GGX70" s="122"/>
      <c r="GGY70" s="122"/>
      <c r="GGZ70" s="122"/>
      <c r="GHA70" s="122"/>
      <c r="GHB70" s="122"/>
      <c r="GHC70" s="122"/>
      <c r="GHD70" s="122"/>
      <c r="GHE70" s="122"/>
      <c r="GHF70" s="122"/>
      <c r="GHG70" s="122"/>
      <c r="GHH70" s="122"/>
      <c r="GHI70" s="122"/>
      <c r="GHJ70" s="122"/>
      <c r="GHK70" s="122"/>
      <c r="GHL70" s="122"/>
      <c r="GHM70" s="122"/>
      <c r="GHN70" s="122"/>
      <c r="GHO70" s="122"/>
      <c r="GHP70" s="122"/>
      <c r="GHQ70" s="122"/>
      <c r="GHR70" s="122"/>
      <c r="GHS70" s="122"/>
      <c r="GHT70" s="122"/>
      <c r="GHU70" s="122"/>
      <c r="GHV70" s="122"/>
      <c r="GHW70" s="122"/>
      <c r="GHX70" s="122"/>
      <c r="GHY70" s="122"/>
      <c r="GHZ70" s="122"/>
      <c r="GIA70" s="122"/>
      <c r="GIB70" s="122"/>
      <c r="GIC70" s="122"/>
      <c r="GID70" s="122"/>
      <c r="GIE70" s="122"/>
      <c r="GIF70" s="122"/>
      <c r="GIG70" s="122"/>
      <c r="GIH70" s="122"/>
      <c r="GII70" s="122"/>
      <c r="GIJ70" s="122"/>
      <c r="GIK70" s="122"/>
      <c r="GIL70" s="122"/>
      <c r="GIM70" s="122"/>
      <c r="GIN70" s="122"/>
      <c r="GIO70" s="122"/>
      <c r="GIP70" s="122"/>
      <c r="GIQ70" s="122"/>
      <c r="GIR70" s="122"/>
      <c r="GIS70" s="122"/>
      <c r="GIT70" s="122"/>
      <c r="GIU70" s="122"/>
      <c r="GIV70" s="122"/>
      <c r="GIW70" s="122"/>
      <c r="GIX70" s="122"/>
      <c r="GIY70" s="122"/>
      <c r="GIZ70" s="122"/>
      <c r="GJA70" s="122"/>
      <c r="GJB70" s="122"/>
      <c r="GJC70" s="122"/>
      <c r="GJD70" s="122"/>
      <c r="GJE70" s="122"/>
      <c r="GJF70" s="122"/>
      <c r="GJG70" s="122"/>
      <c r="GJH70" s="122"/>
      <c r="GJI70" s="122"/>
      <c r="GJJ70" s="122"/>
      <c r="GJK70" s="122"/>
      <c r="GJL70" s="122"/>
      <c r="GJM70" s="122"/>
      <c r="GJN70" s="122"/>
      <c r="GJO70" s="122"/>
      <c r="GJP70" s="122"/>
      <c r="GJQ70" s="122"/>
      <c r="GJR70" s="122"/>
      <c r="GJS70" s="122"/>
      <c r="GJT70" s="122"/>
      <c r="GJU70" s="122"/>
      <c r="GJV70" s="122"/>
      <c r="GJW70" s="122"/>
      <c r="GJX70" s="122"/>
      <c r="GJY70" s="122"/>
      <c r="GJZ70" s="122"/>
      <c r="GKA70" s="122"/>
      <c r="GKB70" s="122"/>
      <c r="GKC70" s="122"/>
      <c r="GKD70" s="122"/>
      <c r="GKE70" s="122"/>
      <c r="GKF70" s="122"/>
      <c r="GKG70" s="122"/>
      <c r="GKH70" s="122"/>
      <c r="GKI70" s="122"/>
      <c r="GKJ70" s="122"/>
      <c r="GKK70" s="122"/>
      <c r="GKL70" s="122"/>
      <c r="GKM70" s="122"/>
      <c r="GKN70" s="122"/>
      <c r="GKO70" s="122"/>
      <c r="GKP70" s="122"/>
      <c r="GKQ70" s="122"/>
      <c r="GKR70" s="122"/>
      <c r="GKS70" s="122"/>
      <c r="GKT70" s="122"/>
      <c r="GKU70" s="122"/>
      <c r="GKV70" s="122"/>
      <c r="GKW70" s="122"/>
      <c r="GKX70" s="122"/>
      <c r="GKY70" s="122"/>
      <c r="GKZ70" s="122"/>
      <c r="GLA70" s="122"/>
      <c r="GLB70" s="122"/>
      <c r="GLC70" s="122"/>
      <c r="GLD70" s="122"/>
      <c r="GLE70" s="122"/>
      <c r="GLF70" s="122"/>
      <c r="GLG70" s="122"/>
      <c r="GLH70" s="122"/>
      <c r="GLI70" s="122"/>
      <c r="GLJ70" s="122"/>
      <c r="GLK70" s="122"/>
      <c r="GLL70" s="122"/>
      <c r="GLM70" s="122"/>
      <c r="GLN70" s="122"/>
      <c r="GLO70" s="122"/>
      <c r="GLP70" s="122"/>
      <c r="GLQ70" s="122"/>
      <c r="GLR70" s="122"/>
      <c r="GLS70" s="122"/>
      <c r="GLT70" s="122"/>
      <c r="GLU70" s="122"/>
      <c r="GLV70" s="122"/>
      <c r="GLW70" s="122"/>
      <c r="GLX70" s="122"/>
      <c r="GLY70" s="122"/>
      <c r="GLZ70" s="122"/>
      <c r="GMA70" s="122"/>
      <c r="GMB70" s="122"/>
      <c r="GMC70" s="122"/>
      <c r="GMD70" s="122"/>
      <c r="GME70" s="122"/>
      <c r="GMF70" s="122"/>
      <c r="GMG70" s="122"/>
      <c r="GMH70" s="122"/>
      <c r="GMI70" s="122"/>
      <c r="GMJ70" s="122"/>
      <c r="GMK70" s="122"/>
      <c r="GML70" s="122"/>
      <c r="GMM70" s="122"/>
      <c r="GMN70" s="122"/>
      <c r="GMO70" s="122"/>
      <c r="GMP70" s="122"/>
      <c r="GMQ70" s="122"/>
      <c r="GMR70" s="122"/>
      <c r="GMS70" s="122"/>
      <c r="GMT70" s="122"/>
      <c r="GMU70" s="122"/>
      <c r="GMV70" s="122"/>
      <c r="GMW70" s="122"/>
      <c r="GMX70" s="122"/>
      <c r="GMY70" s="122"/>
      <c r="GMZ70" s="122"/>
      <c r="GNA70" s="122"/>
      <c r="GNB70" s="122"/>
      <c r="GNC70" s="122"/>
      <c r="GND70" s="122"/>
      <c r="GNE70" s="122"/>
      <c r="GNF70" s="122"/>
      <c r="GNG70" s="122"/>
      <c r="GNH70" s="122"/>
      <c r="GNI70" s="122"/>
      <c r="GNJ70" s="122"/>
      <c r="GNK70" s="122"/>
      <c r="GNL70" s="122"/>
      <c r="GNM70" s="122"/>
      <c r="GNN70" s="122"/>
      <c r="GNO70" s="122"/>
      <c r="GNP70" s="122"/>
      <c r="GNQ70" s="122"/>
      <c r="GNR70" s="122"/>
      <c r="GNS70" s="122"/>
      <c r="GNT70" s="122"/>
      <c r="GNU70" s="122"/>
      <c r="GNV70" s="122"/>
      <c r="GNW70" s="122"/>
      <c r="GNX70" s="122"/>
      <c r="GNY70" s="122"/>
      <c r="GNZ70" s="122"/>
      <c r="GOA70" s="122"/>
      <c r="GOB70" s="122"/>
      <c r="GOC70" s="122"/>
      <c r="GOD70" s="122"/>
      <c r="GOE70" s="122"/>
      <c r="GOF70" s="122"/>
      <c r="GOG70" s="122"/>
      <c r="GOH70" s="122"/>
      <c r="GOI70" s="122"/>
      <c r="GOJ70" s="122"/>
      <c r="GOK70" s="122"/>
      <c r="GOL70" s="122"/>
      <c r="GOM70" s="122"/>
      <c r="GON70" s="122"/>
      <c r="GOO70" s="122"/>
      <c r="GOP70" s="122"/>
      <c r="GOQ70" s="122"/>
      <c r="GOR70" s="122"/>
      <c r="GOS70" s="122"/>
      <c r="GOT70" s="122"/>
      <c r="GOU70" s="122"/>
      <c r="GOV70" s="122"/>
      <c r="GOW70" s="122"/>
      <c r="GOX70" s="122"/>
      <c r="GOY70" s="122"/>
      <c r="GOZ70" s="122"/>
      <c r="GPA70" s="122"/>
      <c r="GPB70" s="122"/>
      <c r="GPC70" s="122"/>
      <c r="GPD70" s="122"/>
      <c r="GPE70" s="122"/>
      <c r="GPF70" s="122"/>
      <c r="GPG70" s="122"/>
      <c r="GPH70" s="122"/>
      <c r="GPI70" s="122"/>
      <c r="GPJ70" s="122"/>
      <c r="GPK70" s="122"/>
      <c r="GPL70" s="122"/>
      <c r="GPM70" s="122"/>
      <c r="GPN70" s="122"/>
      <c r="GPO70" s="122"/>
      <c r="GPP70" s="122"/>
      <c r="GPQ70" s="122"/>
      <c r="GPR70" s="122"/>
      <c r="GPS70" s="122"/>
      <c r="GPT70" s="122"/>
      <c r="GPU70" s="122"/>
      <c r="GPV70" s="122"/>
      <c r="GPW70" s="122"/>
      <c r="GPX70" s="122"/>
      <c r="GPY70" s="122"/>
      <c r="GPZ70" s="122"/>
      <c r="GQA70" s="122"/>
      <c r="GQB70" s="122"/>
      <c r="GQC70" s="122"/>
      <c r="GQD70" s="122"/>
      <c r="GQE70" s="122"/>
      <c r="GQF70" s="122"/>
      <c r="GQG70" s="122"/>
      <c r="GQH70" s="122"/>
      <c r="GQI70" s="122"/>
      <c r="GQJ70" s="122"/>
      <c r="GQK70" s="122"/>
      <c r="GQL70" s="122"/>
      <c r="GQM70" s="122"/>
      <c r="GQN70" s="122"/>
      <c r="GQO70" s="122"/>
      <c r="GQP70" s="122"/>
      <c r="GQQ70" s="122"/>
      <c r="GQR70" s="122"/>
      <c r="GQS70" s="122"/>
      <c r="GQT70" s="122"/>
      <c r="GQU70" s="122"/>
      <c r="GQV70" s="122"/>
      <c r="GQW70" s="122"/>
      <c r="GQX70" s="122"/>
      <c r="GQY70" s="122"/>
      <c r="GQZ70" s="122"/>
      <c r="GRA70" s="122"/>
      <c r="GRB70" s="122"/>
      <c r="GRC70" s="122"/>
      <c r="GRD70" s="122"/>
      <c r="GRE70" s="122"/>
      <c r="GRF70" s="122"/>
      <c r="GRG70" s="122"/>
      <c r="GRH70" s="122"/>
      <c r="GRI70" s="122"/>
      <c r="GRJ70" s="122"/>
      <c r="GRK70" s="122"/>
      <c r="GRL70" s="122"/>
      <c r="GRM70" s="122"/>
      <c r="GRN70" s="122"/>
      <c r="GRO70" s="122"/>
      <c r="GRP70" s="122"/>
      <c r="GRQ70" s="122"/>
      <c r="GRR70" s="122"/>
      <c r="GRS70" s="122"/>
      <c r="GRT70" s="122"/>
      <c r="GRU70" s="122"/>
      <c r="GRV70" s="122"/>
      <c r="GRW70" s="122"/>
      <c r="GRX70" s="122"/>
      <c r="GRY70" s="122"/>
      <c r="GRZ70" s="122"/>
      <c r="GSA70" s="122"/>
      <c r="GSB70" s="122"/>
      <c r="GSC70" s="122"/>
      <c r="GSD70" s="122"/>
      <c r="GSE70" s="122"/>
      <c r="GSF70" s="122"/>
      <c r="GSG70" s="122"/>
      <c r="GSH70" s="122"/>
      <c r="GSI70" s="122"/>
      <c r="GSJ70" s="122"/>
      <c r="GSK70" s="122"/>
      <c r="GSL70" s="122"/>
      <c r="GSM70" s="122"/>
      <c r="GSN70" s="122"/>
      <c r="GSO70" s="122"/>
      <c r="GSP70" s="122"/>
      <c r="GSQ70" s="122"/>
      <c r="GSR70" s="122"/>
      <c r="GSS70" s="122"/>
      <c r="GST70" s="122"/>
      <c r="GSU70" s="122"/>
      <c r="GSV70" s="122"/>
      <c r="GSW70" s="122"/>
      <c r="GSX70" s="122"/>
      <c r="GSY70" s="122"/>
      <c r="GSZ70" s="122"/>
      <c r="GTA70" s="122"/>
      <c r="GTB70" s="122"/>
      <c r="GTC70" s="122"/>
      <c r="GTD70" s="122"/>
      <c r="GTE70" s="122"/>
      <c r="GTF70" s="122"/>
      <c r="GTG70" s="122"/>
      <c r="GTH70" s="122"/>
      <c r="GTI70" s="122"/>
      <c r="GTJ70" s="122"/>
      <c r="GTK70" s="122"/>
      <c r="GTL70" s="122"/>
      <c r="GTM70" s="122"/>
      <c r="GTN70" s="122"/>
      <c r="GTO70" s="122"/>
      <c r="GTP70" s="122"/>
      <c r="GTQ70" s="122"/>
      <c r="GTR70" s="122"/>
      <c r="GTS70" s="122"/>
      <c r="GTT70" s="122"/>
      <c r="GTU70" s="122"/>
      <c r="GTV70" s="122"/>
      <c r="GTW70" s="122"/>
      <c r="GTX70" s="122"/>
      <c r="GTY70" s="122"/>
      <c r="GTZ70" s="122"/>
      <c r="GUA70" s="122"/>
      <c r="GUB70" s="122"/>
      <c r="GUC70" s="122"/>
      <c r="GUD70" s="122"/>
      <c r="GUE70" s="122"/>
      <c r="GUF70" s="122"/>
      <c r="GUG70" s="122"/>
      <c r="GUH70" s="122"/>
      <c r="GUI70" s="122"/>
      <c r="GUJ70" s="122"/>
      <c r="GUK70" s="122"/>
      <c r="GUL70" s="122"/>
      <c r="GUM70" s="122"/>
      <c r="GUN70" s="122"/>
      <c r="GUO70" s="122"/>
      <c r="GUP70" s="122"/>
      <c r="GUQ70" s="122"/>
      <c r="GUR70" s="122"/>
      <c r="GUS70" s="122"/>
      <c r="GUT70" s="122"/>
      <c r="GUU70" s="122"/>
      <c r="GUV70" s="122"/>
      <c r="GUW70" s="122"/>
      <c r="GUX70" s="122"/>
      <c r="GUY70" s="122"/>
      <c r="GUZ70" s="122"/>
      <c r="GVA70" s="122"/>
      <c r="GVB70" s="122"/>
      <c r="GVC70" s="122"/>
      <c r="GVD70" s="122"/>
      <c r="GVE70" s="122"/>
      <c r="GVF70" s="122"/>
      <c r="GVG70" s="122"/>
      <c r="GVH70" s="122"/>
      <c r="GVI70" s="122"/>
      <c r="GVJ70" s="122"/>
      <c r="GVK70" s="122"/>
      <c r="GVL70" s="122"/>
      <c r="GVM70" s="122"/>
      <c r="GVN70" s="122"/>
      <c r="GVO70" s="122"/>
      <c r="GVP70" s="122"/>
      <c r="GVQ70" s="122"/>
      <c r="GVR70" s="122"/>
      <c r="GVS70" s="122"/>
      <c r="GVT70" s="122"/>
      <c r="GVU70" s="122"/>
      <c r="GVV70" s="122"/>
      <c r="GVW70" s="122"/>
      <c r="GVX70" s="122"/>
      <c r="GVY70" s="122"/>
      <c r="GVZ70" s="122"/>
      <c r="GWA70" s="122"/>
      <c r="GWB70" s="122"/>
      <c r="GWC70" s="122"/>
      <c r="GWD70" s="122"/>
      <c r="GWE70" s="122"/>
      <c r="GWF70" s="122"/>
      <c r="GWG70" s="122"/>
      <c r="GWH70" s="122"/>
      <c r="GWI70" s="122"/>
      <c r="GWJ70" s="122"/>
      <c r="GWK70" s="122"/>
      <c r="GWL70" s="122"/>
      <c r="GWM70" s="122"/>
      <c r="GWN70" s="122"/>
      <c r="GWO70" s="122"/>
      <c r="GWP70" s="122"/>
      <c r="GWQ70" s="122"/>
      <c r="GWR70" s="122"/>
      <c r="GWS70" s="122"/>
      <c r="GWT70" s="122"/>
      <c r="GWU70" s="122"/>
      <c r="GWV70" s="122"/>
      <c r="GWW70" s="122"/>
      <c r="GWX70" s="122"/>
      <c r="GWY70" s="122"/>
      <c r="GWZ70" s="122"/>
      <c r="GXA70" s="122"/>
      <c r="GXB70" s="122"/>
      <c r="GXC70" s="122"/>
      <c r="GXD70" s="122"/>
      <c r="GXE70" s="122"/>
      <c r="GXF70" s="122"/>
      <c r="GXG70" s="122"/>
      <c r="GXH70" s="122"/>
      <c r="GXI70" s="122"/>
      <c r="GXJ70" s="122"/>
      <c r="GXK70" s="122"/>
      <c r="GXL70" s="122"/>
      <c r="GXM70" s="122"/>
      <c r="GXN70" s="122"/>
      <c r="GXO70" s="122"/>
      <c r="GXP70" s="122"/>
      <c r="GXQ70" s="122"/>
      <c r="GXR70" s="122"/>
      <c r="GXS70" s="122"/>
      <c r="GXT70" s="122"/>
      <c r="GXU70" s="122"/>
      <c r="GXV70" s="122"/>
      <c r="GXW70" s="122"/>
      <c r="GXX70" s="122"/>
      <c r="GXY70" s="122"/>
      <c r="GXZ70" s="122"/>
      <c r="GYA70" s="122"/>
      <c r="GYB70" s="122"/>
      <c r="GYC70" s="122"/>
      <c r="GYD70" s="122"/>
      <c r="GYE70" s="122"/>
      <c r="GYF70" s="122"/>
      <c r="GYG70" s="122"/>
      <c r="GYH70" s="122"/>
      <c r="GYI70" s="122"/>
      <c r="GYJ70" s="122"/>
      <c r="GYK70" s="122"/>
      <c r="GYL70" s="122"/>
      <c r="GYM70" s="122"/>
      <c r="GYN70" s="122"/>
      <c r="GYO70" s="122"/>
      <c r="GYP70" s="122"/>
      <c r="GYQ70" s="122"/>
      <c r="GYR70" s="122"/>
      <c r="GYS70" s="122"/>
      <c r="GYT70" s="122"/>
      <c r="GYU70" s="122"/>
      <c r="GYV70" s="122"/>
      <c r="GYW70" s="122"/>
      <c r="GYX70" s="122"/>
      <c r="GYY70" s="122"/>
      <c r="GYZ70" s="122"/>
      <c r="GZA70" s="122"/>
      <c r="GZB70" s="122"/>
      <c r="GZC70" s="122"/>
      <c r="GZD70" s="122"/>
      <c r="GZE70" s="122"/>
      <c r="GZF70" s="122"/>
      <c r="GZG70" s="122"/>
      <c r="GZH70" s="122"/>
      <c r="GZI70" s="122"/>
      <c r="GZJ70" s="122"/>
      <c r="GZK70" s="122"/>
      <c r="GZL70" s="122"/>
      <c r="GZM70" s="122"/>
      <c r="GZN70" s="122"/>
      <c r="GZO70" s="122"/>
      <c r="GZP70" s="122"/>
      <c r="GZQ70" s="122"/>
      <c r="GZR70" s="122"/>
      <c r="GZS70" s="122"/>
      <c r="GZT70" s="122"/>
      <c r="GZU70" s="122"/>
      <c r="GZV70" s="122"/>
      <c r="GZW70" s="122"/>
      <c r="GZX70" s="122"/>
      <c r="GZY70" s="122"/>
      <c r="GZZ70" s="122"/>
      <c r="HAA70" s="122"/>
      <c r="HAB70" s="122"/>
      <c r="HAC70" s="122"/>
      <c r="HAD70" s="122"/>
      <c r="HAE70" s="122"/>
      <c r="HAF70" s="122"/>
      <c r="HAG70" s="122"/>
      <c r="HAH70" s="122"/>
      <c r="HAI70" s="122"/>
      <c r="HAJ70" s="122"/>
      <c r="HAK70" s="122"/>
      <c r="HAL70" s="122"/>
      <c r="HAM70" s="122"/>
      <c r="HAN70" s="122"/>
      <c r="HAO70" s="122"/>
      <c r="HAP70" s="122"/>
      <c r="HAQ70" s="122"/>
      <c r="HAR70" s="122"/>
      <c r="HAS70" s="122"/>
      <c r="HAT70" s="122"/>
      <c r="HAU70" s="122"/>
      <c r="HAV70" s="122"/>
      <c r="HAW70" s="122"/>
      <c r="HAX70" s="122"/>
      <c r="HAY70" s="122"/>
      <c r="HAZ70" s="122"/>
      <c r="HBA70" s="122"/>
      <c r="HBB70" s="122"/>
      <c r="HBC70" s="122"/>
      <c r="HBD70" s="122"/>
      <c r="HBE70" s="122"/>
      <c r="HBF70" s="122"/>
      <c r="HBG70" s="122"/>
      <c r="HBH70" s="122"/>
      <c r="HBI70" s="122"/>
      <c r="HBJ70" s="122"/>
      <c r="HBK70" s="122"/>
      <c r="HBL70" s="122"/>
      <c r="HBM70" s="122"/>
      <c r="HBN70" s="122"/>
      <c r="HBO70" s="122"/>
      <c r="HBP70" s="122"/>
      <c r="HBQ70" s="122"/>
      <c r="HBR70" s="122"/>
      <c r="HBS70" s="122"/>
      <c r="HBT70" s="122"/>
      <c r="HBU70" s="122"/>
      <c r="HBV70" s="122"/>
      <c r="HBW70" s="122"/>
      <c r="HBX70" s="122"/>
      <c r="HBY70" s="122"/>
      <c r="HBZ70" s="122"/>
      <c r="HCA70" s="122"/>
      <c r="HCB70" s="122"/>
      <c r="HCC70" s="122"/>
      <c r="HCD70" s="122"/>
      <c r="HCE70" s="122"/>
      <c r="HCF70" s="122"/>
      <c r="HCG70" s="122"/>
      <c r="HCH70" s="122"/>
      <c r="HCI70" s="122"/>
      <c r="HCJ70" s="122"/>
      <c r="HCK70" s="122"/>
      <c r="HCL70" s="122"/>
      <c r="HCM70" s="122"/>
      <c r="HCN70" s="122"/>
      <c r="HCO70" s="122"/>
      <c r="HCP70" s="122"/>
      <c r="HCQ70" s="122"/>
      <c r="HCR70" s="122"/>
      <c r="HCS70" s="122"/>
      <c r="HCT70" s="122"/>
      <c r="HCU70" s="122"/>
      <c r="HCV70" s="122"/>
      <c r="HCW70" s="122"/>
      <c r="HCX70" s="122"/>
      <c r="HCY70" s="122"/>
      <c r="HCZ70" s="122"/>
      <c r="HDA70" s="122"/>
      <c r="HDB70" s="122"/>
      <c r="HDC70" s="122"/>
      <c r="HDD70" s="122"/>
      <c r="HDE70" s="122"/>
      <c r="HDF70" s="122"/>
      <c r="HDG70" s="122"/>
      <c r="HDH70" s="122"/>
      <c r="HDI70" s="122"/>
      <c r="HDJ70" s="122"/>
      <c r="HDK70" s="122"/>
      <c r="HDL70" s="122"/>
      <c r="HDM70" s="122"/>
      <c r="HDN70" s="122"/>
      <c r="HDO70" s="122"/>
      <c r="HDP70" s="122"/>
      <c r="HDQ70" s="122"/>
      <c r="HDR70" s="122"/>
      <c r="HDS70" s="122"/>
      <c r="HDT70" s="122"/>
      <c r="HDU70" s="122"/>
      <c r="HDV70" s="122"/>
      <c r="HDW70" s="122"/>
      <c r="HDX70" s="122"/>
      <c r="HDY70" s="122"/>
      <c r="HDZ70" s="122"/>
      <c r="HEA70" s="122"/>
      <c r="HEB70" s="122"/>
      <c r="HEC70" s="122"/>
      <c r="HED70" s="122"/>
      <c r="HEE70" s="122"/>
      <c r="HEF70" s="122"/>
      <c r="HEG70" s="122"/>
      <c r="HEH70" s="122"/>
      <c r="HEI70" s="122"/>
      <c r="HEJ70" s="122"/>
      <c r="HEK70" s="122"/>
      <c r="HEL70" s="122"/>
      <c r="HEM70" s="122"/>
      <c r="HEN70" s="122"/>
      <c r="HEO70" s="122"/>
      <c r="HEP70" s="122"/>
      <c r="HEQ70" s="122"/>
      <c r="HER70" s="122"/>
      <c r="HES70" s="122"/>
      <c r="HET70" s="122"/>
      <c r="HEU70" s="122"/>
      <c r="HEV70" s="122"/>
      <c r="HEW70" s="122"/>
      <c r="HEX70" s="122"/>
      <c r="HEY70" s="122"/>
      <c r="HEZ70" s="122"/>
      <c r="HFA70" s="122"/>
      <c r="HFB70" s="122"/>
      <c r="HFC70" s="122"/>
      <c r="HFD70" s="122"/>
      <c r="HFE70" s="122"/>
      <c r="HFF70" s="122"/>
      <c r="HFG70" s="122"/>
      <c r="HFH70" s="122"/>
      <c r="HFI70" s="122"/>
      <c r="HFJ70" s="122"/>
      <c r="HFK70" s="122"/>
      <c r="HFL70" s="122"/>
      <c r="HFM70" s="122"/>
      <c r="HFN70" s="122"/>
      <c r="HFO70" s="122"/>
      <c r="HFP70" s="122"/>
      <c r="HFQ70" s="122"/>
      <c r="HFR70" s="122"/>
      <c r="HFS70" s="122"/>
      <c r="HFT70" s="122"/>
      <c r="HFU70" s="122"/>
      <c r="HFV70" s="122"/>
      <c r="HFW70" s="122"/>
      <c r="HFX70" s="122"/>
      <c r="HFY70" s="122"/>
      <c r="HFZ70" s="122"/>
      <c r="HGA70" s="122"/>
      <c r="HGB70" s="122"/>
      <c r="HGC70" s="122"/>
      <c r="HGD70" s="122"/>
      <c r="HGE70" s="122"/>
      <c r="HGF70" s="122"/>
      <c r="HGG70" s="122"/>
      <c r="HGH70" s="122"/>
      <c r="HGI70" s="122"/>
      <c r="HGJ70" s="122"/>
      <c r="HGK70" s="122"/>
      <c r="HGL70" s="122"/>
      <c r="HGM70" s="122"/>
      <c r="HGN70" s="122"/>
      <c r="HGO70" s="122"/>
      <c r="HGP70" s="122"/>
      <c r="HGQ70" s="122"/>
      <c r="HGR70" s="122"/>
      <c r="HGS70" s="122"/>
      <c r="HGT70" s="122"/>
      <c r="HGU70" s="122"/>
      <c r="HGV70" s="122"/>
      <c r="HGW70" s="122"/>
      <c r="HGX70" s="122"/>
      <c r="HGY70" s="122"/>
      <c r="HGZ70" s="122"/>
      <c r="HHA70" s="122"/>
      <c r="HHB70" s="122"/>
      <c r="HHC70" s="122"/>
      <c r="HHD70" s="122"/>
      <c r="HHE70" s="122"/>
      <c r="HHF70" s="122"/>
      <c r="HHG70" s="122"/>
      <c r="HHH70" s="122"/>
      <c r="HHI70" s="122"/>
      <c r="HHJ70" s="122"/>
      <c r="HHK70" s="122"/>
      <c r="HHL70" s="122"/>
      <c r="HHM70" s="122"/>
      <c r="HHN70" s="122"/>
      <c r="HHO70" s="122"/>
      <c r="HHP70" s="122"/>
      <c r="HHQ70" s="122"/>
      <c r="HHR70" s="122"/>
      <c r="HHS70" s="122"/>
      <c r="HHT70" s="122"/>
      <c r="HHU70" s="122"/>
      <c r="HHV70" s="122"/>
      <c r="HHW70" s="122"/>
      <c r="HHX70" s="122"/>
      <c r="HHY70" s="122"/>
      <c r="HHZ70" s="122"/>
      <c r="HIA70" s="122"/>
      <c r="HIB70" s="122"/>
      <c r="HIC70" s="122"/>
      <c r="HID70" s="122"/>
      <c r="HIE70" s="122"/>
      <c r="HIF70" s="122"/>
      <c r="HIG70" s="122"/>
      <c r="HIH70" s="122"/>
      <c r="HII70" s="122"/>
      <c r="HIJ70" s="122"/>
      <c r="HIK70" s="122"/>
      <c r="HIL70" s="122"/>
      <c r="HIM70" s="122"/>
      <c r="HIN70" s="122"/>
      <c r="HIO70" s="122"/>
      <c r="HIP70" s="122"/>
      <c r="HIQ70" s="122"/>
      <c r="HIR70" s="122"/>
      <c r="HIS70" s="122"/>
      <c r="HIT70" s="122"/>
      <c r="HIU70" s="122"/>
      <c r="HIV70" s="122"/>
      <c r="HIW70" s="122"/>
      <c r="HIX70" s="122"/>
      <c r="HIY70" s="122"/>
      <c r="HIZ70" s="122"/>
      <c r="HJA70" s="122"/>
      <c r="HJB70" s="122"/>
      <c r="HJC70" s="122"/>
      <c r="HJD70" s="122"/>
      <c r="HJE70" s="122"/>
      <c r="HJF70" s="122"/>
      <c r="HJG70" s="122"/>
      <c r="HJH70" s="122"/>
      <c r="HJI70" s="122"/>
      <c r="HJJ70" s="122"/>
      <c r="HJK70" s="122"/>
      <c r="HJL70" s="122"/>
      <c r="HJM70" s="122"/>
      <c r="HJN70" s="122"/>
      <c r="HJO70" s="122"/>
      <c r="HJP70" s="122"/>
      <c r="HJQ70" s="122"/>
      <c r="HJR70" s="122"/>
      <c r="HJS70" s="122"/>
      <c r="HJT70" s="122"/>
      <c r="HJU70" s="122"/>
      <c r="HJV70" s="122"/>
      <c r="HJW70" s="122"/>
      <c r="HJX70" s="122"/>
      <c r="HJY70" s="122"/>
      <c r="HJZ70" s="122"/>
      <c r="HKA70" s="122"/>
      <c r="HKB70" s="122"/>
      <c r="HKC70" s="122"/>
      <c r="HKD70" s="122"/>
      <c r="HKE70" s="122"/>
      <c r="HKF70" s="122"/>
      <c r="HKG70" s="122"/>
      <c r="HKH70" s="122"/>
      <c r="HKI70" s="122"/>
      <c r="HKJ70" s="122"/>
      <c r="HKK70" s="122"/>
      <c r="HKL70" s="122"/>
      <c r="HKM70" s="122"/>
      <c r="HKN70" s="122"/>
      <c r="HKO70" s="122"/>
      <c r="HKP70" s="122"/>
      <c r="HKQ70" s="122"/>
      <c r="HKR70" s="122"/>
      <c r="HKS70" s="122"/>
      <c r="HKT70" s="122"/>
      <c r="HKU70" s="122"/>
      <c r="HKV70" s="122"/>
      <c r="HKW70" s="122"/>
      <c r="HKX70" s="122"/>
      <c r="HKY70" s="122"/>
      <c r="HKZ70" s="122"/>
      <c r="HLA70" s="122"/>
      <c r="HLB70" s="122"/>
      <c r="HLC70" s="122"/>
      <c r="HLD70" s="122"/>
      <c r="HLE70" s="122"/>
      <c r="HLF70" s="122"/>
      <c r="HLG70" s="122"/>
      <c r="HLH70" s="122"/>
      <c r="HLI70" s="122"/>
      <c r="HLJ70" s="122"/>
      <c r="HLK70" s="122"/>
      <c r="HLL70" s="122"/>
      <c r="HLM70" s="122"/>
      <c r="HLN70" s="122"/>
      <c r="HLO70" s="122"/>
      <c r="HLP70" s="122"/>
      <c r="HLQ70" s="122"/>
      <c r="HLR70" s="122"/>
      <c r="HLS70" s="122"/>
      <c r="HLT70" s="122"/>
      <c r="HLU70" s="122"/>
      <c r="HLV70" s="122"/>
      <c r="HLW70" s="122"/>
      <c r="HLX70" s="122"/>
      <c r="HLY70" s="122"/>
      <c r="HLZ70" s="122"/>
      <c r="HMA70" s="122"/>
      <c r="HMB70" s="122"/>
      <c r="HMC70" s="122"/>
      <c r="HMD70" s="122"/>
      <c r="HME70" s="122"/>
      <c r="HMF70" s="122"/>
      <c r="HMG70" s="122"/>
      <c r="HMH70" s="122"/>
      <c r="HMI70" s="122"/>
      <c r="HMJ70" s="122"/>
      <c r="HMK70" s="122"/>
      <c r="HML70" s="122"/>
      <c r="HMM70" s="122"/>
      <c r="HMN70" s="122"/>
      <c r="HMO70" s="122"/>
      <c r="HMP70" s="122"/>
      <c r="HMQ70" s="122"/>
      <c r="HMR70" s="122"/>
      <c r="HMS70" s="122"/>
      <c r="HMT70" s="122"/>
      <c r="HMU70" s="122"/>
      <c r="HMV70" s="122"/>
      <c r="HMW70" s="122"/>
      <c r="HMX70" s="122"/>
      <c r="HMY70" s="122"/>
      <c r="HMZ70" s="122"/>
      <c r="HNA70" s="122"/>
      <c r="HNB70" s="122"/>
      <c r="HNC70" s="122"/>
      <c r="HND70" s="122"/>
      <c r="HNE70" s="122"/>
      <c r="HNF70" s="122"/>
      <c r="HNG70" s="122"/>
      <c r="HNH70" s="122"/>
      <c r="HNI70" s="122"/>
      <c r="HNJ70" s="122"/>
      <c r="HNK70" s="122"/>
      <c r="HNL70" s="122"/>
      <c r="HNM70" s="122"/>
      <c r="HNN70" s="122"/>
      <c r="HNO70" s="122"/>
      <c r="HNP70" s="122"/>
      <c r="HNQ70" s="122"/>
      <c r="HNR70" s="122"/>
      <c r="HNS70" s="122"/>
      <c r="HNT70" s="122"/>
      <c r="HNU70" s="122"/>
      <c r="HNV70" s="122"/>
      <c r="HNW70" s="122"/>
      <c r="HNX70" s="122"/>
      <c r="HNY70" s="122"/>
      <c r="HNZ70" s="122"/>
      <c r="HOA70" s="122"/>
      <c r="HOB70" s="122"/>
      <c r="HOC70" s="122"/>
      <c r="HOD70" s="122"/>
      <c r="HOE70" s="122"/>
      <c r="HOF70" s="122"/>
      <c r="HOG70" s="122"/>
      <c r="HOH70" s="122"/>
      <c r="HOI70" s="122"/>
      <c r="HOJ70" s="122"/>
      <c r="HOK70" s="122"/>
      <c r="HOL70" s="122"/>
      <c r="HOM70" s="122"/>
      <c r="HON70" s="122"/>
      <c r="HOO70" s="122"/>
      <c r="HOP70" s="122"/>
      <c r="HOQ70" s="122"/>
      <c r="HOR70" s="122"/>
      <c r="HOS70" s="122"/>
      <c r="HOT70" s="122"/>
      <c r="HOU70" s="122"/>
      <c r="HOV70" s="122"/>
      <c r="HOW70" s="122"/>
      <c r="HOX70" s="122"/>
      <c r="HOY70" s="122"/>
      <c r="HOZ70" s="122"/>
      <c r="HPA70" s="122"/>
      <c r="HPB70" s="122"/>
      <c r="HPC70" s="122"/>
      <c r="HPD70" s="122"/>
      <c r="HPE70" s="122"/>
      <c r="HPF70" s="122"/>
      <c r="HPG70" s="122"/>
      <c r="HPH70" s="122"/>
      <c r="HPI70" s="122"/>
      <c r="HPJ70" s="122"/>
      <c r="HPK70" s="122"/>
      <c r="HPL70" s="122"/>
      <c r="HPM70" s="122"/>
      <c r="HPN70" s="122"/>
      <c r="HPO70" s="122"/>
      <c r="HPP70" s="122"/>
      <c r="HPQ70" s="122"/>
      <c r="HPR70" s="122"/>
      <c r="HPS70" s="122"/>
      <c r="HPT70" s="122"/>
      <c r="HPU70" s="122"/>
      <c r="HPV70" s="122"/>
      <c r="HPW70" s="122"/>
      <c r="HPX70" s="122"/>
      <c r="HPY70" s="122"/>
      <c r="HPZ70" s="122"/>
      <c r="HQA70" s="122"/>
      <c r="HQB70" s="122"/>
      <c r="HQC70" s="122"/>
      <c r="HQD70" s="122"/>
      <c r="HQE70" s="122"/>
      <c r="HQF70" s="122"/>
      <c r="HQG70" s="122"/>
      <c r="HQH70" s="122"/>
      <c r="HQI70" s="122"/>
      <c r="HQJ70" s="122"/>
      <c r="HQK70" s="122"/>
      <c r="HQL70" s="122"/>
      <c r="HQM70" s="122"/>
      <c r="HQN70" s="122"/>
      <c r="HQO70" s="122"/>
      <c r="HQP70" s="122"/>
      <c r="HQQ70" s="122"/>
      <c r="HQR70" s="122"/>
      <c r="HQS70" s="122"/>
      <c r="HQT70" s="122"/>
      <c r="HQU70" s="122"/>
      <c r="HQV70" s="122"/>
      <c r="HQW70" s="122"/>
      <c r="HQX70" s="122"/>
      <c r="HQY70" s="122"/>
      <c r="HQZ70" s="122"/>
      <c r="HRA70" s="122"/>
      <c r="HRB70" s="122"/>
      <c r="HRC70" s="122"/>
      <c r="HRD70" s="122"/>
      <c r="HRE70" s="122"/>
      <c r="HRF70" s="122"/>
      <c r="HRG70" s="122"/>
      <c r="HRH70" s="122"/>
      <c r="HRI70" s="122"/>
      <c r="HRJ70" s="122"/>
      <c r="HRK70" s="122"/>
      <c r="HRL70" s="122"/>
      <c r="HRM70" s="122"/>
      <c r="HRN70" s="122"/>
      <c r="HRO70" s="122"/>
      <c r="HRP70" s="122"/>
      <c r="HRQ70" s="122"/>
      <c r="HRR70" s="122"/>
      <c r="HRS70" s="122"/>
      <c r="HRT70" s="122"/>
      <c r="HRU70" s="122"/>
      <c r="HRV70" s="122"/>
      <c r="HRW70" s="122"/>
      <c r="HRX70" s="122"/>
      <c r="HRY70" s="122"/>
      <c r="HRZ70" s="122"/>
      <c r="HSA70" s="122"/>
      <c r="HSB70" s="122"/>
      <c r="HSC70" s="122"/>
      <c r="HSD70" s="122"/>
      <c r="HSE70" s="122"/>
      <c r="HSF70" s="122"/>
      <c r="HSG70" s="122"/>
      <c r="HSH70" s="122"/>
      <c r="HSI70" s="122"/>
      <c r="HSJ70" s="122"/>
      <c r="HSK70" s="122"/>
      <c r="HSL70" s="122"/>
      <c r="HSM70" s="122"/>
      <c r="HSN70" s="122"/>
      <c r="HSO70" s="122"/>
      <c r="HSP70" s="122"/>
      <c r="HSQ70" s="122"/>
      <c r="HSR70" s="122"/>
      <c r="HSS70" s="122"/>
      <c r="HST70" s="122"/>
      <c r="HSU70" s="122"/>
      <c r="HSV70" s="122"/>
      <c r="HSW70" s="122"/>
      <c r="HSX70" s="122"/>
      <c r="HSY70" s="122"/>
      <c r="HSZ70" s="122"/>
      <c r="HTA70" s="122"/>
      <c r="HTB70" s="122"/>
      <c r="HTC70" s="122"/>
      <c r="HTD70" s="122"/>
      <c r="HTE70" s="122"/>
      <c r="HTF70" s="122"/>
      <c r="HTG70" s="122"/>
      <c r="HTH70" s="122"/>
      <c r="HTI70" s="122"/>
      <c r="HTJ70" s="122"/>
      <c r="HTK70" s="122"/>
      <c r="HTL70" s="122"/>
      <c r="HTM70" s="122"/>
      <c r="HTN70" s="122"/>
      <c r="HTO70" s="122"/>
      <c r="HTP70" s="122"/>
      <c r="HTQ70" s="122"/>
      <c r="HTR70" s="122"/>
      <c r="HTS70" s="122"/>
      <c r="HTT70" s="122"/>
      <c r="HTU70" s="122"/>
      <c r="HTV70" s="122"/>
      <c r="HTW70" s="122"/>
      <c r="HTX70" s="122"/>
      <c r="HTY70" s="122"/>
      <c r="HTZ70" s="122"/>
      <c r="HUA70" s="122"/>
      <c r="HUB70" s="122"/>
      <c r="HUC70" s="122"/>
      <c r="HUD70" s="122"/>
      <c r="HUE70" s="122"/>
      <c r="HUF70" s="122"/>
      <c r="HUG70" s="122"/>
      <c r="HUH70" s="122"/>
      <c r="HUI70" s="122"/>
      <c r="HUJ70" s="122"/>
      <c r="HUK70" s="122"/>
      <c r="HUL70" s="122"/>
      <c r="HUM70" s="122"/>
      <c r="HUN70" s="122"/>
      <c r="HUO70" s="122"/>
      <c r="HUP70" s="122"/>
      <c r="HUQ70" s="122"/>
      <c r="HUR70" s="122"/>
      <c r="HUS70" s="122"/>
      <c r="HUT70" s="122"/>
      <c r="HUU70" s="122"/>
      <c r="HUV70" s="122"/>
      <c r="HUW70" s="122"/>
      <c r="HUX70" s="122"/>
      <c r="HUY70" s="122"/>
      <c r="HUZ70" s="122"/>
      <c r="HVA70" s="122"/>
      <c r="HVB70" s="122"/>
      <c r="HVC70" s="122"/>
      <c r="HVD70" s="122"/>
      <c r="HVE70" s="122"/>
      <c r="HVF70" s="122"/>
      <c r="HVG70" s="122"/>
      <c r="HVH70" s="122"/>
      <c r="HVI70" s="122"/>
      <c r="HVJ70" s="122"/>
      <c r="HVK70" s="122"/>
      <c r="HVL70" s="122"/>
      <c r="HVM70" s="122"/>
      <c r="HVN70" s="122"/>
      <c r="HVO70" s="122"/>
      <c r="HVP70" s="122"/>
      <c r="HVQ70" s="122"/>
      <c r="HVR70" s="122"/>
      <c r="HVS70" s="122"/>
      <c r="HVT70" s="122"/>
      <c r="HVU70" s="122"/>
      <c r="HVV70" s="122"/>
      <c r="HVW70" s="122"/>
      <c r="HVX70" s="122"/>
      <c r="HVY70" s="122"/>
      <c r="HVZ70" s="122"/>
      <c r="HWA70" s="122"/>
      <c r="HWB70" s="122"/>
      <c r="HWC70" s="122"/>
      <c r="HWD70" s="122"/>
      <c r="HWE70" s="122"/>
      <c r="HWF70" s="122"/>
      <c r="HWG70" s="122"/>
      <c r="HWH70" s="122"/>
      <c r="HWI70" s="122"/>
      <c r="HWJ70" s="122"/>
      <c r="HWK70" s="122"/>
      <c r="HWL70" s="122"/>
      <c r="HWM70" s="122"/>
      <c r="HWN70" s="122"/>
      <c r="HWO70" s="122"/>
      <c r="HWP70" s="122"/>
      <c r="HWQ70" s="122"/>
      <c r="HWR70" s="122"/>
      <c r="HWS70" s="122"/>
      <c r="HWT70" s="122"/>
      <c r="HWU70" s="122"/>
      <c r="HWV70" s="122"/>
      <c r="HWW70" s="122"/>
      <c r="HWX70" s="122"/>
      <c r="HWY70" s="122"/>
      <c r="HWZ70" s="122"/>
      <c r="HXA70" s="122"/>
      <c r="HXB70" s="122"/>
      <c r="HXC70" s="122"/>
      <c r="HXD70" s="122"/>
      <c r="HXE70" s="122"/>
      <c r="HXF70" s="122"/>
      <c r="HXG70" s="122"/>
      <c r="HXH70" s="122"/>
      <c r="HXI70" s="122"/>
      <c r="HXJ70" s="122"/>
      <c r="HXK70" s="122"/>
      <c r="HXL70" s="122"/>
      <c r="HXM70" s="122"/>
      <c r="HXN70" s="122"/>
      <c r="HXO70" s="122"/>
      <c r="HXP70" s="122"/>
      <c r="HXQ70" s="122"/>
      <c r="HXR70" s="122"/>
      <c r="HXS70" s="122"/>
      <c r="HXT70" s="122"/>
      <c r="HXU70" s="122"/>
      <c r="HXV70" s="122"/>
      <c r="HXW70" s="122"/>
      <c r="HXX70" s="122"/>
      <c r="HXY70" s="122"/>
      <c r="HXZ70" s="122"/>
      <c r="HYA70" s="122"/>
      <c r="HYB70" s="122"/>
      <c r="HYC70" s="122"/>
      <c r="HYD70" s="122"/>
      <c r="HYE70" s="122"/>
      <c r="HYF70" s="122"/>
      <c r="HYG70" s="122"/>
      <c r="HYH70" s="122"/>
      <c r="HYI70" s="122"/>
      <c r="HYJ70" s="122"/>
      <c r="HYK70" s="122"/>
      <c r="HYL70" s="122"/>
      <c r="HYM70" s="122"/>
      <c r="HYN70" s="122"/>
      <c r="HYO70" s="122"/>
      <c r="HYP70" s="122"/>
      <c r="HYQ70" s="122"/>
      <c r="HYR70" s="122"/>
      <c r="HYS70" s="122"/>
      <c r="HYT70" s="122"/>
      <c r="HYU70" s="122"/>
      <c r="HYV70" s="122"/>
      <c r="HYW70" s="122"/>
      <c r="HYX70" s="122"/>
      <c r="HYY70" s="122"/>
      <c r="HYZ70" s="122"/>
      <c r="HZA70" s="122"/>
      <c r="HZB70" s="122"/>
      <c r="HZC70" s="122"/>
      <c r="HZD70" s="122"/>
      <c r="HZE70" s="122"/>
      <c r="HZF70" s="122"/>
      <c r="HZG70" s="122"/>
      <c r="HZH70" s="122"/>
      <c r="HZI70" s="122"/>
      <c r="HZJ70" s="122"/>
      <c r="HZK70" s="122"/>
      <c r="HZL70" s="122"/>
      <c r="HZM70" s="122"/>
      <c r="HZN70" s="122"/>
      <c r="HZO70" s="122"/>
      <c r="HZP70" s="122"/>
      <c r="HZQ70" s="122"/>
      <c r="HZR70" s="122"/>
      <c r="HZS70" s="122"/>
      <c r="HZT70" s="122"/>
      <c r="HZU70" s="122"/>
      <c r="HZV70" s="122"/>
      <c r="HZW70" s="122"/>
      <c r="HZX70" s="122"/>
      <c r="HZY70" s="122"/>
      <c r="HZZ70" s="122"/>
      <c r="IAA70" s="122"/>
      <c r="IAB70" s="122"/>
      <c r="IAC70" s="122"/>
      <c r="IAD70" s="122"/>
      <c r="IAE70" s="122"/>
      <c r="IAF70" s="122"/>
      <c r="IAG70" s="122"/>
      <c r="IAH70" s="122"/>
      <c r="IAI70" s="122"/>
      <c r="IAJ70" s="122"/>
      <c r="IAK70" s="122"/>
      <c r="IAL70" s="122"/>
      <c r="IAM70" s="122"/>
      <c r="IAN70" s="122"/>
      <c r="IAO70" s="122"/>
      <c r="IAP70" s="122"/>
      <c r="IAQ70" s="122"/>
      <c r="IAR70" s="122"/>
      <c r="IAS70" s="122"/>
      <c r="IAT70" s="122"/>
      <c r="IAU70" s="122"/>
      <c r="IAV70" s="122"/>
      <c r="IAW70" s="122"/>
      <c r="IAX70" s="122"/>
      <c r="IAY70" s="122"/>
      <c r="IAZ70" s="122"/>
      <c r="IBA70" s="122"/>
      <c r="IBB70" s="122"/>
      <c r="IBC70" s="122"/>
      <c r="IBD70" s="122"/>
      <c r="IBE70" s="122"/>
      <c r="IBF70" s="122"/>
      <c r="IBG70" s="122"/>
      <c r="IBH70" s="122"/>
      <c r="IBI70" s="122"/>
      <c r="IBJ70" s="122"/>
      <c r="IBK70" s="122"/>
      <c r="IBL70" s="122"/>
      <c r="IBM70" s="122"/>
      <c r="IBN70" s="122"/>
      <c r="IBO70" s="122"/>
      <c r="IBP70" s="122"/>
      <c r="IBQ70" s="122"/>
      <c r="IBR70" s="122"/>
      <c r="IBS70" s="122"/>
      <c r="IBT70" s="122"/>
      <c r="IBU70" s="122"/>
      <c r="IBV70" s="122"/>
      <c r="IBW70" s="122"/>
      <c r="IBX70" s="122"/>
      <c r="IBY70" s="122"/>
      <c r="IBZ70" s="122"/>
      <c r="ICA70" s="122"/>
      <c r="ICB70" s="122"/>
      <c r="ICC70" s="122"/>
      <c r="ICD70" s="122"/>
      <c r="ICE70" s="122"/>
      <c r="ICF70" s="122"/>
      <c r="ICG70" s="122"/>
      <c r="ICH70" s="122"/>
      <c r="ICI70" s="122"/>
      <c r="ICJ70" s="122"/>
      <c r="ICK70" s="122"/>
      <c r="ICL70" s="122"/>
      <c r="ICM70" s="122"/>
      <c r="ICN70" s="122"/>
      <c r="ICO70" s="122"/>
      <c r="ICP70" s="122"/>
      <c r="ICQ70" s="122"/>
      <c r="ICR70" s="122"/>
      <c r="ICS70" s="122"/>
      <c r="ICT70" s="122"/>
      <c r="ICU70" s="122"/>
      <c r="ICV70" s="122"/>
      <c r="ICW70" s="122"/>
      <c r="ICX70" s="122"/>
      <c r="ICY70" s="122"/>
      <c r="ICZ70" s="122"/>
      <c r="IDA70" s="122"/>
      <c r="IDB70" s="122"/>
      <c r="IDC70" s="122"/>
      <c r="IDD70" s="122"/>
      <c r="IDE70" s="122"/>
      <c r="IDF70" s="122"/>
      <c r="IDG70" s="122"/>
      <c r="IDH70" s="122"/>
      <c r="IDI70" s="122"/>
      <c r="IDJ70" s="122"/>
      <c r="IDK70" s="122"/>
      <c r="IDL70" s="122"/>
      <c r="IDM70" s="122"/>
      <c r="IDN70" s="122"/>
      <c r="IDO70" s="122"/>
      <c r="IDP70" s="122"/>
      <c r="IDQ70" s="122"/>
      <c r="IDR70" s="122"/>
      <c r="IDS70" s="122"/>
      <c r="IDT70" s="122"/>
      <c r="IDU70" s="122"/>
      <c r="IDV70" s="122"/>
      <c r="IDW70" s="122"/>
      <c r="IDX70" s="122"/>
      <c r="IDY70" s="122"/>
      <c r="IDZ70" s="122"/>
      <c r="IEA70" s="122"/>
      <c r="IEB70" s="122"/>
      <c r="IEC70" s="122"/>
      <c r="IED70" s="122"/>
      <c r="IEE70" s="122"/>
      <c r="IEF70" s="122"/>
      <c r="IEG70" s="122"/>
      <c r="IEH70" s="122"/>
      <c r="IEI70" s="122"/>
      <c r="IEJ70" s="122"/>
      <c r="IEK70" s="122"/>
      <c r="IEL70" s="122"/>
      <c r="IEM70" s="122"/>
      <c r="IEN70" s="122"/>
      <c r="IEO70" s="122"/>
      <c r="IEP70" s="122"/>
      <c r="IEQ70" s="122"/>
      <c r="IER70" s="122"/>
      <c r="IES70" s="122"/>
      <c r="IET70" s="122"/>
      <c r="IEU70" s="122"/>
      <c r="IEV70" s="122"/>
      <c r="IEW70" s="122"/>
      <c r="IEX70" s="122"/>
      <c r="IEY70" s="122"/>
      <c r="IEZ70" s="122"/>
      <c r="IFA70" s="122"/>
      <c r="IFB70" s="122"/>
      <c r="IFC70" s="122"/>
      <c r="IFD70" s="122"/>
      <c r="IFE70" s="122"/>
      <c r="IFF70" s="122"/>
      <c r="IFG70" s="122"/>
      <c r="IFH70" s="122"/>
      <c r="IFI70" s="122"/>
      <c r="IFJ70" s="122"/>
      <c r="IFK70" s="122"/>
      <c r="IFL70" s="122"/>
      <c r="IFM70" s="122"/>
      <c r="IFN70" s="122"/>
      <c r="IFO70" s="122"/>
      <c r="IFP70" s="122"/>
      <c r="IFQ70" s="122"/>
      <c r="IFR70" s="122"/>
      <c r="IFS70" s="122"/>
      <c r="IFT70" s="122"/>
      <c r="IFU70" s="122"/>
      <c r="IFV70" s="122"/>
      <c r="IFW70" s="122"/>
      <c r="IFX70" s="122"/>
      <c r="IFY70" s="122"/>
      <c r="IFZ70" s="122"/>
      <c r="IGA70" s="122"/>
      <c r="IGB70" s="122"/>
      <c r="IGC70" s="122"/>
      <c r="IGD70" s="122"/>
      <c r="IGE70" s="122"/>
      <c r="IGF70" s="122"/>
      <c r="IGG70" s="122"/>
      <c r="IGH70" s="122"/>
      <c r="IGI70" s="122"/>
      <c r="IGJ70" s="122"/>
      <c r="IGK70" s="122"/>
      <c r="IGL70" s="122"/>
      <c r="IGM70" s="122"/>
      <c r="IGN70" s="122"/>
      <c r="IGO70" s="122"/>
      <c r="IGP70" s="122"/>
      <c r="IGQ70" s="122"/>
      <c r="IGR70" s="122"/>
      <c r="IGS70" s="122"/>
      <c r="IGT70" s="122"/>
      <c r="IGU70" s="122"/>
      <c r="IGV70" s="122"/>
      <c r="IGW70" s="122"/>
      <c r="IGX70" s="122"/>
      <c r="IGY70" s="122"/>
      <c r="IGZ70" s="122"/>
      <c r="IHA70" s="122"/>
      <c r="IHB70" s="122"/>
      <c r="IHC70" s="122"/>
      <c r="IHD70" s="122"/>
      <c r="IHE70" s="122"/>
      <c r="IHF70" s="122"/>
      <c r="IHG70" s="122"/>
      <c r="IHH70" s="122"/>
      <c r="IHI70" s="122"/>
      <c r="IHJ70" s="122"/>
      <c r="IHK70" s="122"/>
      <c r="IHL70" s="122"/>
      <c r="IHM70" s="122"/>
      <c r="IHN70" s="122"/>
      <c r="IHO70" s="122"/>
      <c r="IHP70" s="122"/>
      <c r="IHQ70" s="122"/>
      <c r="IHR70" s="122"/>
      <c r="IHS70" s="122"/>
      <c r="IHT70" s="122"/>
      <c r="IHU70" s="122"/>
      <c r="IHV70" s="122"/>
      <c r="IHW70" s="122"/>
      <c r="IHX70" s="122"/>
      <c r="IHY70" s="122"/>
      <c r="IHZ70" s="122"/>
      <c r="IIA70" s="122"/>
      <c r="IIB70" s="122"/>
      <c r="IIC70" s="122"/>
      <c r="IID70" s="122"/>
      <c r="IIE70" s="122"/>
      <c r="IIF70" s="122"/>
      <c r="IIG70" s="122"/>
      <c r="IIH70" s="122"/>
      <c r="III70" s="122"/>
      <c r="IIJ70" s="122"/>
      <c r="IIK70" s="122"/>
      <c r="IIL70" s="122"/>
      <c r="IIM70" s="122"/>
      <c r="IIN70" s="122"/>
      <c r="IIO70" s="122"/>
      <c r="IIP70" s="122"/>
      <c r="IIQ70" s="122"/>
      <c r="IIR70" s="122"/>
      <c r="IIS70" s="122"/>
      <c r="IIT70" s="122"/>
      <c r="IIU70" s="122"/>
      <c r="IIV70" s="122"/>
      <c r="IIW70" s="122"/>
      <c r="IIX70" s="122"/>
      <c r="IIY70" s="122"/>
      <c r="IIZ70" s="122"/>
      <c r="IJA70" s="122"/>
      <c r="IJB70" s="122"/>
      <c r="IJC70" s="122"/>
      <c r="IJD70" s="122"/>
      <c r="IJE70" s="122"/>
      <c r="IJF70" s="122"/>
      <c r="IJG70" s="122"/>
      <c r="IJH70" s="122"/>
      <c r="IJI70" s="122"/>
      <c r="IJJ70" s="122"/>
      <c r="IJK70" s="122"/>
      <c r="IJL70" s="122"/>
      <c r="IJM70" s="122"/>
      <c r="IJN70" s="122"/>
      <c r="IJO70" s="122"/>
      <c r="IJP70" s="122"/>
      <c r="IJQ70" s="122"/>
      <c r="IJR70" s="122"/>
      <c r="IJS70" s="122"/>
      <c r="IJT70" s="122"/>
      <c r="IJU70" s="122"/>
      <c r="IJV70" s="122"/>
      <c r="IJW70" s="122"/>
      <c r="IJX70" s="122"/>
      <c r="IJY70" s="122"/>
      <c r="IJZ70" s="122"/>
      <c r="IKA70" s="122"/>
      <c r="IKB70" s="122"/>
      <c r="IKC70" s="122"/>
      <c r="IKD70" s="122"/>
      <c r="IKE70" s="122"/>
      <c r="IKF70" s="122"/>
      <c r="IKG70" s="122"/>
      <c r="IKH70" s="122"/>
      <c r="IKI70" s="122"/>
      <c r="IKJ70" s="122"/>
      <c r="IKK70" s="122"/>
      <c r="IKL70" s="122"/>
      <c r="IKM70" s="122"/>
      <c r="IKN70" s="122"/>
      <c r="IKO70" s="122"/>
      <c r="IKP70" s="122"/>
      <c r="IKQ70" s="122"/>
      <c r="IKR70" s="122"/>
      <c r="IKS70" s="122"/>
      <c r="IKT70" s="122"/>
      <c r="IKU70" s="122"/>
      <c r="IKV70" s="122"/>
      <c r="IKW70" s="122"/>
      <c r="IKX70" s="122"/>
      <c r="IKY70" s="122"/>
      <c r="IKZ70" s="122"/>
      <c r="ILA70" s="122"/>
      <c r="ILB70" s="122"/>
      <c r="ILC70" s="122"/>
      <c r="ILD70" s="122"/>
      <c r="ILE70" s="122"/>
      <c r="ILF70" s="122"/>
      <c r="ILG70" s="122"/>
      <c r="ILH70" s="122"/>
      <c r="ILI70" s="122"/>
      <c r="ILJ70" s="122"/>
      <c r="ILK70" s="122"/>
      <c r="ILL70" s="122"/>
      <c r="ILM70" s="122"/>
      <c r="ILN70" s="122"/>
      <c r="ILO70" s="122"/>
      <c r="ILP70" s="122"/>
      <c r="ILQ70" s="122"/>
      <c r="ILR70" s="122"/>
      <c r="ILS70" s="122"/>
      <c r="ILT70" s="122"/>
      <c r="ILU70" s="122"/>
      <c r="ILV70" s="122"/>
      <c r="ILW70" s="122"/>
      <c r="ILX70" s="122"/>
      <c r="ILY70" s="122"/>
      <c r="ILZ70" s="122"/>
      <c r="IMA70" s="122"/>
      <c r="IMB70" s="122"/>
      <c r="IMC70" s="122"/>
      <c r="IMD70" s="122"/>
      <c r="IME70" s="122"/>
      <c r="IMF70" s="122"/>
      <c r="IMG70" s="122"/>
      <c r="IMH70" s="122"/>
      <c r="IMI70" s="122"/>
      <c r="IMJ70" s="122"/>
      <c r="IMK70" s="122"/>
      <c r="IML70" s="122"/>
      <c r="IMM70" s="122"/>
      <c r="IMN70" s="122"/>
      <c r="IMO70" s="122"/>
      <c r="IMP70" s="122"/>
      <c r="IMQ70" s="122"/>
      <c r="IMR70" s="122"/>
      <c r="IMS70" s="122"/>
      <c r="IMT70" s="122"/>
      <c r="IMU70" s="122"/>
      <c r="IMV70" s="122"/>
      <c r="IMW70" s="122"/>
      <c r="IMX70" s="122"/>
      <c r="IMY70" s="122"/>
      <c r="IMZ70" s="122"/>
      <c r="INA70" s="122"/>
      <c r="INB70" s="122"/>
      <c r="INC70" s="122"/>
      <c r="IND70" s="122"/>
      <c r="INE70" s="122"/>
      <c r="INF70" s="122"/>
      <c r="ING70" s="122"/>
      <c r="INH70" s="122"/>
      <c r="INI70" s="122"/>
      <c r="INJ70" s="122"/>
      <c r="INK70" s="122"/>
      <c r="INL70" s="122"/>
      <c r="INM70" s="122"/>
      <c r="INN70" s="122"/>
      <c r="INO70" s="122"/>
      <c r="INP70" s="122"/>
      <c r="INQ70" s="122"/>
      <c r="INR70" s="122"/>
      <c r="INS70" s="122"/>
      <c r="INT70" s="122"/>
      <c r="INU70" s="122"/>
      <c r="INV70" s="122"/>
      <c r="INW70" s="122"/>
      <c r="INX70" s="122"/>
      <c r="INY70" s="122"/>
      <c r="INZ70" s="122"/>
      <c r="IOA70" s="122"/>
      <c r="IOB70" s="122"/>
      <c r="IOC70" s="122"/>
      <c r="IOD70" s="122"/>
      <c r="IOE70" s="122"/>
      <c r="IOF70" s="122"/>
      <c r="IOG70" s="122"/>
      <c r="IOH70" s="122"/>
      <c r="IOI70" s="122"/>
      <c r="IOJ70" s="122"/>
      <c r="IOK70" s="122"/>
      <c r="IOL70" s="122"/>
      <c r="IOM70" s="122"/>
      <c r="ION70" s="122"/>
      <c r="IOO70" s="122"/>
      <c r="IOP70" s="122"/>
      <c r="IOQ70" s="122"/>
      <c r="IOR70" s="122"/>
      <c r="IOS70" s="122"/>
      <c r="IOT70" s="122"/>
      <c r="IOU70" s="122"/>
      <c r="IOV70" s="122"/>
      <c r="IOW70" s="122"/>
      <c r="IOX70" s="122"/>
      <c r="IOY70" s="122"/>
      <c r="IOZ70" s="122"/>
      <c r="IPA70" s="122"/>
      <c r="IPB70" s="122"/>
      <c r="IPC70" s="122"/>
      <c r="IPD70" s="122"/>
      <c r="IPE70" s="122"/>
      <c r="IPF70" s="122"/>
      <c r="IPG70" s="122"/>
      <c r="IPH70" s="122"/>
      <c r="IPI70" s="122"/>
      <c r="IPJ70" s="122"/>
      <c r="IPK70" s="122"/>
      <c r="IPL70" s="122"/>
      <c r="IPM70" s="122"/>
      <c r="IPN70" s="122"/>
      <c r="IPO70" s="122"/>
      <c r="IPP70" s="122"/>
      <c r="IPQ70" s="122"/>
      <c r="IPR70" s="122"/>
      <c r="IPS70" s="122"/>
      <c r="IPT70" s="122"/>
      <c r="IPU70" s="122"/>
      <c r="IPV70" s="122"/>
      <c r="IPW70" s="122"/>
      <c r="IPX70" s="122"/>
      <c r="IPY70" s="122"/>
      <c r="IPZ70" s="122"/>
      <c r="IQA70" s="122"/>
      <c r="IQB70" s="122"/>
      <c r="IQC70" s="122"/>
      <c r="IQD70" s="122"/>
      <c r="IQE70" s="122"/>
      <c r="IQF70" s="122"/>
      <c r="IQG70" s="122"/>
      <c r="IQH70" s="122"/>
      <c r="IQI70" s="122"/>
      <c r="IQJ70" s="122"/>
      <c r="IQK70" s="122"/>
      <c r="IQL70" s="122"/>
      <c r="IQM70" s="122"/>
      <c r="IQN70" s="122"/>
      <c r="IQO70" s="122"/>
      <c r="IQP70" s="122"/>
      <c r="IQQ70" s="122"/>
      <c r="IQR70" s="122"/>
      <c r="IQS70" s="122"/>
      <c r="IQT70" s="122"/>
      <c r="IQU70" s="122"/>
      <c r="IQV70" s="122"/>
      <c r="IQW70" s="122"/>
      <c r="IQX70" s="122"/>
      <c r="IQY70" s="122"/>
      <c r="IQZ70" s="122"/>
      <c r="IRA70" s="122"/>
      <c r="IRB70" s="122"/>
      <c r="IRC70" s="122"/>
      <c r="IRD70" s="122"/>
      <c r="IRE70" s="122"/>
      <c r="IRF70" s="122"/>
      <c r="IRG70" s="122"/>
      <c r="IRH70" s="122"/>
      <c r="IRI70" s="122"/>
      <c r="IRJ70" s="122"/>
      <c r="IRK70" s="122"/>
      <c r="IRL70" s="122"/>
      <c r="IRM70" s="122"/>
      <c r="IRN70" s="122"/>
      <c r="IRO70" s="122"/>
      <c r="IRP70" s="122"/>
      <c r="IRQ70" s="122"/>
      <c r="IRR70" s="122"/>
      <c r="IRS70" s="122"/>
      <c r="IRT70" s="122"/>
      <c r="IRU70" s="122"/>
      <c r="IRV70" s="122"/>
      <c r="IRW70" s="122"/>
      <c r="IRX70" s="122"/>
      <c r="IRY70" s="122"/>
      <c r="IRZ70" s="122"/>
      <c r="ISA70" s="122"/>
      <c r="ISB70" s="122"/>
      <c r="ISC70" s="122"/>
      <c r="ISD70" s="122"/>
      <c r="ISE70" s="122"/>
      <c r="ISF70" s="122"/>
      <c r="ISG70" s="122"/>
      <c r="ISH70" s="122"/>
      <c r="ISI70" s="122"/>
      <c r="ISJ70" s="122"/>
      <c r="ISK70" s="122"/>
      <c r="ISL70" s="122"/>
      <c r="ISM70" s="122"/>
      <c r="ISN70" s="122"/>
      <c r="ISO70" s="122"/>
      <c r="ISP70" s="122"/>
      <c r="ISQ70" s="122"/>
      <c r="ISR70" s="122"/>
      <c r="ISS70" s="122"/>
      <c r="IST70" s="122"/>
      <c r="ISU70" s="122"/>
      <c r="ISV70" s="122"/>
      <c r="ISW70" s="122"/>
      <c r="ISX70" s="122"/>
      <c r="ISY70" s="122"/>
      <c r="ISZ70" s="122"/>
      <c r="ITA70" s="122"/>
      <c r="ITB70" s="122"/>
      <c r="ITC70" s="122"/>
      <c r="ITD70" s="122"/>
      <c r="ITE70" s="122"/>
      <c r="ITF70" s="122"/>
      <c r="ITG70" s="122"/>
      <c r="ITH70" s="122"/>
      <c r="ITI70" s="122"/>
      <c r="ITJ70" s="122"/>
      <c r="ITK70" s="122"/>
      <c r="ITL70" s="122"/>
      <c r="ITM70" s="122"/>
      <c r="ITN70" s="122"/>
      <c r="ITO70" s="122"/>
      <c r="ITP70" s="122"/>
      <c r="ITQ70" s="122"/>
      <c r="ITR70" s="122"/>
      <c r="ITS70" s="122"/>
      <c r="ITT70" s="122"/>
      <c r="ITU70" s="122"/>
      <c r="ITV70" s="122"/>
      <c r="ITW70" s="122"/>
      <c r="ITX70" s="122"/>
      <c r="ITY70" s="122"/>
      <c r="ITZ70" s="122"/>
      <c r="IUA70" s="122"/>
      <c r="IUB70" s="122"/>
      <c r="IUC70" s="122"/>
      <c r="IUD70" s="122"/>
      <c r="IUE70" s="122"/>
      <c r="IUF70" s="122"/>
      <c r="IUG70" s="122"/>
      <c r="IUH70" s="122"/>
      <c r="IUI70" s="122"/>
      <c r="IUJ70" s="122"/>
      <c r="IUK70" s="122"/>
      <c r="IUL70" s="122"/>
      <c r="IUM70" s="122"/>
      <c r="IUN70" s="122"/>
      <c r="IUO70" s="122"/>
      <c r="IUP70" s="122"/>
      <c r="IUQ70" s="122"/>
      <c r="IUR70" s="122"/>
      <c r="IUS70" s="122"/>
      <c r="IUT70" s="122"/>
      <c r="IUU70" s="122"/>
      <c r="IUV70" s="122"/>
      <c r="IUW70" s="122"/>
      <c r="IUX70" s="122"/>
      <c r="IUY70" s="122"/>
      <c r="IUZ70" s="122"/>
      <c r="IVA70" s="122"/>
      <c r="IVB70" s="122"/>
      <c r="IVC70" s="122"/>
      <c r="IVD70" s="122"/>
      <c r="IVE70" s="122"/>
      <c r="IVF70" s="122"/>
      <c r="IVG70" s="122"/>
      <c r="IVH70" s="122"/>
      <c r="IVI70" s="122"/>
      <c r="IVJ70" s="122"/>
      <c r="IVK70" s="122"/>
      <c r="IVL70" s="122"/>
      <c r="IVM70" s="122"/>
      <c r="IVN70" s="122"/>
      <c r="IVO70" s="122"/>
      <c r="IVP70" s="122"/>
      <c r="IVQ70" s="122"/>
      <c r="IVR70" s="122"/>
      <c r="IVS70" s="122"/>
      <c r="IVT70" s="122"/>
      <c r="IVU70" s="122"/>
      <c r="IVV70" s="122"/>
      <c r="IVW70" s="122"/>
      <c r="IVX70" s="122"/>
      <c r="IVY70" s="122"/>
      <c r="IVZ70" s="122"/>
      <c r="IWA70" s="122"/>
      <c r="IWB70" s="122"/>
      <c r="IWC70" s="122"/>
      <c r="IWD70" s="122"/>
      <c r="IWE70" s="122"/>
      <c r="IWF70" s="122"/>
      <c r="IWG70" s="122"/>
      <c r="IWH70" s="122"/>
      <c r="IWI70" s="122"/>
      <c r="IWJ70" s="122"/>
      <c r="IWK70" s="122"/>
      <c r="IWL70" s="122"/>
      <c r="IWM70" s="122"/>
      <c r="IWN70" s="122"/>
      <c r="IWO70" s="122"/>
      <c r="IWP70" s="122"/>
      <c r="IWQ70" s="122"/>
      <c r="IWR70" s="122"/>
      <c r="IWS70" s="122"/>
      <c r="IWT70" s="122"/>
      <c r="IWU70" s="122"/>
      <c r="IWV70" s="122"/>
      <c r="IWW70" s="122"/>
      <c r="IWX70" s="122"/>
      <c r="IWY70" s="122"/>
      <c r="IWZ70" s="122"/>
      <c r="IXA70" s="122"/>
      <c r="IXB70" s="122"/>
      <c r="IXC70" s="122"/>
      <c r="IXD70" s="122"/>
      <c r="IXE70" s="122"/>
      <c r="IXF70" s="122"/>
      <c r="IXG70" s="122"/>
      <c r="IXH70" s="122"/>
      <c r="IXI70" s="122"/>
      <c r="IXJ70" s="122"/>
      <c r="IXK70" s="122"/>
      <c r="IXL70" s="122"/>
      <c r="IXM70" s="122"/>
      <c r="IXN70" s="122"/>
      <c r="IXO70" s="122"/>
      <c r="IXP70" s="122"/>
      <c r="IXQ70" s="122"/>
      <c r="IXR70" s="122"/>
      <c r="IXS70" s="122"/>
      <c r="IXT70" s="122"/>
      <c r="IXU70" s="122"/>
      <c r="IXV70" s="122"/>
      <c r="IXW70" s="122"/>
      <c r="IXX70" s="122"/>
      <c r="IXY70" s="122"/>
      <c r="IXZ70" s="122"/>
      <c r="IYA70" s="122"/>
      <c r="IYB70" s="122"/>
      <c r="IYC70" s="122"/>
      <c r="IYD70" s="122"/>
      <c r="IYE70" s="122"/>
      <c r="IYF70" s="122"/>
      <c r="IYG70" s="122"/>
      <c r="IYH70" s="122"/>
      <c r="IYI70" s="122"/>
      <c r="IYJ70" s="122"/>
      <c r="IYK70" s="122"/>
      <c r="IYL70" s="122"/>
      <c r="IYM70" s="122"/>
      <c r="IYN70" s="122"/>
      <c r="IYO70" s="122"/>
      <c r="IYP70" s="122"/>
      <c r="IYQ70" s="122"/>
      <c r="IYR70" s="122"/>
      <c r="IYS70" s="122"/>
      <c r="IYT70" s="122"/>
      <c r="IYU70" s="122"/>
      <c r="IYV70" s="122"/>
      <c r="IYW70" s="122"/>
      <c r="IYX70" s="122"/>
      <c r="IYY70" s="122"/>
      <c r="IYZ70" s="122"/>
      <c r="IZA70" s="122"/>
      <c r="IZB70" s="122"/>
      <c r="IZC70" s="122"/>
      <c r="IZD70" s="122"/>
      <c r="IZE70" s="122"/>
      <c r="IZF70" s="122"/>
      <c r="IZG70" s="122"/>
      <c r="IZH70" s="122"/>
      <c r="IZI70" s="122"/>
      <c r="IZJ70" s="122"/>
      <c r="IZK70" s="122"/>
      <c r="IZL70" s="122"/>
      <c r="IZM70" s="122"/>
      <c r="IZN70" s="122"/>
      <c r="IZO70" s="122"/>
      <c r="IZP70" s="122"/>
      <c r="IZQ70" s="122"/>
      <c r="IZR70" s="122"/>
      <c r="IZS70" s="122"/>
      <c r="IZT70" s="122"/>
      <c r="IZU70" s="122"/>
      <c r="IZV70" s="122"/>
      <c r="IZW70" s="122"/>
      <c r="IZX70" s="122"/>
      <c r="IZY70" s="122"/>
      <c r="IZZ70" s="122"/>
      <c r="JAA70" s="122"/>
      <c r="JAB70" s="122"/>
      <c r="JAC70" s="122"/>
      <c r="JAD70" s="122"/>
      <c r="JAE70" s="122"/>
      <c r="JAF70" s="122"/>
      <c r="JAG70" s="122"/>
      <c r="JAH70" s="122"/>
      <c r="JAI70" s="122"/>
      <c r="JAJ70" s="122"/>
      <c r="JAK70" s="122"/>
      <c r="JAL70" s="122"/>
      <c r="JAM70" s="122"/>
      <c r="JAN70" s="122"/>
      <c r="JAO70" s="122"/>
      <c r="JAP70" s="122"/>
      <c r="JAQ70" s="122"/>
      <c r="JAR70" s="122"/>
      <c r="JAS70" s="122"/>
      <c r="JAT70" s="122"/>
      <c r="JAU70" s="122"/>
      <c r="JAV70" s="122"/>
      <c r="JAW70" s="122"/>
      <c r="JAX70" s="122"/>
      <c r="JAY70" s="122"/>
      <c r="JAZ70" s="122"/>
      <c r="JBA70" s="122"/>
      <c r="JBB70" s="122"/>
      <c r="JBC70" s="122"/>
      <c r="JBD70" s="122"/>
      <c r="JBE70" s="122"/>
      <c r="JBF70" s="122"/>
      <c r="JBG70" s="122"/>
      <c r="JBH70" s="122"/>
      <c r="JBI70" s="122"/>
      <c r="JBJ70" s="122"/>
      <c r="JBK70" s="122"/>
      <c r="JBL70" s="122"/>
      <c r="JBM70" s="122"/>
      <c r="JBN70" s="122"/>
      <c r="JBO70" s="122"/>
      <c r="JBP70" s="122"/>
      <c r="JBQ70" s="122"/>
      <c r="JBR70" s="122"/>
      <c r="JBS70" s="122"/>
      <c r="JBT70" s="122"/>
      <c r="JBU70" s="122"/>
      <c r="JBV70" s="122"/>
      <c r="JBW70" s="122"/>
      <c r="JBX70" s="122"/>
      <c r="JBY70" s="122"/>
      <c r="JBZ70" s="122"/>
      <c r="JCA70" s="122"/>
      <c r="JCB70" s="122"/>
      <c r="JCC70" s="122"/>
      <c r="JCD70" s="122"/>
      <c r="JCE70" s="122"/>
      <c r="JCF70" s="122"/>
      <c r="JCG70" s="122"/>
      <c r="JCH70" s="122"/>
      <c r="JCI70" s="122"/>
      <c r="JCJ70" s="122"/>
      <c r="JCK70" s="122"/>
      <c r="JCL70" s="122"/>
      <c r="JCM70" s="122"/>
      <c r="JCN70" s="122"/>
      <c r="JCO70" s="122"/>
      <c r="JCP70" s="122"/>
      <c r="JCQ70" s="122"/>
      <c r="JCR70" s="122"/>
      <c r="JCS70" s="122"/>
      <c r="JCT70" s="122"/>
      <c r="JCU70" s="122"/>
      <c r="JCV70" s="122"/>
      <c r="JCW70" s="122"/>
      <c r="JCX70" s="122"/>
      <c r="JCY70" s="122"/>
      <c r="JCZ70" s="122"/>
      <c r="JDA70" s="122"/>
      <c r="JDB70" s="122"/>
      <c r="JDC70" s="122"/>
      <c r="JDD70" s="122"/>
      <c r="JDE70" s="122"/>
      <c r="JDF70" s="122"/>
      <c r="JDG70" s="122"/>
      <c r="JDH70" s="122"/>
      <c r="JDI70" s="122"/>
      <c r="JDJ70" s="122"/>
      <c r="JDK70" s="122"/>
      <c r="JDL70" s="122"/>
      <c r="JDM70" s="122"/>
      <c r="JDN70" s="122"/>
      <c r="JDO70" s="122"/>
      <c r="JDP70" s="122"/>
      <c r="JDQ70" s="122"/>
      <c r="JDR70" s="122"/>
      <c r="JDS70" s="122"/>
      <c r="JDT70" s="122"/>
      <c r="JDU70" s="122"/>
      <c r="JDV70" s="122"/>
      <c r="JDW70" s="122"/>
      <c r="JDX70" s="122"/>
      <c r="JDY70" s="122"/>
      <c r="JDZ70" s="122"/>
      <c r="JEA70" s="122"/>
      <c r="JEB70" s="122"/>
      <c r="JEC70" s="122"/>
      <c r="JED70" s="122"/>
      <c r="JEE70" s="122"/>
      <c r="JEF70" s="122"/>
      <c r="JEG70" s="122"/>
      <c r="JEH70" s="122"/>
      <c r="JEI70" s="122"/>
      <c r="JEJ70" s="122"/>
      <c r="JEK70" s="122"/>
      <c r="JEL70" s="122"/>
      <c r="JEM70" s="122"/>
      <c r="JEN70" s="122"/>
      <c r="JEO70" s="122"/>
      <c r="JEP70" s="122"/>
      <c r="JEQ70" s="122"/>
      <c r="JER70" s="122"/>
      <c r="JES70" s="122"/>
      <c r="JET70" s="122"/>
      <c r="JEU70" s="122"/>
      <c r="JEV70" s="122"/>
      <c r="JEW70" s="122"/>
      <c r="JEX70" s="122"/>
      <c r="JEY70" s="122"/>
      <c r="JEZ70" s="122"/>
      <c r="JFA70" s="122"/>
      <c r="JFB70" s="122"/>
      <c r="JFC70" s="122"/>
      <c r="JFD70" s="122"/>
      <c r="JFE70" s="122"/>
      <c r="JFF70" s="122"/>
      <c r="JFG70" s="122"/>
      <c r="JFH70" s="122"/>
      <c r="JFI70" s="122"/>
      <c r="JFJ70" s="122"/>
      <c r="JFK70" s="122"/>
      <c r="JFL70" s="122"/>
      <c r="JFM70" s="122"/>
      <c r="JFN70" s="122"/>
      <c r="JFO70" s="122"/>
      <c r="JFP70" s="122"/>
      <c r="JFQ70" s="122"/>
      <c r="JFR70" s="122"/>
      <c r="JFS70" s="122"/>
      <c r="JFT70" s="122"/>
      <c r="JFU70" s="122"/>
      <c r="JFV70" s="122"/>
      <c r="JFW70" s="122"/>
      <c r="JFX70" s="122"/>
      <c r="JFY70" s="122"/>
      <c r="JFZ70" s="122"/>
      <c r="JGA70" s="122"/>
      <c r="JGB70" s="122"/>
      <c r="JGC70" s="122"/>
      <c r="JGD70" s="122"/>
      <c r="JGE70" s="122"/>
      <c r="JGF70" s="122"/>
      <c r="JGG70" s="122"/>
      <c r="JGH70" s="122"/>
      <c r="JGI70" s="122"/>
      <c r="JGJ70" s="122"/>
      <c r="JGK70" s="122"/>
      <c r="JGL70" s="122"/>
      <c r="JGM70" s="122"/>
      <c r="JGN70" s="122"/>
      <c r="JGO70" s="122"/>
      <c r="JGP70" s="122"/>
      <c r="JGQ70" s="122"/>
      <c r="JGR70" s="122"/>
      <c r="JGS70" s="122"/>
      <c r="JGT70" s="122"/>
      <c r="JGU70" s="122"/>
      <c r="JGV70" s="122"/>
      <c r="JGW70" s="122"/>
      <c r="JGX70" s="122"/>
      <c r="JGY70" s="122"/>
      <c r="JGZ70" s="122"/>
      <c r="JHA70" s="122"/>
      <c r="JHB70" s="122"/>
      <c r="JHC70" s="122"/>
      <c r="JHD70" s="122"/>
      <c r="JHE70" s="122"/>
      <c r="JHF70" s="122"/>
      <c r="JHG70" s="122"/>
      <c r="JHH70" s="122"/>
      <c r="JHI70" s="122"/>
      <c r="JHJ70" s="122"/>
      <c r="JHK70" s="122"/>
      <c r="JHL70" s="122"/>
      <c r="JHM70" s="122"/>
      <c r="JHN70" s="122"/>
      <c r="JHO70" s="122"/>
      <c r="JHP70" s="122"/>
      <c r="JHQ70" s="122"/>
      <c r="JHR70" s="122"/>
      <c r="JHS70" s="122"/>
      <c r="JHT70" s="122"/>
      <c r="JHU70" s="122"/>
      <c r="JHV70" s="122"/>
      <c r="JHW70" s="122"/>
      <c r="JHX70" s="122"/>
      <c r="JHY70" s="122"/>
      <c r="JHZ70" s="122"/>
      <c r="JIA70" s="122"/>
      <c r="JIB70" s="122"/>
      <c r="JIC70" s="122"/>
      <c r="JID70" s="122"/>
      <c r="JIE70" s="122"/>
      <c r="JIF70" s="122"/>
      <c r="JIG70" s="122"/>
      <c r="JIH70" s="122"/>
      <c r="JII70" s="122"/>
      <c r="JIJ70" s="122"/>
      <c r="JIK70" s="122"/>
      <c r="JIL70" s="122"/>
      <c r="JIM70" s="122"/>
      <c r="JIN70" s="122"/>
      <c r="JIO70" s="122"/>
      <c r="JIP70" s="122"/>
      <c r="JIQ70" s="122"/>
      <c r="JIR70" s="122"/>
      <c r="JIS70" s="122"/>
      <c r="JIT70" s="122"/>
      <c r="JIU70" s="122"/>
      <c r="JIV70" s="122"/>
      <c r="JIW70" s="122"/>
      <c r="JIX70" s="122"/>
      <c r="JIY70" s="122"/>
      <c r="JIZ70" s="122"/>
      <c r="JJA70" s="122"/>
      <c r="JJB70" s="122"/>
      <c r="JJC70" s="122"/>
      <c r="JJD70" s="122"/>
      <c r="JJE70" s="122"/>
      <c r="JJF70" s="122"/>
      <c r="JJG70" s="122"/>
      <c r="JJH70" s="122"/>
      <c r="JJI70" s="122"/>
      <c r="JJJ70" s="122"/>
      <c r="JJK70" s="122"/>
      <c r="JJL70" s="122"/>
      <c r="JJM70" s="122"/>
      <c r="JJN70" s="122"/>
      <c r="JJO70" s="122"/>
      <c r="JJP70" s="122"/>
      <c r="JJQ70" s="122"/>
      <c r="JJR70" s="122"/>
      <c r="JJS70" s="122"/>
      <c r="JJT70" s="122"/>
      <c r="JJU70" s="122"/>
      <c r="JJV70" s="122"/>
      <c r="JJW70" s="122"/>
      <c r="JJX70" s="122"/>
      <c r="JJY70" s="122"/>
      <c r="JJZ70" s="122"/>
      <c r="JKA70" s="122"/>
      <c r="JKB70" s="122"/>
      <c r="JKC70" s="122"/>
      <c r="JKD70" s="122"/>
      <c r="JKE70" s="122"/>
      <c r="JKF70" s="122"/>
      <c r="JKG70" s="122"/>
      <c r="JKH70" s="122"/>
      <c r="JKI70" s="122"/>
      <c r="JKJ70" s="122"/>
      <c r="JKK70" s="122"/>
      <c r="JKL70" s="122"/>
      <c r="JKM70" s="122"/>
      <c r="JKN70" s="122"/>
      <c r="JKO70" s="122"/>
      <c r="JKP70" s="122"/>
      <c r="JKQ70" s="122"/>
      <c r="JKR70" s="122"/>
      <c r="JKS70" s="122"/>
      <c r="JKT70" s="122"/>
      <c r="JKU70" s="122"/>
      <c r="JKV70" s="122"/>
      <c r="JKW70" s="122"/>
      <c r="JKX70" s="122"/>
      <c r="JKY70" s="122"/>
      <c r="JKZ70" s="122"/>
      <c r="JLA70" s="122"/>
      <c r="JLB70" s="122"/>
      <c r="JLC70" s="122"/>
      <c r="JLD70" s="122"/>
      <c r="JLE70" s="122"/>
      <c r="JLF70" s="122"/>
      <c r="JLG70" s="122"/>
      <c r="JLH70" s="122"/>
      <c r="JLI70" s="122"/>
      <c r="JLJ70" s="122"/>
      <c r="JLK70" s="122"/>
      <c r="JLL70" s="122"/>
      <c r="JLM70" s="122"/>
      <c r="JLN70" s="122"/>
      <c r="JLO70" s="122"/>
      <c r="JLP70" s="122"/>
      <c r="JLQ70" s="122"/>
      <c r="JLR70" s="122"/>
      <c r="JLS70" s="122"/>
      <c r="JLT70" s="122"/>
      <c r="JLU70" s="122"/>
      <c r="JLV70" s="122"/>
      <c r="JLW70" s="122"/>
      <c r="JLX70" s="122"/>
      <c r="JLY70" s="122"/>
      <c r="JLZ70" s="122"/>
      <c r="JMA70" s="122"/>
      <c r="JMB70" s="122"/>
      <c r="JMC70" s="122"/>
      <c r="JMD70" s="122"/>
      <c r="JME70" s="122"/>
      <c r="JMF70" s="122"/>
      <c r="JMG70" s="122"/>
      <c r="JMH70" s="122"/>
      <c r="JMI70" s="122"/>
      <c r="JMJ70" s="122"/>
      <c r="JMK70" s="122"/>
      <c r="JML70" s="122"/>
      <c r="JMM70" s="122"/>
      <c r="JMN70" s="122"/>
      <c r="JMO70" s="122"/>
      <c r="JMP70" s="122"/>
      <c r="JMQ70" s="122"/>
      <c r="JMR70" s="122"/>
      <c r="JMS70" s="122"/>
      <c r="JMT70" s="122"/>
      <c r="JMU70" s="122"/>
      <c r="JMV70" s="122"/>
      <c r="JMW70" s="122"/>
      <c r="JMX70" s="122"/>
      <c r="JMY70" s="122"/>
      <c r="JMZ70" s="122"/>
      <c r="JNA70" s="122"/>
      <c r="JNB70" s="122"/>
      <c r="JNC70" s="122"/>
      <c r="JND70" s="122"/>
      <c r="JNE70" s="122"/>
      <c r="JNF70" s="122"/>
      <c r="JNG70" s="122"/>
      <c r="JNH70" s="122"/>
      <c r="JNI70" s="122"/>
      <c r="JNJ70" s="122"/>
      <c r="JNK70" s="122"/>
      <c r="JNL70" s="122"/>
      <c r="JNM70" s="122"/>
      <c r="JNN70" s="122"/>
      <c r="JNO70" s="122"/>
      <c r="JNP70" s="122"/>
      <c r="JNQ70" s="122"/>
      <c r="JNR70" s="122"/>
      <c r="JNS70" s="122"/>
      <c r="JNT70" s="122"/>
      <c r="JNU70" s="122"/>
      <c r="JNV70" s="122"/>
      <c r="JNW70" s="122"/>
      <c r="JNX70" s="122"/>
      <c r="JNY70" s="122"/>
      <c r="JNZ70" s="122"/>
      <c r="JOA70" s="122"/>
      <c r="JOB70" s="122"/>
      <c r="JOC70" s="122"/>
      <c r="JOD70" s="122"/>
      <c r="JOE70" s="122"/>
      <c r="JOF70" s="122"/>
      <c r="JOG70" s="122"/>
      <c r="JOH70" s="122"/>
      <c r="JOI70" s="122"/>
      <c r="JOJ70" s="122"/>
      <c r="JOK70" s="122"/>
      <c r="JOL70" s="122"/>
      <c r="JOM70" s="122"/>
      <c r="JON70" s="122"/>
      <c r="JOO70" s="122"/>
      <c r="JOP70" s="122"/>
      <c r="JOQ70" s="122"/>
      <c r="JOR70" s="122"/>
      <c r="JOS70" s="122"/>
      <c r="JOT70" s="122"/>
      <c r="JOU70" s="122"/>
      <c r="JOV70" s="122"/>
      <c r="JOW70" s="122"/>
      <c r="JOX70" s="122"/>
      <c r="JOY70" s="122"/>
      <c r="JOZ70" s="122"/>
      <c r="JPA70" s="122"/>
      <c r="JPB70" s="122"/>
      <c r="JPC70" s="122"/>
      <c r="JPD70" s="122"/>
      <c r="JPE70" s="122"/>
      <c r="JPF70" s="122"/>
      <c r="JPG70" s="122"/>
      <c r="JPH70" s="122"/>
      <c r="JPI70" s="122"/>
      <c r="JPJ70" s="122"/>
      <c r="JPK70" s="122"/>
      <c r="JPL70" s="122"/>
      <c r="JPM70" s="122"/>
      <c r="JPN70" s="122"/>
      <c r="JPO70" s="122"/>
      <c r="JPP70" s="122"/>
      <c r="JPQ70" s="122"/>
      <c r="JPR70" s="122"/>
      <c r="JPS70" s="122"/>
      <c r="JPT70" s="122"/>
      <c r="JPU70" s="122"/>
      <c r="JPV70" s="122"/>
      <c r="JPW70" s="122"/>
      <c r="JPX70" s="122"/>
      <c r="JPY70" s="122"/>
      <c r="JPZ70" s="122"/>
      <c r="JQA70" s="122"/>
      <c r="JQB70" s="122"/>
      <c r="JQC70" s="122"/>
      <c r="JQD70" s="122"/>
      <c r="JQE70" s="122"/>
      <c r="JQF70" s="122"/>
      <c r="JQG70" s="122"/>
      <c r="JQH70" s="122"/>
      <c r="JQI70" s="122"/>
      <c r="JQJ70" s="122"/>
      <c r="JQK70" s="122"/>
      <c r="JQL70" s="122"/>
      <c r="JQM70" s="122"/>
      <c r="JQN70" s="122"/>
      <c r="JQO70" s="122"/>
      <c r="JQP70" s="122"/>
      <c r="JQQ70" s="122"/>
      <c r="JQR70" s="122"/>
      <c r="JQS70" s="122"/>
      <c r="JQT70" s="122"/>
      <c r="JQU70" s="122"/>
      <c r="JQV70" s="122"/>
      <c r="JQW70" s="122"/>
      <c r="JQX70" s="122"/>
      <c r="JQY70" s="122"/>
      <c r="JQZ70" s="122"/>
      <c r="JRA70" s="122"/>
      <c r="JRB70" s="122"/>
      <c r="JRC70" s="122"/>
      <c r="JRD70" s="122"/>
      <c r="JRE70" s="122"/>
      <c r="JRF70" s="122"/>
      <c r="JRG70" s="122"/>
      <c r="JRH70" s="122"/>
      <c r="JRI70" s="122"/>
      <c r="JRJ70" s="122"/>
      <c r="JRK70" s="122"/>
      <c r="JRL70" s="122"/>
      <c r="JRM70" s="122"/>
      <c r="JRN70" s="122"/>
      <c r="JRO70" s="122"/>
      <c r="JRP70" s="122"/>
      <c r="JRQ70" s="122"/>
      <c r="JRR70" s="122"/>
      <c r="JRS70" s="122"/>
      <c r="JRT70" s="122"/>
      <c r="JRU70" s="122"/>
      <c r="JRV70" s="122"/>
      <c r="JRW70" s="122"/>
      <c r="JRX70" s="122"/>
      <c r="JRY70" s="122"/>
      <c r="JRZ70" s="122"/>
      <c r="JSA70" s="122"/>
      <c r="JSB70" s="122"/>
      <c r="JSC70" s="122"/>
      <c r="JSD70" s="122"/>
      <c r="JSE70" s="122"/>
      <c r="JSF70" s="122"/>
      <c r="JSG70" s="122"/>
      <c r="JSH70" s="122"/>
      <c r="JSI70" s="122"/>
      <c r="JSJ70" s="122"/>
      <c r="JSK70" s="122"/>
      <c r="JSL70" s="122"/>
      <c r="JSM70" s="122"/>
      <c r="JSN70" s="122"/>
      <c r="JSO70" s="122"/>
      <c r="JSP70" s="122"/>
      <c r="JSQ70" s="122"/>
      <c r="JSR70" s="122"/>
      <c r="JSS70" s="122"/>
      <c r="JST70" s="122"/>
      <c r="JSU70" s="122"/>
      <c r="JSV70" s="122"/>
      <c r="JSW70" s="122"/>
      <c r="JSX70" s="122"/>
      <c r="JSY70" s="122"/>
      <c r="JSZ70" s="122"/>
      <c r="JTA70" s="122"/>
      <c r="JTB70" s="122"/>
      <c r="JTC70" s="122"/>
      <c r="JTD70" s="122"/>
      <c r="JTE70" s="122"/>
      <c r="JTF70" s="122"/>
      <c r="JTG70" s="122"/>
      <c r="JTH70" s="122"/>
      <c r="JTI70" s="122"/>
      <c r="JTJ70" s="122"/>
      <c r="JTK70" s="122"/>
      <c r="JTL70" s="122"/>
      <c r="JTM70" s="122"/>
      <c r="JTN70" s="122"/>
      <c r="JTO70" s="122"/>
      <c r="JTP70" s="122"/>
      <c r="JTQ70" s="122"/>
      <c r="JTR70" s="122"/>
      <c r="JTS70" s="122"/>
      <c r="JTT70" s="122"/>
      <c r="JTU70" s="122"/>
      <c r="JTV70" s="122"/>
      <c r="JTW70" s="122"/>
      <c r="JTX70" s="122"/>
      <c r="JTY70" s="122"/>
      <c r="JTZ70" s="122"/>
      <c r="JUA70" s="122"/>
      <c r="JUB70" s="122"/>
      <c r="JUC70" s="122"/>
      <c r="JUD70" s="122"/>
      <c r="JUE70" s="122"/>
      <c r="JUF70" s="122"/>
      <c r="JUG70" s="122"/>
      <c r="JUH70" s="122"/>
      <c r="JUI70" s="122"/>
      <c r="JUJ70" s="122"/>
      <c r="JUK70" s="122"/>
      <c r="JUL70" s="122"/>
      <c r="JUM70" s="122"/>
      <c r="JUN70" s="122"/>
      <c r="JUO70" s="122"/>
      <c r="JUP70" s="122"/>
      <c r="JUQ70" s="122"/>
      <c r="JUR70" s="122"/>
      <c r="JUS70" s="122"/>
      <c r="JUT70" s="122"/>
      <c r="JUU70" s="122"/>
      <c r="JUV70" s="122"/>
      <c r="JUW70" s="122"/>
      <c r="JUX70" s="122"/>
      <c r="JUY70" s="122"/>
      <c r="JUZ70" s="122"/>
      <c r="JVA70" s="122"/>
      <c r="JVB70" s="122"/>
      <c r="JVC70" s="122"/>
      <c r="JVD70" s="122"/>
      <c r="JVE70" s="122"/>
      <c r="JVF70" s="122"/>
      <c r="JVG70" s="122"/>
      <c r="JVH70" s="122"/>
      <c r="JVI70" s="122"/>
      <c r="JVJ70" s="122"/>
      <c r="JVK70" s="122"/>
      <c r="JVL70" s="122"/>
      <c r="JVM70" s="122"/>
      <c r="JVN70" s="122"/>
      <c r="JVO70" s="122"/>
      <c r="JVP70" s="122"/>
      <c r="JVQ70" s="122"/>
      <c r="JVR70" s="122"/>
      <c r="JVS70" s="122"/>
      <c r="JVT70" s="122"/>
      <c r="JVU70" s="122"/>
      <c r="JVV70" s="122"/>
      <c r="JVW70" s="122"/>
      <c r="JVX70" s="122"/>
      <c r="JVY70" s="122"/>
      <c r="JVZ70" s="122"/>
      <c r="JWA70" s="122"/>
      <c r="JWB70" s="122"/>
      <c r="JWC70" s="122"/>
      <c r="JWD70" s="122"/>
      <c r="JWE70" s="122"/>
      <c r="JWF70" s="122"/>
      <c r="JWG70" s="122"/>
      <c r="JWH70" s="122"/>
      <c r="JWI70" s="122"/>
      <c r="JWJ70" s="122"/>
      <c r="JWK70" s="122"/>
      <c r="JWL70" s="122"/>
      <c r="JWM70" s="122"/>
      <c r="JWN70" s="122"/>
      <c r="JWO70" s="122"/>
      <c r="JWP70" s="122"/>
      <c r="JWQ70" s="122"/>
      <c r="JWR70" s="122"/>
      <c r="JWS70" s="122"/>
      <c r="JWT70" s="122"/>
      <c r="JWU70" s="122"/>
      <c r="JWV70" s="122"/>
      <c r="JWW70" s="122"/>
      <c r="JWX70" s="122"/>
      <c r="JWY70" s="122"/>
      <c r="JWZ70" s="122"/>
      <c r="JXA70" s="122"/>
      <c r="JXB70" s="122"/>
      <c r="JXC70" s="122"/>
      <c r="JXD70" s="122"/>
      <c r="JXE70" s="122"/>
      <c r="JXF70" s="122"/>
      <c r="JXG70" s="122"/>
      <c r="JXH70" s="122"/>
      <c r="JXI70" s="122"/>
      <c r="JXJ70" s="122"/>
      <c r="JXK70" s="122"/>
      <c r="JXL70" s="122"/>
      <c r="JXM70" s="122"/>
      <c r="JXN70" s="122"/>
      <c r="JXO70" s="122"/>
      <c r="JXP70" s="122"/>
      <c r="JXQ70" s="122"/>
      <c r="JXR70" s="122"/>
      <c r="JXS70" s="122"/>
      <c r="JXT70" s="122"/>
      <c r="JXU70" s="122"/>
      <c r="JXV70" s="122"/>
      <c r="JXW70" s="122"/>
      <c r="JXX70" s="122"/>
      <c r="JXY70" s="122"/>
      <c r="JXZ70" s="122"/>
      <c r="JYA70" s="122"/>
      <c r="JYB70" s="122"/>
      <c r="JYC70" s="122"/>
      <c r="JYD70" s="122"/>
      <c r="JYE70" s="122"/>
      <c r="JYF70" s="122"/>
      <c r="JYG70" s="122"/>
      <c r="JYH70" s="122"/>
      <c r="JYI70" s="122"/>
      <c r="JYJ70" s="122"/>
      <c r="JYK70" s="122"/>
      <c r="JYL70" s="122"/>
      <c r="JYM70" s="122"/>
      <c r="JYN70" s="122"/>
      <c r="JYO70" s="122"/>
      <c r="JYP70" s="122"/>
      <c r="JYQ70" s="122"/>
      <c r="JYR70" s="122"/>
      <c r="JYS70" s="122"/>
      <c r="JYT70" s="122"/>
      <c r="JYU70" s="122"/>
      <c r="JYV70" s="122"/>
      <c r="JYW70" s="122"/>
      <c r="JYX70" s="122"/>
      <c r="JYY70" s="122"/>
      <c r="JYZ70" s="122"/>
      <c r="JZA70" s="122"/>
      <c r="JZB70" s="122"/>
      <c r="JZC70" s="122"/>
      <c r="JZD70" s="122"/>
      <c r="JZE70" s="122"/>
      <c r="JZF70" s="122"/>
      <c r="JZG70" s="122"/>
      <c r="JZH70" s="122"/>
      <c r="JZI70" s="122"/>
      <c r="JZJ70" s="122"/>
      <c r="JZK70" s="122"/>
      <c r="JZL70" s="122"/>
      <c r="JZM70" s="122"/>
      <c r="JZN70" s="122"/>
      <c r="JZO70" s="122"/>
      <c r="JZP70" s="122"/>
      <c r="JZQ70" s="122"/>
      <c r="JZR70" s="122"/>
      <c r="JZS70" s="122"/>
      <c r="JZT70" s="122"/>
      <c r="JZU70" s="122"/>
      <c r="JZV70" s="122"/>
      <c r="JZW70" s="122"/>
      <c r="JZX70" s="122"/>
      <c r="JZY70" s="122"/>
      <c r="JZZ70" s="122"/>
      <c r="KAA70" s="122"/>
      <c r="KAB70" s="122"/>
      <c r="KAC70" s="122"/>
      <c r="KAD70" s="122"/>
      <c r="KAE70" s="122"/>
      <c r="KAF70" s="122"/>
      <c r="KAG70" s="122"/>
      <c r="KAH70" s="122"/>
      <c r="KAI70" s="122"/>
      <c r="KAJ70" s="122"/>
      <c r="KAK70" s="122"/>
      <c r="KAL70" s="122"/>
      <c r="KAM70" s="122"/>
      <c r="KAN70" s="122"/>
      <c r="KAO70" s="122"/>
      <c r="KAP70" s="122"/>
      <c r="KAQ70" s="122"/>
      <c r="KAR70" s="122"/>
      <c r="KAS70" s="122"/>
      <c r="KAT70" s="122"/>
      <c r="KAU70" s="122"/>
      <c r="KAV70" s="122"/>
      <c r="KAW70" s="122"/>
      <c r="KAX70" s="122"/>
      <c r="KAY70" s="122"/>
      <c r="KAZ70" s="122"/>
      <c r="KBA70" s="122"/>
      <c r="KBB70" s="122"/>
      <c r="KBC70" s="122"/>
      <c r="KBD70" s="122"/>
      <c r="KBE70" s="122"/>
      <c r="KBF70" s="122"/>
      <c r="KBG70" s="122"/>
      <c r="KBH70" s="122"/>
      <c r="KBI70" s="122"/>
      <c r="KBJ70" s="122"/>
      <c r="KBK70" s="122"/>
      <c r="KBL70" s="122"/>
      <c r="KBM70" s="122"/>
      <c r="KBN70" s="122"/>
      <c r="KBO70" s="122"/>
      <c r="KBP70" s="122"/>
      <c r="KBQ70" s="122"/>
      <c r="KBR70" s="122"/>
      <c r="KBS70" s="122"/>
      <c r="KBT70" s="122"/>
      <c r="KBU70" s="122"/>
      <c r="KBV70" s="122"/>
      <c r="KBW70" s="122"/>
      <c r="KBX70" s="122"/>
      <c r="KBY70" s="122"/>
      <c r="KBZ70" s="122"/>
      <c r="KCA70" s="122"/>
      <c r="KCB70" s="122"/>
      <c r="KCC70" s="122"/>
      <c r="KCD70" s="122"/>
      <c r="KCE70" s="122"/>
      <c r="KCF70" s="122"/>
      <c r="KCG70" s="122"/>
      <c r="KCH70" s="122"/>
      <c r="KCI70" s="122"/>
      <c r="KCJ70" s="122"/>
      <c r="KCK70" s="122"/>
      <c r="KCL70" s="122"/>
      <c r="KCM70" s="122"/>
      <c r="KCN70" s="122"/>
      <c r="KCO70" s="122"/>
      <c r="KCP70" s="122"/>
      <c r="KCQ70" s="122"/>
      <c r="KCR70" s="122"/>
      <c r="KCS70" s="122"/>
      <c r="KCT70" s="122"/>
      <c r="KCU70" s="122"/>
      <c r="KCV70" s="122"/>
      <c r="KCW70" s="122"/>
      <c r="KCX70" s="122"/>
      <c r="KCY70" s="122"/>
      <c r="KCZ70" s="122"/>
      <c r="KDA70" s="122"/>
      <c r="KDB70" s="122"/>
      <c r="KDC70" s="122"/>
      <c r="KDD70" s="122"/>
      <c r="KDE70" s="122"/>
      <c r="KDF70" s="122"/>
      <c r="KDG70" s="122"/>
      <c r="KDH70" s="122"/>
      <c r="KDI70" s="122"/>
      <c r="KDJ70" s="122"/>
      <c r="KDK70" s="122"/>
      <c r="KDL70" s="122"/>
      <c r="KDM70" s="122"/>
      <c r="KDN70" s="122"/>
      <c r="KDO70" s="122"/>
      <c r="KDP70" s="122"/>
      <c r="KDQ70" s="122"/>
      <c r="KDR70" s="122"/>
      <c r="KDS70" s="122"/>
      <c r="KDT70" s="122"/>
      <c r="KDU70" s="122"/>
      <c r="KDV70" s="122"/>
      <c r="KDW70" s="122"/>
      <c r="KDX70" s="122"/>
      <c r="KDY70" s="122"/>
      <c r="KDZ70" s="122"/>
      <c r="KEA70" s="122"/>
      <c r="KEB70" s="122"/>
      <c r="KEC70" s="122"/>
      <c r="KED70" s="122"/>
      <c r="KEE70" s="122"/>
      <c r="KEF70" s="122"/>
      <c r="KEG70" s="122"/>
      <c r="KEH70" s="122"/>
      <c r="KEI70" s="122"/>
      <c r="KEJ70" s="122"/>
      <c r="KEK70" s="122"/>
      <c r="KEL70" s="122"/>
      <c r="KEM70" s="122"/>
      <c r="KEN70" s="122"/>
      <c r="KEO70" s="122"/>
      <c r="KEP70" s="122"/>
      <c r="KEQ70" s="122"/>
      <c r="KER70" s="122"/>
      <c r="KES70" s="122"/>
      <c r="KET70" s="122"/>
      <c r="KEU70" s="122"/>
      <c r="KEV70" s="122"/>
      <c r="KEW70" s="122"/>
      <c r="KEX70" s="122"/>
      <c r="KEY70" s="122"/>
      <c r="KEZ70" s="122"/>
      <c r="KFA70" s="122"/>
      <c r="KFB70" s="122"/>
      <c r="KFC70" s="122"/>
      <c r="KFD70" s="122"/>
      <c r="KFE70" s="122"/>
      <c r="KFF70" s="122"/>
      <c r="KFG70" s="122"/>
      <c r="KFH70" s="122"/>
      <c r="KFI70" s="122"/>
      <c r="KFJ70" s="122"/>
      <c r="KFK70" s="122"/>
      <c r="KFL70" s="122"/>
      <c r="KFM70" s="122"/>
      <c r="KFN70" s="122"/>
      <c r="KFO70" s="122"/>
      <c r="KFP70" s="122"/>
      <c r="KFQ70" s="122"/>
      <c r="KFR70" s="122"/>
      <c r="KFS70" s="122"/>
      <c r="KFT70" s="122"/>
      <c r="KFU70" s="122"/>
      <c r="KFV70" s="122"/>
      <c r="KFW70" s="122"/>
      <c r="KFX70" s="122"/>
      <c r="KFY70" s="122"/>
      <c r="KFZ70" s="122"/>
      <c r="KGA70" s="122"/>
      <c r="KGB70" s="122"/>
      <c r="KGC70" s="122"/>
      <c r="KGD70" s="122"/>
      <c r="KGE70" s="122"/>
      <c r="KGF70" s="122"/>
      <c r="KGG70" s="122"/>
      <c r="KGH70" s="122"/>
      <c r="KGI70" s="122"/>
      <c r="KGJ70" s="122"/>
      <c r="KGK70" s="122"/>
      <c r="KGL70" s="122"/>
      <c r="KGM70" s="122"/>
      <c r="KGN70" s="122"/>
      <c r="KGO70" s="122"/>
      <c r="KGP70" s="122"/>
      <c r="KGQ70" s="122"/>
      <c r="KGR70" s="122"/>
      <c r="KGS70" s="122"/>
      <c r="KGT70" s="122"/>
      <c r="KGU70" s="122"/>
      <c r="KGV70" s="122"/>
      <c r="KGW70" s="122"/>
      <c r="KGX70" s="122"/>
      <c r="KGY70" s="122"/>
      <c r="KGZ70" s="122"/>
      <c r="KHA70" s="122"/>
      <c r="KHB70" s="122"/>
      <c r="KHC70" s="122"/>
      <c r="KHD70" s="122"/>
      <c r="KHE70" s="122"/>
      <c r="KHF70" s="122"/>
      <c r="KHG70" s="122"/>
      <c r="KHH70" s="122"/>
      <c r="KHI70" s="122"/>
      <c r="KHJ70" s="122"/>
      <c r="KHK70" s="122"/>
      <c r="KHL70" s="122"/>
      <c r="KHM70" s="122"/>
      <c r="KHN70" s="122"/>
      <c r="KHO70" s="122"/>
      <c r="KHP70" s="122"/>
      <c r="KHQ70" s="122"/>
      <c r="KHR70" s="122"/>
      <c r="KHS70" s="122"/>
      <c r="KHT70" s="122"/>
      <c r="KHU70" s="122"/>
      <c r="KHV70" s="122"/>
      <c r="KHW70" s="122"/>
      <c r="KHX70" s="122"/>
      <c r="KHY70" s="122"/>
      <c r="KHZ70" s="122"/>
      <c r="KIA70" s="122"/>
      <c r="KIB70" s="122"/>
      <c r="KIC70" s="122"/>
      <c r="KID70" s="122"/>
      <c r="KIE70" s="122"/>
      <c r="KIF70" s="122"/>
      <c r="KIG70" s="122"/>
      <c r="KIH70" s="122"/>
      <c r="KII70" s="122"/>
      <c r="KIJ70" s="122"/>
      <c r="KIK70" s="122"/>
      <c r="KIL70" s="122"/>
      <c r="KIM70" s="122"/>
      <c r="KIN70" s="122"/>
      <c r="KIO70" s="122"/>
      <c r="KIP70" s="122"/>
      <c r="KIQ70" s="122"/>
      <c r="KIR70" s="122"/>
      <c r="KIS70" s="122"/>
      <c r="KIT70" s="122"/>
      <c r="KIU70" s="122"/>
      <c r="KIV70" s="122"/>
      <c r="KIW70" s="122"/>
      <c r="KIX70" s="122"/>
      <c r="KIY70" s="122"/>
      <c r="KIZ70" s="122"/>
      <c r="KJA70" s="122"/>
      <c r="KJB70" s="122"/>
      <c r="KJC70" s="122"/>
      <c r="KJD70" s="122"/>
      <c r="KJE70" s="122"/>
      <c r="KJF70" s="122"/>
      <c r="KJG70" s="122"/>
      <c r="KJH70" s="122"/>
      <c r="KJI70" s="122"/>
      <c r="KJJ70" s="122"/>
      <c r="KJK70" s="122"/>
      <c r="KJL70" s="122"/>
      <c r="KJM70" s="122"/>
      <c r="KJN70" s="122"/>
      <c r="KJO70" s="122"/>
      <c r="KJP70" s="122"/>
      <c r="KJQ70" s="122"/>
      <c r="KJR70" s="122"/>
      <c r="KJS70" s="122"/>
      <c r="KJT70" s="122"/>
      <c r="KJU70" s="122"/>
      <c r="KJV70" s="122"/>
      <c r="KJW70" s="122"/>
      <c r="KJX70" s="122"/>
      <c r="KJY70" s="122"/>
      <c r="KJZ70" s="122"/>
      <c r="KKA70" s="122"/>
      <c r="KKB70" s="122"/>
      <c r="KKC70" s="122"/>
      <c r="KKD70" s="122"/>
      <c r="KKE70" s="122"/>
      <c r="KKF70" s="122"/>
      <c r="KKG70" s="122"/>
      <c r="KKH70" s="122"/>
      <c r="KKI70" s="122"/>
      <c r="KKJ70" s="122"/>
      <c r="KKK70" s="122"/>
      <c r="KKL70" s="122"/>
      <c r="KKM70" s="122"/>
      <c r="KKN70" s="122"/>
      <c r="KKO70" s="122"/>
      <c r="KKP70" s="122"/>
      <c r="KKQ70" s="122"/>
      <c r="KKR70" s="122"/>
      <c r="KKS70" s="122"/>
      <c r="KKT70" s="122"/>
      <c r="KKU70" s="122"/>
      <c r="KKV70" s="122"/>
      <c r="KKW70" s="122"/>
      <c r="KKX70" s="122"/>
      <c r="KKY70" s="122"/>
      <c r="KKZ70" s="122"/>
      <c r="KLA70" s="122"/>
      <c r="KLB70" s="122"/>
      <c r="KLC70" s="122"/>
      <c r="KLD70" s="122"/>
      <c r="KLE70" s="122"/>
      <c r="KLF70" s="122"/>
      <c r="KLG70" s="122"/>
      <c r="KLH70" s="122"/>
      <c r="KLI70" s="122"/>
      <c r="KLJ70" s="122"/>
      <c r="KLK70" s="122"/>
      <c r="KLL70" s="122"/>
      <c r="KLM70" s="122"/>
      <c r="KLN70" s="122"/>
      <c r="KLO70" s="122"/>
      <c r="KLP70" s="122"/>
      <c r="KLQ70" s="122"/>
      <c r="KLR70" s="122"/>
      <c r="KLS70" s="122"/>
      <c r="KLT70" s="122"/>
      <c r="KLU70" s="122"/>
      <c r="KLV70" s="122"/>
      <c r="KLW70" s="122"/>
      <c r="KLX70" s="122"/>
      <c r="KLY70" s="122"/>
      <c r="KLZ70" s="122"/>
      <c r="KMA70" s="122"/>
      <c r="KMB70" s="122"/>
      <c r="KMC70" s="122"/>
      <c r="KMD70" s="122"/>
      <c r="KME70" s="122"/>
      <c r="KMF70" s="122"/>
      <c r="KMG70" s="122"/>
      <c r="KMH70" s="122"/>
      <c r="KMI70" s="122"/>
      <c r="KMJ70" s="122"/>
      <c r="KMK70" s="122"/>
      <c r="KML70" s="122"/>
      <c r="KMM70" s="122"/>
      <c r="KMN70" s="122"/>
      <c r="KMO70" s="122"/>
      <c r="KMP70" s="122"/>
      <c r="KMQ70" s="122"/>
      <c r="KMR70" s="122"/>
      <c r="KMS70" s="122"/>
      <c r="KMT70" s="122"/>
      <c r="KMU70" s="122"/>
      <c r="KMV70" s="122"/>
      <c r="KMW70" s="122"/>
      <c r="KMX70" s="122"/>
      <c r="KMY70" s="122"/>
      <c r="KMZ70" s="122"/>
      <c r="KNA70" s="122"/>
      <c r="KNB70" s="122"/>
      <c r="KNC70" s="122"/>
      <c r="KND70" s="122"/>
      <c r="KNE70" s="122"/>
      <c r="KNF70" s="122"/>
      <c r="KNG70" s="122"/>
      <c r="KNH70" s="122"/>
      <c r="KNI70" s="122"/>
      <c r="KNJ70" s="122"/>
      <c r="KNK70" s="122"/>
      <c r="KNL70" s="122"/>
      <c r="KNM70" s="122"/>
      <c r="KNN70" s="122"/>
      <c r="KNO70" s="122"/>
      <c r="KNP70" s="122"/>
      <c r="KNQ70" s="122"/>
      <c r="KNR70" s="122"/>
      <c r="KNS70" s="122"/>
      <c r="KNT70" s="122"/>
      <c r="KNU70" s="122"/>
      <c r="KNV70" s="122"/>
      <c r="KNW70" s="122"/>
      <c r="KNX70" s="122"/>
      <c r="KNY70" s="122"/>
      <c r="KNZ70" s="122"/>
      <c r="KOA70" s="122"/>
      <c r="KOB70" s="122"/>
      <c r="KOC70" s="122"/>
      <c r="KOD70" s="122"/>
      <c r="KOE70" s="122"/>
      <c r="KOF70" s="122"/>
      <c r="KOG70" s="122"/>
      <c r="KOH70" s="122"/>
      <c r="KOI70" s="122"/>
      <c r="KOJ70" s="122"/>
      <c r="KOK70" s="122"/>
      <c r="KOL70" s="122"/>
      <c r="KOM70" s="122"/>
      <c r="KON70" s="122"/>
      <c r="KOO70" s="122"/>
      <c r="KOP70" s="122"/>
      <c r="KOQ70" s="122"/>
      <c r="KOR70" s="122"/>
      <c r="KOS70" s="122"/>
      <c r="KOT70" s="122"/>
      <c r="KOU70" s="122"/>
      <c r="KOV70" s="122"/>
      <c r="KOW70" s="122"/>
      <c r="KOX70" s="122"/>
      <c r="KOY70" s="122"/>
      <c r="KOZ70" s="122"/>
      <c r="KPA70" s="122"/>
      <c r="KPB70" s="122"/>
      <c r="KPC70" s="122"/>
      <c r="KPD70" s="122"/>
      <c r="KPE70" s="122"/>
      <c r="KPF70" s="122"/>
      <c r="KPG70" s="122"/>
      <c r="KPH70" s="122"/>
      <c r="KPI70" s="122"/>
      <c r="KPJ70" s="122"/>
      <c r="KPK70" s="122"/>
      <c r="KPL70" s="122"/>
      <c r="KPM70" s="122"/>
      <c r="KPN70" s="122"/>
      <c r="KPO70" s="122"/>
      <c r="KPP70" s="122"/>
      <c r="KPQ70" s="122"/>
      <c r="KPR70" s="122"/>
      <c r="KPS70" s="122"/>
      <c r="KPT70" s="122"/>
      <c r="KPU70" s="122"/>
      <c r="KPV70" s="122"/>
      <c r="KPW70" s="122"/>
      <c r="KPX70" s="122"/>
      <c r="KPY70" s="122"/>
      <c r="KPZ70" s="122"/>
      <c r="KQA70" s="122"/>
      <c r="KQB70" s="122"/>
      <c r="KQC70" s="122"/>
      <c r="KQD70" s="122"/>
      <c r="KQE70" s="122"/>
      <c r="KQF70" s="122"/>
      <c r="KQG70" s="122"/>
      <c r="KQH70" s="122"/>
      <c r="KQI70" s="122"/>
      <c r="KQJ70" s="122"/>
      <c r="KQK70" s="122"/>
      <c r="KQL70" s="122"/>
      <c r="KQM70" s="122"/>
      <c r="KQN70" s="122"/>
      <c r="KQO70" s="122"/>
      <c r="KQP70" s="122"/>
      <c r="KQQ70" s="122"/>
      <c r="KQR70" s="122"/>
      <c r="KQS70" s="122"/>
      <c r="KQT70" s="122"/>
      <c r="KQU70" s="122"/>
      <c r="KQV70" s="122"/>
      <c r="KQW70" s="122"/>
      <c r="KQX70" s="122"/>
      <c r="KQY70" s="122"/>
      <c r="KQZ70" s="122"/>
      <c r="KRA70" s="122"/>
      <c r="KRB70" s="122"/>
      <c r="KRC70" s="122"/>
      <c r="KRD70" s="122"/>
      <c r="KRE70" s="122"/>
      <c r="KRF70" s="122"/>
      <c r="KRG70" s="122"/>
      <c r="KRH70" s="122"/>
      <c r="KRI70" s="122"/>
      <c r="KRJ70" s="122"/>
      <c r="KRK70" s="122"/>
      <c r="KRL70" s="122"/>
      <c r="KRM70" s="122"/>
      <c r="KRN70" s="122"/>
      <c r="KRO70" s="122"/>
      <c r="KRP70" s="122"/>
      <c r="KRQ70" s="122"/>
      <c r="KRR70" s="122"/>
      <c r="KRS70" s="122"/>
      <c r="KRT70" s="122"/>
      <c r="KRU70" s="122"/>
      <c r="KRV70" s="122"/>
      <c r="KRW70" s="122"/>
      <c r="KRX70" s="122"/>
      <c r="KRY70" s="122"/>
      <c r="KRZ70" s="122"/>
      <c r="KSA70" s="122"/>
      <c r="KSB70" s="122"/>
      <c r="KSC70" s="122"/>
      <c r="KSD70" s="122"/>
      <c r="KSE70" s="122"/>
      <c r="KSF70" s="122"/>
      <c r="KSG70" s="122"/>
      <c r="KSH70" s="122"/>
      <c r="KSI70" s="122"/>
      <c r="KSJ70" s="122"/>
      <c r="KSK70" s="122"/>
      <c r="KSL70" s="122"/>
      <c r="KSM70" s="122"/>
      <c r="KSN70" s="122"/>
      <c r="KSO70" s="122"/>
      <c r="KSP70" s="122"/>
      <c r="KSQ70" s="122"/>
      <c r="KSR70" s="122"/>
      <c r="KSS70" s="122"/>
      <c r="KST70" s="122"/>
      <c r="KSU70" s="122"/>
      <c r="KSV70" s="122"/>
      <c r="KSW70" s="122"/>
      <c r="KSX70" s="122"/>
      <c r="KSY70" s="122"/>
      <c r="KSZ70" s="122"/>
      <c r="KTA70" s="122"/>
      <c r="KTB70" s="122"/>
      <c r="KTC70" s="122"/>
      <c r="KTD70" s="122"/>
      <c r="KTE70" s="122"/>
      <c r="KTF70" s="122"/>
      <c r="KTG70" s="122"/>
      <c r="KTH70" s="122"/>
      <c r="KTI70" s="122"/>
      <c r="KTJ70" s="122"/>
      <c r="KTK70" s="122"/>
      <c r="KTL70" s="122"/>
      <c r="KTM70" s="122"/>
      <c r="KTN70" s="122"/>
      <c r="KTO70" s="122"/>
      <c r="KTP70" s="122"/>
      <c r="KTQ70" s="122"/>
      <c r="KTR70" s="122"/>
      <c r="KTS70" s="122"/>
      <c r="KTT70" s="122"/>
      <c r="KTU70" s="122"/>
      <c r="KTV70" s="122"/>
      <c r="KTW70" s="122"/>
      <c r="KTX70" s="122"/>
      <c r="KTY70" s="122"/>
      <c r="KTZ70" s="122"/>
      <c r="KUA70" s="122"/>
      <c r="KUB70" s="122"/>
      <c r="KUC70" s="122"/>
      <c r="KUD70" s="122"/>
      <c r="KUE70" s="122"/>
      <c r="KUF70" s="122"/>
      <c r="KUG70" s="122"/>
      <c r="KUH70" s="122"/>
      <c r="KUI70" s="122"/>
      <c r="KUJ70" s="122"/>
      <c r="KUK70" s="122"/>
      <c r="KUL70" s="122"/>
      <c r="KUM70" s="122"/>
      <c r="KUN70" s="122"/>
      <c r="KUO70" s="122"/>
      <c r="KUP70" s="122"/>
      <c r="KUQ70" s="122"/>
      <c r="KUR70" s="122"/>
      <c r="KUS70" s="122"/>
      <c r="KUT70" s="122"/>
      <c r="KUU70" s="122"/>
      <c r="KUV70" s="122"/>
      <c r="KUW70" s="122"/>
      <c r="KUX70" s="122"/>
      <c r="KUY70" s="122"/>
      <c r="KUZ70" s="122"/>
      <c r="KVA70" s="122"/>
      <c r="KVB70" s="122"/>
      <c r="KVC70" s="122"/>
      <c r="KVD70" s="122"/>
      <c r="KVE70" s="122"/>
      <c r="KVF70" s="122"/>
      <c r="KVG70" s="122"/>
      <c r="KVH70" s="122"/>
      <c r="KVI70" s="122"/>
      <c r="KVJ70" s="122"/>
      <c r="KVK70" s="122"/>
      <c r="KVL70" s="122"/>
      <c r="KVM70" s="122"/>
      <c r="KVN70" s="122"/>
      <c r="KVO70" s="122"/>
      <c r="KVP70" s="122"/>
      <c r="KVQ70" s="122"/>
      <c r="KVR70" s="122"/>
      <c r="KVS70" s="122"/>
      <c r="KVT70" s="122"/>
      <c r="KVU70" s="122"/>
      <c r="KVV70" s="122"/>
      <c r="KVW70" s="122"/>
      <c r="KVX70" s="122"/>
      <c r="KVY70" s="122"/>
      <c r="KVZ70" s="122"/>
      <c r="KWA70" s="122"/>
      <c r="KWB70" s="122"/>
      <c r="KWC70" s="122"/>
      <c r="KWD70" s="122"/>
      <c r="KWE70" s="122"/>
      <c r="KWF70" s="122"/>
      <c r="KWG70" s="122"/>
      <c r="KWH70" s="122"/>
      <c r="KWI70" s="122"/>
      <c r="KWJ70" s="122"/>
      <c r="KWK70" s="122"/>
      <c r="KWL70" s="122"/>
      <c r="KWM70" s="122"/>
      <c r="KWN70" s="122"/>
      <c r="KWO70" s="122"/>
      <c r="KWP70" s="122"/>
      <c r="KWQ70" s="122"/>
      <c r="KWR70" s="122"/>
      <c r="KWS70" s="122"/>
      <c r="KWT70" s="122"/>
      <c r="KWU70" s="122"/>
      <c r="KWV70" s="122"/>
      <c r="KWW70" s="122"/>
      <c r="KWX70" s="122"/>
      <c r="KWY70" s="122"/>
      <c r="KWZ70" s="122"/>
      <c r="KXA70" s="122"/>
      <c r="KXB70" s="122"/>
      <c r="KXC70" s="122"/>
      <c r="KXD70" s="122"/>
      <c r="KXE70" s="122"/>
      <c r="KXF70" s="122"/>
      <c r="KXG70" s="122"/>
      <c r="KXH70" s="122"/>
      <c r="KXI70" s="122"/>
      <c r="KXJ70" s="122"/>
      <c r="KXK70" s="122"/>
      <c r="KXL70" s="122"/>
      <c r="KXM70" s="122"/>
      <c r="KXN70" s="122"/>
      <c r="KXO70" s="122"/>
      <c r="KXP70" s="122"/>
      <c r="KXQ70" s="122"/>
      <c r="KXR70" s="122"/>
      <c r="KXS70" s="122"/>
      <c r="KXT70" s="122"/>
      <c r="KXU70" s="122"/>
      <c r="KXV70" s="122"/>
      <c r="KXW70" s="122"/>
      <c r="KXX70" s="122"/>
      <c r="KXY70" s="122"/>
      <c r="KXZ70" s="122"/>
      <c r="KYA70" s="122"/>
      <c r="KYB70" s="122"/>
      <c r="KYC70" s="122"/>
      <c r="KYD70" s="122"/>
      <c r="KYE70" s="122"/>
      <c r="KYF70" s="122"/>
      <c r="KYG70" s="122"/>
      <c r="KYH70" s="122"/>
      <c r="KYI70" s="122"/>
      <c r="KYJ70" s="122"/>
      <c r="KYK70" s="122"/>
      <c r="KYL70" s="122"/>
      <c r="KYM70" s="122"/>
      <c r="KYN70" s="122"/>
      <c r="KYO70" s="122"/>
      <c r="KYP70" s="122"/>
      <c r="KYQ70" s="122"/>
      <c r="KYR70" s="122"/>
      <c r="KYS70" s="122"/>
      <c r="KYT70" s="122"/>
      <c r="KYU70" s="122"/>
      <c r="KYV70" s="122"/>
      <c r="KYW70" s="122"/>
      <c r="KYX70" s="122"/>
      <c r="KYY70" s="122"/>
      <c r="KYZ70" s="122"/>
      <c r="KZA70" s="122"/>
      <c r="KZB70" s="122"/>
      <c r="KZC70" s="122"/>
      <c r="KZD70" s="122"/>
      <c r="KZE70" s="122"/>
      <c r="KZF70" s="122"/>
      <c r="KZG70" s="122"/>
      <c r="KZH70" s="122"/>
      <c r="KZI70" s="122"/>
      <c r="KZJ70" s="122"/>
      <c r="KZK70" s="122"/>
      <c r="KZL70" s="122"/>
      <c r="KZM70" s="122"/>
      <c r="KZN70" s="122"/>
      <c r="KZO70" s="122"/>
      <c r="KZP70" s="122"/>
      <c r="KZQ70" s="122"/>
      <c r="KZR70" s="122"/>
      <c r="KZS70" s="122"/>
      <c r="KZT70" s="122"/>
      <c r="KZU70" s="122"/>
      <c r="KZV70" s="122"/>
      <c r="KZW70" s="122"/>
      <c r="KZX70" s="122"/>
      <c r="KZY70" s="122"/>
      <c r="KZZ70" s="122"/>
      <c r="LAA70" s="122"/>
      <c r="LAB70" s="122"/>
      <c r="LAC70" s="122"/>
      <c r="LAD70" s="122"/>
      <c r="LAE70" s="122"/>
      <c r="LAF70" s="122"/>
      <c r="LAG70" s="122"/>
      <c r="LAH70" s="122"/>
      <c r="LAI70" s="122"/>
      <c r="LAJ70" s="122"/>
      <c r="LAK70" s="122"/>
      <c r="LAL70" s="122"/>
      <c r="LAM70" s="122"/>
      <c r="LAN70" s="122"/>
      <c r="LAO70" s="122"/>
      <c r="LAP70" s="122"/>
      <c r="LAQ70" s="122"/>
      <c r="LAR70" s="122"/>
      <c r="LAS70" s="122"/>
      <c r="LAT70" s="122"/>
      <c r="LAU70" s="122"/>
      <c r="LAV70" s="122"/>
      <c r="LAW70" s="122"/>
      <c r="LAX70" s="122"/>
      <c r="LAY70" s="122"/>
      <c r="LAZ70" s="122"/>
      <c r="LBA70" s="122"/>
      <c r="LBB70" s="122"/>
      <c r="LBC70" s="122"/>
      <c r="LBD70" s="122"/>
      <c r="LBE70" s="122"/>
      <c r="LBF70" s="122"/>
      <c r="LBG70" s="122"/>
      <c r="LBH70" s="122"/>
      <c r="LBI70" s="122"/>
      <c r="LBJ70" s="122"/>
      <c r="LBK70" s="122"/>
      <c r="LBL70" s="122"/>
      <c r="LBM70" s="122"/>
      <c r="LBN70" s="122"/>
      <c r="LBO70" s="122"/>
      <c r="LBP70" s="122"/>
      <c r="LBQ70" s="122"/>
      <c r="LBR70" s="122"/>
      <c r="LBS70" s="122"/>
      <c r="LBT70" s="122"/>
      <c r="LBU70" s="122"/>
      <c r="LBV70" s="122"/>
      <c r="LBW70" s="122"/>
      <c r="LBX70" s="122"/>
      <c r="LBY70" s="122"/>
      <c r="LBZ70" s="122"/>
      <c r="LCA70" s="122"/>
      <c r="LCB70" s="122"/>
      <c r="LCC70" s="122"/>
      <c r="LCD70" s="122"/>
      <c r="LCE70" s="122"/>
      <c r="LCF70" s="122"/>
      <c r="LCG70" s="122"/>
      <c r="LCH70" s="122"/>
      <c r="LCI70" s="122"/>
      <c r="LCJ70" s="122"/>
      <c r="LCK70" s="122"/>
      <c r="LCL70" s="122"/>
      <c r="LCM70" s="122"/>
      <c r="LCN70" s="122"/>
      <c r="LCO70" s="122"/>
      <c r="LCP70" s="122"/>
      <c r="LCQ70" s="122"/>
      <c r="LCR70" s="122"/>
      <c r="LCS70" s="122"/>
      <c r="LCT70" s="122"/>
      <c r="LCU70" s="122"/>
      <c r="LCV70" s="122"/>
      <c r="LCW70" s="122"/>
      <c r="LCX70" s="122"/>
      <c r="LCY70" s="122"/>
      <c r="LCZ70" s="122"/>
      <c r="LDA70" s="122"/>
      <c r="LDB70" s="122"/>
      <c r="LDC70" s="122"/>
      <c r="LDD70" s="122"/>
      <c r="LDE70" s="122"/>
      <c r="LDF70" s="122"/>
      <c r="LDG70" s="122"/>
      <c r="LDH70" s="122"/>
      <c r="LDI70" s="122"/>
      <c r="LDJ70" s="122"/>
      <c r="LDK70" s="122"/>
      <c r="LDL70" s="122"/>
      <c r="LDM70" s="122"/>
      <c r="LDN70" s="122"/>
      <c r="LDO70" s="122"/>
      <c r="LDP70" s="122"/>
      <c r="LDQ70" s="122"/>
      <c r="LDR70" s="122"/>
      <c r="LDS70" s="122"/>
      <c r="LDT70" s="122"/>
      <c r="LDU70" s="122"/>
      <c r="LDV70" s="122"/>
      <c r="LDW70" s="122"/>
      <c r="LDX70" s="122"/>
      <c r="LDY70" s="122"/>
      <c r="LDZ70" s="122"/>
      <c r="LEA70" s="122"/>
      <c r="LEB70" s="122"/>
      <c r="LEC70" s="122"/>
      <c r="LED70" s="122"/>
      <c r="LEE70" s="122"/>
      <c r="LEF70" s="122"/>
      <c r="LEG70" s="122"/>
      <c r="LEH70" s="122"/>
      <c r="LEI70" s="122"/>
      <c r="LEJ70" s="122"/>
      <c r="LEK70" s="122"/>
      <c r="LEL70" s="122"/>
      <c r="LEM70" s="122"/>
      <c r="LEN70" s="122"/>
      <c r="LEO70" s="122"/>
      <c r="LEP70" s="122"/>
      <c r="LEQ70" s="122"/>
      <c r="LER70" s="122"/>
      <c r="LES70" s="122"/>
      <c r="LET70" s="122"/>
      <c r="LEU70" s="122"/>
      <c r="LEV70" s="122"/>
      <c r="LEW70" s="122"/>
      <c r="LEX70" s="122"/>
      <c r="LEY70" s="122"/>
      <c r="LEZ70" s="122"/>
      <c r="LFA70" s="122"/>
      <c r="LFB70" s="122"/>
      <c r="LFC70" s="122"/>
      <c r="LFD70" s="122"/>
      <c r="LFE70" s="122"/>
      <c r="LFF70" s="122"/>
      <c r="LFG70" s="122"/>
      <c r="LFH70" s="122"/>
      <c r="LFI70" s="122"/>
      <c r="LFJ70" s="122"/>
      <c r="LFK70" s="122"/>
      <c r="LFL70" s="122"/>
      <c r="LFM70" s="122"/>
      <c r="LFN70" s="122"/>
      <c r="LFO70" s="122"/>
      <c r="LFP70" s="122"/>
      <c r="LFQ70" s="122"/>
      <c r="LFR70" s="122"/>
      <c r="LFS70" s="122"/>
      <c r="LFT70" s="122"/>
      <c r="LFU70" s="122"/>
      <c r="LFV70" s="122"/>
      <c r="LFW70" s="122"/>
      <c r="LFX70" s="122"/>
      <c r="LFY70" s="122"/>
      <c r="LFZ70" s="122"/>
      <c r="LGA70" s="122"/>
      <c r="LGB70" s="122"/>
      <c r="LGC70" s="122"/>
      <c r="LGD70" s="122"/>
      <c r="LGE70" s="122"/>
      <c r="LGF70" s="122"/>
      <c r="LGG70" s="122"/>
      <c r="LGH70" s="122"/>
      <c r="LGI70" s="122"/>
      <c r="LGJ70" s="122"/>
      <c r="LGK70" s="122"/>
      <c r="LGL70" s="122"/>
      <c r="LGM70" s="122"/>
      <c r="LGN70" s="122"/>
      <c r="LGO70" s="122"/>
      <c r="LGP70" s="122"/>
      <c r="LGQ70" s="122"/>
      <c r="LGR70" s="122"/>
      <c r="LGS70" s="122"/>
      <c r="LGT70" s="122"/>
      <c r="LGU70" s="122"/>
      <c r="LGV70" s="122"/>
      <c r="LGW70" s="122"/>
      <c r="LGX70" s="122"/>
      <c r="LGY70" s="122"/>
      <c r="LGZ70" s="122"/>
      <c r="LHA70" s="122"/>
      <c r="LHB70" s="122"/>
      <c r="LHC70" s="122"/>
      <c r="LHD70" s="122"/>
      <c r="LHE70" s="122"/>
      <c r="LHF70" s="122"/>
      <c r="LHG70" s="122"/>
      <c r="LHH70" s="122"/>
      <c r="LHI70" s="122"/>
      <c r="LHJ70" s="122"/>
      <c r="LHK70" s="122"/>
      <c r="LHL70" s="122"/>
      <c r="LHM70" s="122"/>
      <c r="LHN70" s="122"/>
      <c r="LHO70" s="122"/>
      <c r="LHP70" s="122"/>
      <c r="LHQ70" s="122"/>
      <c r="LHR70" s="122"/>
      <c r="LHS70" s="122"/>
      <c r="LHT70" s="122"/>
      <c r="LHU70" s="122"/>
      <c r="LHV70" s="122"/>
      <c r="LHW70" s="122"/>
      <c r="LHX70" s="122"/>
      <c r="LHY70" s="122"/>
      <c r="LHZ70" s="122"/>
      <c r="LIA70" s="122"/>
      <c r="LIB70" s="122"/>
      <c r="LIC70" s="122"/>
      <c r="LID70" s="122"/>
      <c r="LIE70" s="122"/>
      <c r="LIF70" s="122"/>
      <c r="LIG70" s="122"/>
      <c r="LIH70" s="122"/>
      <c r="LII70" s="122"/>
      <c r="LIJ70" s="122"/>
      <c r="LIK70" s="122"/>
      <c r="LIL70" s="122"/>
      <c r="LIM70" s="122"/>
      <c r="LIN70" s="122"/>
      <c r="LIO70" s="122"/>
      <c r="LIP70" s="122"/>
      <c r="LIQ70" s="122"/>
      <c r="LIR70" s="122"/>
      <c r="LIS70" s="122"/>
      <c r="LIT70" s="122"/>
      <c r="LIU70" s="122"/>
      <c r="LIV70" s="122"/>
      <c r="LIW70" s="122"/>
      <c r="LIX70" s="122"/>
      <c r="LIY70" s="122"/>
      <c r="LIZ70" s="122"/>
      <c r="LJA70" s="122"/>
      <c r="LJB70" s="122"/>
      <c r="LJC70" s="122"/>
      <c r="LJD70" s="122"/>
      <c r="LJE70" s="122"/>
      <c r="LJF70" s="122"/>
      <c r="LJG70" s="122"/>
      <c r="LJH70" s="122"/>
      <c r="LJI70" s="122"/>
      <c r="LJJ70" s="122"/>
      <c r="LJK70" s="122"/>
      <c r="LJL70" s="122"/>
      <c r="LJM70" s="122"/>
      <c r="LJN70" s="122"/>
      <c r="LJO70" s="122"/>
      <c r="LJP70" s="122"/>
      <c r="LJQ70" s="122"/>
      <c r="LJR70" s="122"/>
      <c r="LJS70" s="122"/>
      <c r="LJT70" s="122"/>
      <c r="LJU70" s="122"/>
      <c r="LJV70" s="122"/>
      <c r="LJW70" s="122"/>
      <c r="LJX70" s="122"/>
      <c r="LJY70" s="122"/>
      <c r="LJZ70" s="122"/>
      <c r="LKA70" s="122"/>
      <c r="LKB70" s="122"/>
      <c r="LKC70" s="122"/>
      <c r="LKD70" s="122"/>
      <c r="LKE70" s="122"/>
      <c r="LKF70" s="122"/>
      <c r="LKG70" s="122"/>
      <c r="LKH70" s="122"/>
      <c r="LKI70" s="122"/>
      <c r="LKJ70" s="122"/>
      <c r="LKK70" s="122"/>
      <c r="LKL70" s="122"/>
      <c r="LKM70" s="122"/>
      <c r="LKN70" s="122"/>
      <c r="LKO70" s="122"/>
      <c r="LKP70" s="122"/>
      <c r="LKQ70" s="122"/>
      <c r="LKR70" s="122"/>
      <c r="LKS70" s="122"/>
      <c r="LKT70" s="122"/>
      <c r="LKU70" s="122"/>
      <c r="LKV70" s="122"/>
      <c r="LKW70" s="122"/>
      <c r="LKX70" s="122"/>
      <c r="LKY70" s="122"/>
      <c r="LKZ70" s="122"/>
      <c r="LLA70" s="122"/>
      <c r="LLB70" s="122"/>
      <c r="LLC70" s="122"/>
      <c r="LLD70" s="122"/>
      <c r="LLE70" s="122"/>
      <c r="LLF70" s="122"/>
      <c r="LLG70" s="122"/>
      <c r="LLH70" s="122"/>
      <c r="LLI70" s="122"/>
      <c r="LLJ70" s="122"/>
      <c r="LLK70" s="122"/>
      <c r="LLL70" s="122"/>
      <c r="LLM70" s="122"/>
      <c r="LLN70" s="122"/>
      <c r="LLO70" s="122"/>
      <c r="LLP70" s="122"/>
      <c r="LLQ70" s="122"/>
      <c r="LLR70" s="122"/>
      <c r="LLS70" s="122"/>
      <c r="LLT70" s="122"/>
      <c r="LLU70" s="122"/>
      <c r="LLV70" s="122"/>
      <c r="LLW70" s="122"/>
      <c r="LLX70" s="122"/>
      <c r="LLY70" s="122"/>
      <c r="LLZ70" s="122"/>
      <c r="LMA70" s="122"/>
      <c r="LMB70" s="122"/>
      <c r="LMC70" s="122"/>
      <c r="LMD70" s="122"/>
      <c r="LME70" s="122"/>
      <c r="LMF70" s="122"/>
      <c r="LMG70" s="122"/>
      <c r="LMH70" s="122"/>
      <c r="LMI70" s="122"/>
      <c r="LMJ70" s="122"/>
      <c r="LMK70" s="122"/>
      <c r="LML70" s="122"/>
      <c r="LMM70" s="122"/>
      <c r="LMN70" s="122"/>
      <c r="LMO70" s="122"/>
      <c r="LMP70" s="122"/>
      <c r="LMQ70" s="122"/>
      <c r="LMR70" s="122"/>
      <c r="LMS70" s="122"/>
      <c r="LMT70" s="122"/>
      <c r="LMU70" s="122"/>
      <c r="LMV70" s="122"/>
      <c r="LMW70" s="122"/>
      <c r="LMX70" s="122"/>
      <c r="LMY70" s="122"/>
      <c r="LMZ70" s="122"/>
      <c r="LNA70" s="122"/>
      <c r="LNB70" s="122"/>
      <c r="LNC70" s="122"/>
      <c r="LND70" s="122"/>
      <c r="LNE70" s="122"/>
      <c r="LNF70" s="122"/>
      <c r="LNG70" s="122"/>
      <c r="LNH70" s="122"/>
      <c r="LNI70" s="122"/>
      <c r="LNJ70" s="122"/>
      <c r="LNK70" s="122"/>
      <c r="LNL70" s="122"/>
      <c r="LNM70" s="122"/>
      <c r="LNN70" s="122"/>
      <c r="LNO70" s="122"/>
      <c r="LNP70" s="122"/>
      <c r="LNQ70" s="122"/>
      <c r="LNR70" s="122"/>
      <c r="LNS70" s="122"/>
      <c r="LNT70" s="122"/>
      <c r="LNU70" s="122"/>
      <c r="LNV70" s="122"/>
      <c r="LNW70" s="122"/>
      <c r="LNX70" s="122"/>
      <c r="LNY70" s="122"/>
      <c r="LNZ70" s="122"/>
      <c r="LOA70" s="122"/>
      <c r="LOB70" s="122"/>
      <c r="LOC70" s="122"/>
      <c r="LOD70" s="122"/>
      <c r="LOE70" s="122"/>
      <c r="LOF70" s="122"/>
      <c r="LOG70" s="122"/>
      <c r="LOH70" s="122"/>
      <c r="LOI70" s="122"/>
      <c r="LOJ70" s="122"/>
      <c r="LOK70" s="122"/>
      <c r="LOL70" s="122"/>
      <c r="LOM70" s="122"/>
      <c r="LON70" s="122"/>
      <c r="LOO70" s="122"/>
      <c r="LOP70" s="122"/>
      <c r="LOQ70" s="122"/>
      <c r="LOR70" s="122"/>
      <c r="LOS70" s="122"/>
      <c r="LOT70" s="122"/>
      <c r="LOU70" s="122"/>
      <c r="LOV70" s="122"/>
      <c r="LOW70" s="122"/>
      <c r="LOX70" s="122"/>
      <c r="LOY70" s="122"/>
      <c r="LOZ70" s="122"/>
      <c r="LPA70" s="122"/>
      <c r="LPB70" s="122"/>
      <c r="LPC70" s="122"/>
      <c r="LPD70" s="122"/>
      <c r="LPE70" s="122"/>
      <c r="LPF70" s="122"/>
      <c r="LPG70" s="122"/>
      <c r="LPH70" s="122"/>
      <c r="LPI70" s="122"/>
      <c r="LPJ70" s="122"/>
      <c r="LPK70" s="122"/>
      <c r="LPL70" s="122"/>
      <c r="LPM70" s="122"/>
      <c r="LPN70" s="122"/>
      <c r="LPO70" s="122"/>
      <c r="LPP70" s="122"/>
      <c r="LPQ70" s="122"/>
      <c r="LPR70" s="122"/>
      <c r="LPS70" s="122"/>
      <c r="LPT70" s="122"/>
      <c r="LPU70" s="122"/>
      <c r="LPV70" s="122"/>
      <c r="LPW70" s="122"/>
      <c r="LPX70" s="122"/>
      <c r="LPY70" s="122"/>
      <c r="LPZ70" s="122"/>
      <c r="LQA70" s="122"/>
      <c r="LQB70" s="122"/>
      <c r="LQC70" s="122"/>
      <c r="LQD70" s="122"/>
      <c r="LQE70" s="122"/>
      <c r="LQF70" s="122"/>
      <c r="LQG70" s="122"/>
      <c r="LQH70" s="122"/>
      <c r="LQI70" s="122"/>
      <c r="LQJ70" s="122"/>
      <c r="LQK70" s="122"/>
      <c r="LQL70" s="122"/>
      <c r="LQM70" s="122"/>
      <c r="LQN70" s="122"/>
      <c r="LQO70" s="122"/>
      <c r="LQP70" s="122"/>
      <c r="LQQ70" s="122"/>
      <c r="LQR70" s="122"/>
      <c r="LQS70" s="122"/>
      <c r="LQT70" s="122"/>
      <c r="LQU70" s="122"/>
      <c r="LQV70" s="122"/>
      <c r="LQW70" s="122"/>
      <c r="LQX70" s="122"/>
      <c r="LQY70" s="122"/>
      <c r="LQZ70" s="122"/>
      <c r="LRA70" s="122"/>
      <c r="LRB70" s="122"/>
      <c r="LRC70" s="122"/>
      <c r="LRD70" s="122"/>
      <c r="LRE70" s="122"/>
      <c r="LRF70" s="122"/>
      <c r="LRG70" s="122"/>
      <c r="LRH70" s="122"/>
      <c r="LRI70" s="122"/>
      <c r="LRJ70" s="122"/>
      <c r="LRK70" s="122"/>
      <c r="LRL70" s="122"/>
      <c r="LRM70" s="122"/>
      <c r="LRN70" s="122"/>
      <c r="LRO70" s="122"/>
      <c r="LRP70" s="122"/>
      <c r="LRQ70" s="122"/>
      <c r="LRR70" s="122"/>
      <c r="LRS70" s="122"/>
      <c r="LRT70" s="122"/>
      <c r="LRU70" s="122"/>
      <c r="LRV70" s="122"/>
      <c r="LRW70" s="122"/>
      <c r="LRX70" s="122"/>
      <c r="LRY70" s="122"/>
      <c r="LRZ70" s="122"/>
      <c r="LSA70" s="122"/>
      <c r="LSB70" s="122"/>
      <c r="LSC70" s="122"/>
      <c r="LSD70" s="122"/>
      <c r="LSE70" s="122"/>
      <c r="LSF70" s="122"/>
      <c r="LSG70" s="122"/>
      <c r="LSH70" s="122"/>
      <c r="LSI70" s="122"/>
      <c r="LSJ70" s="122"/>
      <c r="LSK70" s="122"/>
      <c r="LSL70" s="122"/>
      <c r="LSM70" s="122"/>
      <c r="LSN70" s="122"/>
      <c r="LSO70" s="122"/>
      <c r="LSP70" s="122"/>
      <c r="LSQ70" s="122"/>
      <c r="LSR70" s="122"/>
      <c r="LSS70" s="122"/>
      <c r="LST70" s="122"/>
      <c r="LSU70" s="122"/>
      <c r="LSV70" s="122"/>
      <c r="LSW70" s="122"/>
      <c r="LSX70" s="122"/>
      <c r="LSY70" s="122"/>
      <c r="LSZ70" s="122"/>
      <c r="LTA70" s="122"/>
      <c r="LTB70" s="122"/>
      <c r="LTC70" s="122"/>
      <c r="LTD70" s="122"/>
      <c r="LTE70" s="122"/>
      <c r="LTF70" s="122"/>
      <c r="LTG70" s="122"/>
      <c r="LTH70" s="122"/>
      <c r="LTI70" s="122"/>
      <c r="LTJ70" s="122"/>
      <c r="LTK70" s="122"/>
      <c r="LTL70" s="122"/>
      <c r="LTM70" s="122"/>
      <c r="LTN70" s="122"/>
      <c r="LTO70" s="122"/>
      <c r="LTP70" s="122"/>
      <c r="LTQ70" s="122"/>
      <c r="LTR70" s="122"/>
      <c r="LTS70" s="122"/>
      <c r="LTT70" s="122"/>
      <c r="LTU70" s="122"/>
      <c r="LTV70" s="122"/>
      <c r="LTW70" s="122"/>
      <c r="LTX70" s="122"/>
      <c r="LTY70" s="122"/>
      <c r="LTZ70" s="122"/>
      <c r="LUA70" s="122"/>
      <c r="LUB70" s="122"/>
      <c r="LUC70" s="122"/>
      <c r="LUD70" s="122"/>
      <c r="LUE70" s="122"/>
      <c r="LUF70" s="122"/>
      <c r="LUG70" s="122"/>
      <c r="LUH70" s="122"/>
      <c r="LUI70" s="122"/>
      <c r="LUJ70" s="122"/>
      <c r="LUK70" s="122"/>
      <c r="LUL70" s="122"/>
      <c r="LUM70" s="122"/>
      <c r="LUN70" s="122"/>
      <c r="LUO70" s="122"/>
      <c r="LUP70" s="122"/>
      <c r="LUQ70" s="122"/>
      <c r="LUR70" s="122"/>
      <c r="LUS70" s="122"/>
      <c r="LUT70" s="122"/>
      <c r="LUU70" s="122"/>
      <c r="LUV70" s="122"/>
      <c r="LUW70" s="122"/>
      <c r="LUX70" s="122"/>
      <c r="LUY70" s="122"/>
      <c r="LUZ70" s="122"/>
      <c r="LVA70" s="122"/>
      <c r="LVB70" s="122"/>
      <c r="LVC70" s="122"/>
      <c r="LVD70" s="122"/>
      <c r="LVE70" s="122"/>
      <c r="LVF70" s="122"/>
      <c r="LVG70" s="122"/>
      <c r="LVH70" s="122"/>
      <c r="LVI70" s="122"/>
      <c r="LVJ70" s="122"/>
      <c r="LVK70" s="122"/>
      <c r="LVL70" s="122"/>
      <c r="LVM70" s="122"/>
      <c r="LVN70" s="122"/>
      <c r="LVO70" s="122"/>
      <c r="LVP70" s="122"/>
      <c r="LVQ70" s="122"/>
      <c r="LVR70" s="122"/>
      <c r="LVS70" s="122"/>
      <c r="LVT70" s="122"/>
      <c r="LVU70" s="122"/>
      <c r="LVV70" s="122"/>
      <c r="LVW70" s="122"/>
      <c r="LVX70" s="122"/>
      <c r="LVY70" s="122"/>
      <c r="LVZ70" s="122"/>
      <c r="LWA70" s="122"/>
      <c r="LWB70" s="122"/>
      <c r="LWC70" s="122"/>
      <c r="LWD70" s="122"/>
      <c r="LWE70" s="122"/>
      <c r="LWF70" s="122"/>
      <c r="LWG70" s="122"/>
      <c r="LWH70" s="122"/>
      <c r="LWI70" s="122"/>
      <c r="LWJ70" s="122"/>
      <c r="LWK70" s="122"/>
      <c r="LWL70" s="122"/>
      <c r="LWM70" s="122"/>
      <c r="LWN70" s="122"/>
      <c r="LWO70" s="122"/>
      <c r="LWP70" s="122"/>
      <c r="LWQ70" s="122"/>
      <c r="LWR70" s="122"/>
      <c r="LWS70" s="122"/>
      <c r="LWT70" s="122"/>
      <c r="LWU70" s="122"/>
      <c r="LWV70" s="122"/>
      <c r="LWW70" s="122"/>
      <c r="LWX70" s="122"/>
      <c r="LWY70" s="122"/>
      <c r="LWZ70" s="122"/>
      <c r="LXA70" s="122"/>
      <c r="LXB70" s="122"/>
      <c r="LXC70" s="122"/>
      <c r="LXD70" s="122"/>
      <c r="LXE70" s="122"/>
      <c r="LXF70" s="122"/>
      <c r="LXG70" s="122"/>
      <c r="LXH70" s="122"/>
      <c r="LXI70" s="122"/>
      <c r="LXJ70" s="122"/>
      <c r="LXK70" s="122"/>
      <c r="LXL70" s="122"/>
      <c r="LXM70" s="122"/>
      <c r="LXN70" s="122"/>
      <c r="LXO70" s="122"/>
      <c r="LXP70" s="122"/>
      <c r="LXQ70" s="122"/>
      <c r="LXR70" s="122"/>
      <c r="LXS70" s="122"/>
      <c r="LXT70" s="122"/>
      <c r="LXU70" s="122"/>
      <c r="LXV70" s="122"/>
      <c r="LXW70" s="122"/>
      <c r="LXX70" s="122"/>
      <c r="LXY70" s="122"/>
      <c r="LXZ70" s="122"/>
      <c r="LYA70" s="122"/>
      <c r="LYB70" s="122"/>
      <c r="LYC70" s="122"/>
      <c r="LYD70" s="122"/>
      <c r="LYE70" s="122"/>
      <c r="LYF70" s="122"/>
      <c r="LYG70" s="122"/>
      <c r="LYH70" s="122"/>
      <c r="LYI70" s="122"/>
      <c r="LYJ70" s="122"/>
      <c r="LYK70" s="122"/>
      <c r="LYL70" s="122"/>
      <c r="LYM70" s="122"/>
      <c r="LYN70" s="122"/>
      <c r="LYO70" s="122"/>
      <c r="LYP70" s="122"/>
      <c r="LYQ70" s="122"/>
      <c r="LYR70" s="122"/>
      <c r="LYS70" s="122"/>
      <c r="LYT70" s="122"/>
      <c r="LYU70" s="122"/>
      <c r="LYV70" s="122"/>
      <c r="LYW70" s="122"/>
      <c r="LYX70" s="122"/>
      <c r="LYY70" s="122"/>
      <c r="LYZ70" s="122"/>
      <c r="LZA70" s="122"/>
      <c r="LZB70" s="122"/>
      <c r="LZC70" s="122"/>
      <c r="LZD70" s="122"/>
      <c r="LZE70" s="122"/>
      <c r="LZF70" s="122"/>
      <c r="LZG70" s="122"/>
      <c r="LZH70" s="122"/>
      <c r="LZI70" s="122"/>
      <c r="LZJ70" s="122"/>
      <c r="LZK70" s="122"/>
      <c r="LZL70" s="122"/>
      <c r="LZM70" s="122"/>
      <c r="LZN70" s="122"/>
      <c r="LZO70" s="122"/>
      <c r="LZP70" s="122"/>
      <c r="LZQ70" s="122"/>
      <c r="LZR70" s="122"/>
      <c r="LZS70" s="122"/>
      <c r="LZT70" s="122"/>
      <c r="LZU70" s="122"/>
      <c r="LZV70" s="122"/>
      <c r="LZW70" s="122"/>
      <c r="LZX70" s="122"/>
      <c r="LZY70" s="122"/>
      <c r="LZZ70" s="122"/>
      <c r="MAA70" s="122"/>
      <c r="MAB70" s="122"/>
      <c r="MAC70" s="122"/>
      <c r="MAD70" s="122"/>
      <c r="MAE70" s="122"/>
      <c r="MAF70" s="122"/>
      <c r="MAG70" s="122"/>
      <c r="MAH70" s="122"/>
      <c r="MAI70" s="122"/>
      <c r="MAJ70" s="122"/>
      <c r="MAK70" s="122"/>
      <c r="MAL70" s="122"/>
      <c r="MAM70" s="122"/>
      <c r="MAN70" s="122"/>
      <c r="MAO70" s="122"/>
      <c r="MAP70" s="122"/>
      <c r="MAQ70" s="122"/>
      <c r="MAR70" s="122"/>
      <c r="MAS70" s="122"/>
      <c r="MAT70" s="122"/>
      <c r="MAU70" s="122"/>
      <c r="MAV70" s="122"/>
      <c r="MAW70" s="122"/>
      <c r="MAX70" s="122"/>
      <c r="MAY70" s="122"/>
      <c r="MAZ70" s="122"/>
      <c r="MBA70" s="122"/>
      <c r="MBB70" s="122"/>
      <c r="MBC70" s="122"/>
      <c r="MBD70" s="122"/>
      <c r="MBE70" s="122"/>
      <c r="MBF70" s="122"/>
      <c r="MBG70" s="122"/>
      <c r="MBH70" s="122"/>
      <c r="MBI70" s="122"/>
      <c r="MBJ70" s="122"/>
      <c r="MBK70" s="122"/>
      <c r="MBL70" s="122"/>
      <c r="MBM70" s="122"/>
      <c r="MBN70" s="122"/>
      <c r="MBO70" s="122"/>
      <c r="MBP70" s="122"/>
      <c r="MBQ70" s="122"/>
      <c r="MBR70" s="122"/>
      <c r="MBS70" s="122"/>
      <c r="MBT70" s="122"/>
      <c r="MBU70" s="122"/>
      <c r="MBV70" s="122"/>
      <c r="MBW70" s="122"/>
      <c r="MBX70" s="122"/>
      <c r="MBY70" s="122"/>
      <c r="MBZ70" s="122"/>
      <c r="MCA70" s="122"/>
      <c r="MCB70" s="122"/>
      <c r="MCC70" s="122"/>
      <c r="MCD70" s="122"/>
      <c r="MCE70" s="122"/>
      <c r="MCF70" s="122"/>
      <c r="MCG70" s="122"/>
      <c r="MCH70" s="122"/>
      <c r="MCI70" s="122"/>
      <c r="MCJ70" s="122"/>
      <c r="MCK70" s="122"/>
      <c r="MCL70" s="122"/>
      <c r="MCM70" s="122"/>
      <c r="MCN70" s="122"/>
      <c r="MCO70" s="122"/>
      <c r="MCP70" s="122"/>
      <c r="MCQ70" s="122"/>
      <c r="MCR70" s="122"/>
      <c r="MCS70" s="122"/>
      <c r="MCT70" s="122"/>
      <c r="MCU70" s="122"/>
      <c r="MCV70" s="122"/>
      <c r="MCW70" s="122"/>
      <c r="MCX70" s="122"/>
      <c r="MCY70" s="122"/>
      <c r="MCZ70" s="122"/>
      <c r="MDA70" s="122"/>
      <c r="MDB70" s="122"/>
      <c r="MDC70" s="122"/>
      <c r="MDD70" s="122"/>
      <c r="MDE70" s="122"/>
      <c r="MDF70" s="122"/>
      <c r="MDG70" s="122"/>
      <c r="MDH70" s="122"/>
      <c r="MDI70" s="122"/>
      <c r="MDJ70" s="122"/>
      <c r="MDK70" s="122"/>
      <c r="MDL70" s="122"/>
      <c r="MDM70" s="122"/>
      <c r="MDN70" s="122"/>
      <c r="MDO70" s="122"/>
      <c r="MDP70" s="122"/>
      <c r="MDQ70" s="122"/>
      <c r="MDR70" s="122"/>
      <c r="MDS70" s="122"/>
      <c r="MDT70" s="122"/>
      <c r="MDU70" s="122"/>
      <c r="MDV70" s="122"/>
      <c r="MDW70" s="122"/>
      <c r="MDX70" s="122"/>
      <c r="MDY70" s="122"/>
      <c r="MDZ70" s="122"/>
      <c r="MEA70" s="122"/>
      <c r="MEB70" s="122"/>
      <c r="MEC70" s="122"/>
      <c r="MED70" s="122"/>
      <c r="MEE70" s="122"/>
      <c r="MEF70" s="122"/>
      <c r="MEG70" s="122"/>
      <c r="MEH70" s="122"/>
      <c r="MEI70" s="122"/>
      <c r="MEJ70" s="122"/>
      <c r="MEK70" s="122"/>
      <c r="MEL70" s="122"/>
      <c r="MEM70" s="122"/>
      <c r="MEN70" s="122"/>
      <c r="MEO70" s="122"/>
      <c r="MEP70" s="122"/>
      <c r="MEQ70" s="122"/>
      <c r="MER70" s="122"/>
      <c r="MES70" s="122"/>
      <c r="MET70" s="122"/>
      <c r="MEU70" s="122"/>
      <c r="MEV70" s="122"/>
      <c r="MEW70" s="122"/>
      <c r="MEX70" s="122"/>
      <c r="MEY70" s="122"/>
      <c r="MEZ70" s="122"/>
      <c r="MFA70" s="122"/>
      <c r="MFB70" s="122"/>
      <c r="MFC70" s="122"/>
      <c r="MFD70" s="122"/>
      <c r="MFE70" s="122"/>
      <c r="MFF70" s="122"/>
      <c r="MFG70" s="122"/>
      <c r="MFH70" s="122"/>
      <c r="MFI70" s="122"/>
      <c r="MFJ70" s="122"/>
      <c r="MFK70" s="122"/>
      <c r="MFL70" s="122"/>
      <c r="MFM70" s="122"/>
      <c r="MFN70" s="122"/>
      <c r="MFO70" s="122"/>
      <c r="MFP70" s="122"/>
      <c r="MFQ70" s="122"/>
      <c r="MFR70" s="122"/>
      <c r="MFS70" s="122"/>
      <c r="MFT70" s="122"/>
      <c r="MFU70" s="122"/>
      <c r="MFV70" s="122"/>
      <c r="MFW70" s="122"/>
      <c r="MFX70" s="122"/>
      <c r="MFY70" s="122"/>
      <c r="MFZ70" s="122"/>
      <c r="MGA70" s="122"/>
      <c r="MGB70" s="122"/>
      <c r="MGC70" s="122"/>
      <c r="MGD70" s="122"/>
      <c r="MGE70" s="122"/>
      <c r="MGF70" s="122"/>
      <c r="MGG70" s="122"/>
      <c r="MGH70" s="122"/>
      <c r="MGI70" s="122"/>
      <c r="MGJ70" s="122"/>
      <c r="MGK70" s="122"/>
      <c r="MGL70" s="122"/>
      <c r="MGM70" s="122"/>
      <c r="MGN70" s="122"/>
      <c r="MGO70" s="122"/>
      <c r="MGP70" s="122"/>
      <c r="MGQ70" s="122"/>
      <c r="MGR70" s="122"/>
      <c r="MGS70" s="122"/>
      <c r="MGT70" s="122"/>
      <c r="MGU70" s="122"/>
      <c r="MGV70" s="122"/>
      <c r="MGW70" s="122"/>
      <c r="MGX70" s="122"/>
      <c r="MGY70" s="122"/>
      <c r="MGZ70" s="122"/>
      <c r="MHA70" s="122"/>
      <c r="MHB70" s="122"/>
      <c r="MHC70" s="122"/>
      <c r="MHD70" s="122"/>
      <c r="MHE70" s="122"/>
      <c r="MHF70" s="122"/>
      <c r="MHG70" s="122"/>
      <c r="MHH70" s="122"/>
      <c r="MHI70" s="122"/>
      <c r="MHJ70" s="122"/>
      <c r="MHK70" s="122"/>
      <c r="MHL70" s="122"/>
      <c r="MHM70" s="122"/>
      <c r="MHN70" s="122"/>
      <c r="MHO70" s="122"/>
      <c r="MHP70" s="122"/>
      <c r="MHQ70" s="122"/>
      <c r="MHR70" s="122"/>
      <c r="MHS70" s="122"/>
      <c r="MHT70" s="122"/>
      <c r="MHU70" s="122"/>
      <c r="MHV70" s="122"/>
      <c r="MHW70" s="122"/>
      <c r="MHX70" s="122"/>
      <c r="MHY70" s="122"/>
      <c r="MHZ70" s="122"/>
      <c r="MIA70" s="122"/>
      <c r="MIB70" s="122"/>
      <c r="MIC70" s="122"/>
      <c r="MID70" s="122"/>
      <c r="MIE70" s="122"/>
      <c r="MIF70" s="122"/>
      <c r="MIG70" s="122"/>
      <c r="MIH70" s="122"/>
      <c r="MII70" s="122"/>
      <c r="MIJ70" s="122"/>
      <c r="MIK70" s="122"/>
      <c r="MIL70" s="122"/>
      <c r="MIM70" s="122"/>
      <c r="MIN70" s="122"/>
      <c r="MIO70" s="122"/>
      <c r="MIP70" s="122"/>
      <c r="MIQ70" s="122"/>
      <c r="MIR70" s="122"/>
      <c r="MIS70" s="122"/>
      <c r="MIT70" s="122"/>
      <c r="MIU70" s="122"/>
      <c r="MIV70" s="122"/>
      <c r="MIW70" s="122"/>
      <c r="MIX70" s="122"/>
      <c r="MIY70" s="122"/>
      <c r="MIZ70" s="122"/>
      <c r="MJA70" s="122"/>
      <c r="MJB70" s="122"/>
      <c r="MJC70" s="122"/>
      <c r="MJD70" s="122"/>
      <c r="MJE70" s="122"/>
      <c r="MJF70" s="122"/>
      <c r="MJG70" s="122"/>
      <c r="MJH70" s="122"/>
      <c r="MJI70" s="122"/>
      <c r="MJJ70" s="122"/>
      <c r="MJK70" s="122"/>
      <c r="MJL70" s="122"/>
      <c r="MJM70" s="122"/>
      <c r="MJN70" s="122"/>
      <c r="MJO70" s="122"/>
      <c r="MJP70" s="122"/>
      <c r="MJQ70" s="122"/>
      <c r="MJR70" s="122"/>
      <c r="MJS70" s="122"/>
      <c r="MJT70" s="122"/>
      <c r="MJU70" s="122"/>
      <c r="MJV70" s="122"/>
      <c r="MJW70" s="122"/>
      <c r="MJX70" s="122"/>
      <c r="MJY70" s="122"/>
      <c r="MJZ70" s="122"/>
      <c r="MKA70" s="122"/>
      <c r="MKB70" s="122"/>
      <c r="MKC70" s="122"/>
      <c r="MKD70" s="122"/>
      <c r="MKE70" s="122"/>
      <c r="MKF70" s="122"/>
      <c r="MKG70" s="122"/>
      <c r="MKH70" s="122"/>
      <c r="MKI70" s="122"/>
      <c r="MKJ70" s="122"/>
      <c r="MKK70" s="122"/>
      <c r="MKL70" s="122"/>
      <c r="MKM70" s="122"/>
      <c r="MKN70" s="122"/>
      <c r="MKO70" s="122"/>
      <c r="MKP70" s="122"/>
      <c r="MKQ70" s="122"/>
      <c r="MKR70" s="122"/>
      <c r="MKS70" s="122"/>
      <c r="MKT70" s="122"/>
      <c r="MKU70" s="122"/>
      <c r="MKV70" s="122"/>
      <c r="MKW70" s="122"/>
      <c r="MKX70" s="122"/>
      <c r="MKY70" s="122"/>
      <c r="MKZ70" s="122"/>
      <c r="MLA70" s="122"/>
      <c r="MLB70" s="122"/>
      <c r="MLC70" s="122"/>
      <c r="MLD70" s="122"/>
      <c r="MLE70" s="122"/>
      <c r="MLF70" s="122"/>
      <c r="MLG70" s="122"/>
      <c r="MLH70" s="122"/>
      <c r="MLI70" s="122"/>
      <c r="MLJ70" s="122"/>
      <c r="MLK70" s="122"/>
      <c r="MLL70" s="122"/>
      <c r="MLM70" s="122"/>
      <c r="MLN70" s="122"/>
      <c r="MLO70" s="122"/>
      <c r="MLP70" s="122"/>
      <c r="MLQ70" s="122"/>
      <c r="MLR70" s="122"/>
      <c r="MLS70" s="122"/>
      <c r="MLT70" s="122"/>
      <c r="MLU70" s="122"/>
      <c r="MLV70" s="122"/>
      <c r="MLW70" s="122"/>
      <c r="MLX70" s="122"/>
      <c r="MLY70" s="122"/>
      <c r="MLZ70" s="122"/>
      <c r="MMA70" s="122"/>
      <c r="MMB70" s="122"/>
      <c r="MMC70" s="122"/>
      <c r="MMD70" s="122"/>
      <c r="MME70" s="122"/>
      <c r="MMF70" s="122"/>
      <c r="MMG70" s="122"/>
      <c r="MMH70" s="122"/>
      <c r="MMI70" s="122"/>
      <c r="MMJ70" s="122"/>
      <c r="MMK70" s="122"/>
      <c r="MML70" s="122"/>
      <c r="MMM70" s="122"/>
      <c r="MMN70" s="122"/>
      <c r="MMO70" s="122"/>
      <c r="MMP70" s="122"/>
      <c r="MMQ70" s="122"/>
      <c r="MMR70" s="122"/>
      <c r="MMS70" s="122"/>
      <c r="MMT70" s="122"/>
      <c r="MMU70" s="122"/>
      <c r="MMV70" s="122"/>
      <c r="MMW70" s="122"/>
      <c r="MMX70" s="122"/>
      <c r="MMY70" s="122"/>
      <c r="MMZ70" s="122"/>
      <c r="MNA70" s="122"/>
      <c r="MNB70" s="122"/>
      <c r="MNC70" s="122"/>
      <c r="MND70" s="122"/>
      <c r="MNE70" s="122"/>
      <c r="MNF70" s="122"/>
      <c r="MNG70" s="122"/>
      <c r="MNH70" s="122"/>
      <c r="MNI70" s="122"/>
      <c r="MNJ70" s="122"/>
      <c r="MNK70" s="122"/>
      <c r="MNL70" s="122"/>
      <c r="MNM70" s="122"/>
      <c r="MNN70" s="122"/>
      <c r="MNO70" s="122"/>
      <c r="MNP70" s="122"/>
      <c r="MNQ70" s="122"/>
      <c r="MNR70" s="122"/>
      <c r="MNS70" s="122"/>
      <c r="MNT70" s="122"/>
      <c r="MNU70" s="122"/>
      <c r="MNV70" s="122"/>
      <c r="MNW70" s="122"/>
      <c r="MNX70" s="122"/>
      <c r="MNY70" s="122"/>
      <c r="MNZ70" s="122"/>
      <c r="MOA70" s="122"/>
      <c r="MOB70" s="122"/>
      <c r="MOC70" s="122"/>
      <c r="MOD70" s="122"/>
      <c r="MOE70" s="122"/>
      <c r="MOF70" s="122"/>
      <c r="MOG70" s="122"/>
      <c r="MOH70" s="122"/>
      <c r="MOI70" s="122"/>
      <c r="MOJ70" s="122"/>
      <c r="MOK70" s="122"/>
      <c r="MOL70" s="122"/>
      <c r="MOM70" s="122"/>
      <c r="MON70" s="122"/>
      <c r="MOO70" s="122"/>
      <c r="MOP70" s="122"/>
      <c r="MOQ70" s="122"/>
      <c r="MOR70" s="122"/>
      <c r="MOS70" s="122"/>
      <c r="MOT70" s="122"/>
      <c r="MOU70" s="122"/>
      <c r="MOV70" s="122"/>
      <c r="MOW70" s="122"/>
      <c r="MOX70" s="122"/>
      <c r="MOY70" s="122"/>
      <c r="MOZ70" s="122"/>
      <c r="MPA70" s="122"/>
      <c r="MPB70" s="122"/>
      <c r="MPC70" s="122"/>
      <c r="MPD70" s="122"/>
      <c r="MPE70" s="122"/>
      <c r="MPF70" s="122"/>
      <c r="MPG70" s="122"/>
      <c r="MPH70" s="122"/>
      <c r="MPI70" s="122"/>
      <c r="MPJ70" s="122"/>
      <c r="MPK70" s="122"/>
      <c r="MPL70" s="122"/>
      <c r="MPM70" s="122"/>
      <c r="MPN70" s="122"/>
      <c r="MPO70" s="122"/>
      <c r="MPP70" s="122"/>
      <c r="MPQ70" s="122"/>
      <c r="MPR70" s="122"/>
      <c r="MPS70" s="122"/>
      <c r="MPT70" s="122"/>
      <c r="MPU70" s="122"/>
      <c r="MPV70" s="122"/>
      <c r="MPW70" s="122"/>
      <c r="MPX70" s="122"/>
      <c r="MPY70" s="122"/>
      <c r="MPZ70" s="122"/>
      <c r="MQA70" s="122"/>
      <c r="MQB70" s="122"/>
      <c r="MQC70" s="122"/>
      <c r="MQD70" s="122"/>
      <c r="MQE70" s="122"/>
      <c r="MQF70" s="122"/>
      <c r="MQG70" s="122"/>
      <c r="MQH70" s="122"/>
      <c r="MQI70" s="122"/>
      <c r="MQJ70" s="122"/>
      <c r="MQK70" s="122"/>
      <c r="MQL70" s="122"/>
      <c r="MQM70" s="122"/>
      <c r="MQN70" s="122"/>
      <c r="MQO70" s="122"/>
      <c r="MQP70" s="122"/>
      <c r="MQQ70" s="122"/>
      <c r="MQR70" s="122"/>
      <c r="MQS70" s="122"/>
      <c r="MQT70" s="122"/>
      <c r="MQU70" s="122"/>
      <c r="MQV70" s="122"/>
      <c r="MQW70" s="122"/>
      <c r="MQX70" s="122"/>
      <c r="MQY70" s="122"/>
      <c r="MQZ70" s="122"/>
      <c r="MRA70" s="122"/>
      <c r="MRB70" s="122"/>
      <c r="MRC70" s="122"/>
      <c r="MRD70" s="122"/>
      <c r="MRE70" s="122"/>
      <c r="MRF70" s="122"/>
      <c r="MRG70" s="122"/>
      <c r="MRH70" s="122"/>
      <c r="MRI70" s="122"/>
      <c r="MRJ70" s="122"/>
      <c r="MRK70" s="122"/>
      <c r="MRL70" s="122"/>
      <c r="MRM70" s="122"/>
      <c r="MRN70" s="122"/>
      <c r="MRO70" s="122"/>
      <c r="MRP70" s="122"/>
      <c r="MRQ70" s="122"/>
      <c r="MRR70" s="122"/>
      <c r="MRS70" s="122"/>
      <c r="MRT70" s="122"/>
      <c r="MRU70" s="122"/>
      <c r="MRV70" s="122"/>
      <c r="MRW70" s="122"/>
      <c r="MRX70" s="122"/>
      <c r="MRY70" s="122"/>
      <c r="MRZ70" s="122"/>
      <c r="MSA70" s="122"/>
      <c r="MSB70" s="122"/>
      <c r="MSC70" s="122"/>
      <c r="MSD70" s="122"/>
      <c r="MSE70" s="122"/>
      <c r="MSF70" s="122"/>
      <c r="MSG70" s="122"/>
      <c r="MSH70" s="122"/>
      <c r="MSI70" s="122"/>
      <c r="MSJ70" s="122"/>
      <c r="MSK70" s="122"/>
      <c r="MSL70" s="122"/>
      <c r="MSM70" s="122"/>
      <c r="MSN70" s="122"/>
      <c r="MSO70" s="122"/>
      <c r="MSP70" s="122"/>
      <c r="MSQ70" s="122"/>
      <c r="MSR70" s="122"/>
      <c r="MSS70" s="122"/>
      <c r="MST70" s="122"/>
      <c r="MSU70" s="122"/>
      <c r="MSV70" s="122"/>
      <c r="MSW70" s="122"/>
      <c r="MSX70" s="122"/>
      <c r="MSY70" s="122"/>
      <c r="MSZ70" s="122"/>
      <c r="MTA70" s="122"/>
      <c r="MTB70" s="122"/>
      <c r="MTC70" s="122"/>
      <c r="MTD70" s="122"/>
      <c r="MTE70" s="122"/>
      <c r="MTF70" s="122"/>
      <c r="MTG70" s="122"/>
      <c r="MTH70" s="122"/>
      <c r="MTI70" s="122"/>
      <c r="MTJ70" s="122"/>
      <c r="MTK70" s="122"/>
      <c r="MTL70" s="122"/>
      <c r="MTM70" s="122"/>
      <c r="MTN70" s="122"/>
      <c r="MTO70" s="122"/>
      <c r="MTP70" s="122"/>
      <c r="MTQ70" s="122"/>
      <c r="MTR70" s="122"/>
      <c r="MTS70" s="122"/>
      <c r="MTT70" s="122"/>
      <c r="MTU70" s="122"/>
      <c r="MTV70" s="122"/>
      <c r="MTW70" s="122"/>
      <c r="MTX70" s="122"/>
      <c r="MTY70" s="122"/>
      <c r="MTZ70" s="122"/>
      <c r="MUA70" s="122"/>
      <c r="MUB70" s="122"/>
      <c r="MUC70" s="122"/>
      <c r="MUD70" s="122"/>
      <c r="MUE70" s="122"/>
      <c r="MUF70" s="122"/>
      <c r="MUG70" s="122"/>
      <c r="MUH70" s="122"/>
      <c r="MUI70" s="122"/>
      <c r="MUJ70" s="122"/>
      <c r="MUK70" s="122"/>
      <c r="MUL70" s="122"/>
      <c r="MUM70" s="122"/>
      <c r="MUN70" s="122"/>
      <c r="MUO70" s="122"/>
      <c r="MUP70" s="122"/>
      <c r="MUQ70" s="122"/>
      <c r="MUR70" s="122"/>
      <c r="MUS70" s="122"/>
      <c r="MUT70" s="122"/>
      <c r="MUU70" s="122"/>
      <c r="MUV70" s="122"/>
      <c r="MUW70" s="122"/>
      <c r="MUX70" s="122"/>
      <c r="MUY70" s="122"/>
      <c r="MUZ70" s="122"/>
      <c r="MVA70" s="122"/>
      <c r="MVB70" s="122"/>
      <c r="MVC70" s="122"/>
      <c r="MVD70" s="122"/>
      <c r="MVE70" s="122"/>
      <c r="MVF70" s="122"/>
      <c r="MVG70" s="122"/>
      <c r="MVH70" s="122"/>
      <c r="MVI70" s="122"/>
      <c r="MVJ70" s="122"/>
      <c r="MVK70" s="122"/>
      <c r="MVL70" s="122"/>
      <c r="MVM70" s="122"/>
      <c r="MVN70" s="122"/>
      <c r="MVO70" s="122"/>
      <c r="MVP70" s="122"/>
      <c r="MVQ70" s="122"/>
      <c r="MVR70" s="122"/>
      <c r="MVS70" s="122"/>
      <c r="MVT70" s="122"/>
      <c r="MVU70" s="122"/>
      <c r="MVV70" s="122"/>
      <c r="MVW70" s="122"/>
      <c r="MVX70" s="122"/>
      <c r="MVY70" s="122"/>
      <c r="MVZ70" s="122"/>
      <c r="MWA70" s="122"/>
      <c r="MWB70" s="122"/>
      <c r="MWC70" s="122"/>
      <c r="MWD70" s="122"/>
      <c r="MWE70" s="122"/>
      <c r="MWF70" s="122"/>
      <c r="MWG70" s="122"/>
      <c r="MWH70" s="122"/>
      <c r="MWI70" s="122"/>
      <c r="MWJ70" s="122"/>
      <c r="MWK70" s="122"/>
      <c r="MWL70" s="122"/>
      <c r="MWM70" s="122"/>
      <c r="MWN70" s="122"/>
      <c r="MWO70" s="122"/>
      <c r="MWP70" s="122"/>
      <c r="MWQ70" s="122"/>
      <c r="MWR70" s="122"/>
      <c r="MWS70" s="122"/>
      <c r="MWT70" s="122"/>
      <c r="MWU70" s="122"/>
      <c r="MWV70" s="122"/>
      <c r="MWW70" s="122"/>
      <c r="MWX70" s="122"/>
      <c r="MWY70" s="122"/>
      <c r="MWZ70" s="122"/>
      <c r="MXA70" s="122"/>
      <c r="MXB70" s="122"/>
      <c r="MXC70" s="122"/>
      <c r="MXD70" s="122"/>
      <c r="MXE70" s="122"/>
      <c r="MXF70" s="122"/>
      <c r="MXG70" s="122"/>
      <c r="MXH70" s="122"/>
      <c r="MXI70" s="122"/>
      <c r="MXJ70" s="122"/>
      <c r="MXK70" s="122"/>
      <c r="MXL70" s="122"/>
      <c r="MXM70" s="122"/>
      <c r="MXN70" s="122"/>
      <c r="MXO70" s="122"/>
      <c r="MXP70" s="122"/>
      <c r="MXQ70" s="122"/>
      <c r="MXR70" s="122"/>
      <c r="MXS70" s="122"/>
      <c r="MXT70" s="122"/>
      <c r="MXU70" s="122"/>
      <c r="MXV70" s="122"/>
      <c r="MXW70" s="122"/>
      <c r="MXX70" s="122"/>
      <c r="MXY70" s="122"/>
      <c r="MXZ70" s="122"/>
      <c r="MYA70" s="122"/>
      <c r="MYB70" s="122"/>
      <c r="MYC70" s="122"/>
      <c r="MYD70" s="122"/>
      <c r="MYE70" s="122"/>
      <c r="MYF70" s="122"/>
      <c r="MYG70" s="122"/>
      <c r="MYH70" s="122"/>
      <c r="MYI70" s="122"/>
      <c r="MYJ70" s="122"/>
      <c r="MYK70" s="122"/>
      <c r="MYL70" s="122"/>
      <c r="MYM70" s="122"/>
      <c r="MYN70" s="122"/>
      <c r="MYO70" s="122"/>
      <c r="MYP70" s="122"/>
      <c r="MYQ70" s="122"/>
      <c r="MYR70" s="122"/>
      <c r="MYS70" s="122"/>
      <c r="MYT70" s="122"/>
      <c r="MYU70" s="122"/>
      <c r="MYV70" s="122"/>
      <c r="MYW70" s="122"/>
      <c r="MYX70" s="122"/>
      <c r="MYY70" s="122"/>
      <c r="MYZ70" s="122"/>
      <c r="MZA70" s="122"/>
      <c r="MZB70" s="122"/>
      <c r="MZC70" s="122"/>
      <c r="MZD70" s="122"/>
      <c r="MZE70" s="122"/>
      <c r="MZF70" s="122"/>
      <c r="MZG70" s="122"/>
      <c r="MZH70" s="122"/>
      <c r="MZI70" s="122"/>
      <c r="MZJ70" s="122"/>
      <c r="MZK70" s="122"/>
      <c r="MZL70" s="122"/>
      <c r="MZM70" s="122"/>
      <c r="MZN70" s="122"/>
      <c r="MZO70" s="122"/>
      <c r="MZP70" s="122"/>
      <c r="MZQ70" s="122"/>
      <c r="MZR70" s="122"/>
      <c r="MZS70" s="122"/>
      <c r="MZT70" s="122"/>
      <c r="MZU70" s="122"/>
      <c r="MZV70" s="122"/>
      <c r="MZW70" s="122"/>
      <c r="MZX70" s="122"/>
      <c r="MZY70" s="122"/>
      <c r="MZZ70" s="122"/>
      <c r="NAA70" s="122"/>
      <c r="NAB70" s="122"/>
      <c r="NAC70" s="122"/>
      <c r="NAD70" s="122"/>
      <c r="NAE70" s="122"/>
      <c r="NAF70" s="122"/>
      <c r="NAG70" s="122"/>
      <c r="NAH70" s="122"/>
      <c r="NAI70" s="122"/>
      <c r="NAJ70" s="122"/>
      <c r="NAK70" s="122"/>
      <c r="NAL70" s="122"/>
      <c r="NAM70" s="122"/>
      <c r="NAN70" s="122"/>
      <c r="NAO70" s="122"/>
      <c r="NAP70" s="122"/>
      <c r="NAQ70" s="122"/>
      <c r="NAR70" s="122"/>
      <c r="NAS70" s="122"/>
      <c r="NAT70" s="122"/>
      <c r="NAU70" s="122"/>
      <c r="NAV70" s="122"/>
      <c r="NAW70" s="122"/>
      <c r="NAX70" s="122"/>
      <c r="NAY70" s="122"/>
      <c r="NAZ70" s="122"/>
      <c r="NBA70" s="122"/>
      <c r="NBB70" s="122"/>
      <c r="NBC70" s="122"/>
      <c r="NBD70" s="122"/>
      <c r="NBE70" s="122"/>
      <c r="NBF70" s="122"/>
      <c r="NBG70" s="122"/>
      <c r="NBH70" s="122"/>
      <c r="NBI70" s="122"/>
      <c r="NBJ70" s="122"/>
      <c r="NBK70" s="122"/>
      <c r="NBL70" s="122"/>
      <c r="NBM70" s="122"/>
      <c r="NBN70" s="122"/>
      <c r="NBO70" s="122"/>
      <c r="NBP70" s="122"/>
      <c r="NBQ70" s="122"/>
      <c r="NBR70" s="122"/>
      <c r="NBS70" s="122"/>
      <c r="NBT70" s="122"/>
      <c r="NBU70" s="122"/>
      <c r="NBV70" s="122"/>
      <c r="NBW70" s="122"/>
      <c r="NBX70" s="122"/>
      <c r="NBY70" s="122"/>
      <c r="NBZ70" s="122"/>
      <c r="NCA70" s="122"/>
      <c r="NCB70" s="122"/>
      <c r="NCC70" s="122"/>
      <c r="NCD70" s="122"/>
      <c r="NCE70" s="122"/>
      <c r="NCF70" s="122"/>
      <c r="NCG70" s="122"/>
      <c r="NCH70" s="122"/>
      <c r="NCI70" s="122"/>
      <c r="NCJ70" s="122"/>
      <c r="NCK70" s="122"/>
      <c r="NCL70" s="122"/>
      <c r="NCM70" s="122"/>
      <c r="NCN70" s="122"/>
      <c r="NCO70" s="122"/>
      <c r="NCP70" s="122"/>
      <c r="NCQ70" s="122"/>
      <c r="NCR70" s="122"/>
      <c r="NCS70" s="122"/>
      <c r="NCT70" s="122"/>
      <c r="NCU70" s="122"/>
      <c r="NCV70" s="122"/>
      <c r="NCW70" s="122"/>
      <c r="NCX70" s="122"/>
      <c r="NCY70" s="122"/>
      <c r="NCZ70" s="122"/>
      <c r="NDA70" s="122"/>
      <c r="NDB70" s="122"/>
      <c r="NDC70" s="122"/>
      <c r="NDD70" s="122"/>
      <c r="NDE70" s="122"/>
      <c r="NDF70" s="122"/>
      <c r="NDG70" s="122"/>
      <c r="NDH70" s="122"/>
      <c r="NDI70" s="122"/>
      <c r="NDJ70" s="122"/>
      <c r="NDK70" s="122"/>
      <c r="NDL70" s="122"/>
      <c r="NDM70" s="122"/>
      <c r="NDN70" s="122"/>
      <c r="NDO70" s="122"/>
      <c r="NDP70" s="122"/>
      <c r="NDQ70" s="122"/>
      <c r="NDR70" s="122"/>
      <c r="NDS70" s="122"/>
      <c r="NDT70" s="122"/>
      <c r="NDU70" s="122"/>
      <c r="NDV70" s="122"/>
      <c r="NDW70" s="122"/>
      <c r="NDX70" s="122"/>
      <c r="NDY70" s="122"/>
      <c r="NDZ70" s="122"/>
      <c r="NEA70" s="122"/>
      <c r="NEB70" s="122"/>
      <c r="NEC70" s="122"/>
      <c r="NED70" s="122"/>
      <c r="NEE70" s="122"/>
      <c r="NEF70" s="122"/>
      <c r="NEG70" s="122"/>
      <c r="NEH70" s="122"/>
      <c r="NEI70" s="122"/>
      <c r="NEJ70" s="122"/>
      <c r="NEK70" s="122"/>
      <c r="NEL70" s="122"/>
      <c r="NEM70" s="122"/>
      <c r="NEN70" s="122"/>
      <c r="NEO70" s="122"/>
      <c r="NEP70" s="122"/>
      <c r="NEQ70" s="122"/>
      <c r="NER70" s="122"/>
      <c r="NES70" s="122"/>
      <c r="NET70" s="122"/>
      <c r="NEU70" s="122"/>
      <c r="NEV70" s="122"/>
      <c r="NEW70" s="122"/>
      <c r="NEX70" s="122"/>
      <c r="NEY70" s="122"/>
      <c r="NEZ70" s="122"/>
      <c r="NFA70" s="122"/>
      <c r="NFB70" s="122"/>
      <c r="NFC70" s="122"/>
      <c r="NFD70" s="122"/>
      <c r="NFE70" s="122"/>
      <c r="NFF70" s="122"/>
      <c r="NFG70" s="122"/>
      <c r="NFH70" s="122"/>
      <c r="NFI70" s="122"/>
      <c r="NFJ70" s="122"/>
      <c r="NFK70" s="122"/>
      <c r="NFL70" s="122"/>
      <c r="NFM70" s="122"/>
      <c r="NFN70" s="122"/>
      <c r="NFO70" s="122"/>
      <c r="NFP70" s="122"/>
      <c r="NFQ70" s="122"/>
      <c r="NFR70" s="122"/>
      <c r="NFS70" s="122"/>
      <c r="NFT70" s="122"/>
      <c r="NFU70" s="122"/>
      <c r="NFV70" s="122"/>
      <c r="NFW70" s="122"/>
      <c r="NFX70" s="122"/>
      <c r="NFY70" s="122"/>
      <c r="NFZ70" s="122"/>
      <c r="NGA70" s="122"/>
      <c r="NGB70" s="122"/>
      <c r="NGC70" s="122"/>
      <c r="NGD70" s="122"/>
      <c r="NGE70" s="122"/>
      <c r="NGF70" s="122"/>
      <c r="NGG70" s="122"/>
      <c r="NGH70" s="122"/>
      <c r="NGI70" s="122"/>
      <c r="NGJ70" s="122"/>
      <c r="NGK70" s="122"/>
      <c r="NGL70" s="122"/>
      <c r="NGM70" s="122"/>
      <c r="NGN70" s="122"/>
      <c r="NGO70" s="122"/>
      <c r="NGP70" s="122"/>
      <c r="NGQ70" s="122"/>
      <c r="NGR70" s="122"/>
      <c r="NGS70" s="122"/>
      <c r="NGT70" s="122"/>
      <c r="NGU70" s="122"/>
      <c r="NGV70" s="122"/>
      <c r="NGW70" s="122"/>
      <c r="NGX70" s="122"/>
      <c r="NGY70" s="122"/>
      <c r="NGZ70" s="122"/>
      <c r="NHA70" s="122"/>
      <c r="NHB70" s="122"/>
      <c r="NHC70" s="122"/>
      <c r="NHD70" s="122"/>
      <c r="NHE70" s="122"/>
      <c r="NHF70" s="122"/>
      <c r="NHG70" s="122"/>
      <c r="NHH70" s="122"/>
      <c r="NHI70" s="122"/>
      <c r="NHJ70" s="122"/>
      <c r="NHK70" s="122"/>
      <c r="NHL70" s="122"/>
      <c r="NHM70" s="122"/>
      <c r="NHN70" s="122"/>
      <c r="NHO70" s="122"/>
      <c r="NHP70" s="122"/>
      <c r="NHQ70" s="122"/>
      <c r="NHR70" s="122"/>
      <c r="NHS70" s="122"/>
      <c r="NHT70" s="122"/>
      <c r="NHU70" s="122"/>
      <c r="NHV70" s="122"/>
      <c r="NHW70" s="122"/>
      <c r="NHX70" s="122"/>
      <c r="NHY70" s="122"/>
      <c r="NHZ70" s="122"/>
      <c r="NIA70" s="122"/>
      <c r="NIB70" s="122"/>
      <c r="NIC70" s="122"/>
      <c r="NID70" s="122"/>
      <c r="NIE70" s="122"/>
      <c r="NIF70" s="122"/>
      <c r="NIG70" s="122"/>
      <c r="NIH70" s="122"/>
      <c r="NII70" s="122"/>
      <c r="NIJ70" s="122"/>
      <c r="NIK70" s="122"/>
      <c r="NIL70" s="122"/>
      <c r="NIM70" s="122"/>
      <c r="NIN70" s="122"/>
      <c r="NIO70" s="122"/>
      <c r="NIP70" s="122"/>
      <c r="NIQ70" s="122"/>
      <c r="NIR70" s="122"/>
      <c r="NIS70" s="122"/>
      <c r="NIT70" s="122"/>
      <c r="NIU70" s="122"/>
      <c r="NIV70" s="122"/>
      <c r="NIW70" s="122"/>
      <c r="NIX70" s="122"/>
      <c r="NIY70" s="122"/>
      <c r="NIZ70" s="122"/>
      <c r="NJA70" s="122"/>
      <c r="NJB70" s="122"/>
      <c r="NJC70" s="122"/>
      <c r="NJD70" s="122"/>
      <c r="NJE70" s="122"/>
      <c r="NJF70" s="122"/>
      <c r="NJG70" s="122"/>
      <c r="NJH70" s="122"/>
      <c r="NJI70" s="122"/>
      <c r="NJJ70" s="122"/>
      <c r="NJK70" s="122"/>
      <c r="NJL70" s="122"/>
      <c r="NJM70" s="122"/>
      <c r="NJN70" s="122"/>
      <c r="NJO70" s="122"/>
      <c r="NJP70" s="122"/>
      <c r="NJQ70" s="122"/>
      <c r="NJR70" s="122"/>
      <c r="NJS70" s="122"/>
      <c r="NJT70" s="122"/>
      <c r="NJU70" s="122"/>
      <c r="NJV70" s="122"/>
      <c r="NJW70" s="122"/>
      <c r="NJX70" s="122"/>
      <c r="NJY70" s="122"/>
      <c r="NJZ70" s="122"/>
      <c r="NKA70" s="122"/>
      <c r="NKB70" s="122"/>
      <c r="NKC70" s="122"/>
      <c r="NKD70" s="122"/>
      <c r="NKE70" s="122"/>
      <c r="NKF70" s="122"/>
      <c r="NKG70" s="122"/>
      <c r="NKH70" s="122"/>
      <c r="NKI70" s="122"/>
      <c r="NKJ70" s="122"/>
      <c r="NKK70" s="122"/>
      <c r="NKL70" s="122"/>
      <c r="NKM70" s="122"/>
      <c r="NKN70" s="122"/>
      <c r="NKO70" s="122"/>
      <c r="NKP70" s="122"/>
      <c r="NKQ70" s="122"/>
      <c r="NKR70" s="122"/>
      <c r="NKS70" s="122"/>
      <c r="NKT70" s="122"/>
      <c r="NKU70" s="122"/>
      <c r="NKV70" s="122"/>
      <c r="NKW70" s="122"/>
      <c r="NKX70" s="122"/>
      <c r="NKY70" s="122"/>
      <c r="NKZ70" s="122"/>
      <c r="NLA70" s="122"/>
      <c r="NLB70" s="122"/>
      <c r="NLC70" s="122"/>
      <c r="NLD70" s="122"/>
      <c r="NLE70" s="122"/>
      <c r="NLF70" s="122"/>
      <c r="NLG70" s="122"/>
      <c r="NLH70" s="122"/>
      <c r="NLI70" s="122"/>
      <c r="NLJ70" s="122"/>
      <c r="NLK70" s="122"/>
      <c r="NLL70" s="122"/>
      <c r="NLM70" s="122"/>
      <c r="NLN70" s="122"/>
      <c r="NLO70" s="122"/>
      <c r="NLP70" s="122"/>
      <c r="NLQ70" s="122"/>
      <c r="NLR70" s="122"/>
      <c r="NLS70" s="122"/>
      <c r="NLT70" s="122"/>
      <c r="NLU70" s="122"/>
      <c r="NLV70" s="122"/>
      <c r="NLW70" s="122"/>
      <c r="NLX70" s="122"/>
      <c r="NLY70" s="122"/>
      <c r="NLZ70" s="122"/>
      <c r="NMA70" s="122"/>
      <c r="NMB70" s="122"/>
      <c r="NMC70" s="122"/>
      <c r="NMD70" s="122"/>
      <c r="NME70" s="122"/>
      <c r="NMF70" s="122"/>
      <c r="NMG70" s="122"/>
      <c r="NMH70" s="122"/>
      <c r="NMI70" s="122"/>
      <c r="NMJ70" s="122"/>
      <c r="NMK70" s="122"/>
      <c r="NML70" s="122"/>
      <c r="NMM70" s="122"/>
      <c r="NMN70" s="122"/>
      <c r="NMO70" s="122"/>
      <c r="NMP70" s="122"/>
      <c r="NMQ70" s="122"/>
      <c r="NMR70" s="122"/>
      <c r="NMS70" s="122"/>
      <c r="NMT70" s="122"/>
      <c r="NMU70" s="122"/>
      <c r="NMV70" s="122"/>
      <c r="NMW70" s="122"/>
      <c r="NMX70" s="122"/>
      <c r="NMY70" s="122"/>
      <c r="NMZ70" s="122"/>
      <c r="NNA70" s="122"/>
      <c r="NNB70" s="122"/>
      <c r="NNC70" s="122"/>
      <c r="NND70" s="122"/>
      <c r="NNE70" s="122"/>
      <c r="NNF70" s="122"/>
      <c r="NNG70" s="122"/>
      <c r="NNH70" s="122"/>
      <c r="NNI70" s="122"/>
      <c r="NNJ70" s="122"/>
      <c r="NNK70" s="122"/>
      <c r="NNL70" s="122"/>
      <c r="NNM70" s="122"/>
      <c r="NNN70" s="122"/>
      <c r="NNO70" s="122"/>
      <c r="NNP70" s="122"/>
      <c r="NNQ70" s="122"/>
      <c r="NNR70" s="122"/>
      <c r="NNS70" s="122"/>
      <c r="NNT70" s="122"/>
      <c r="NNU70" s="122"/>
      <c r="NNV70" s="122"/>
      <c r="NNW70" s="122"/>
      <c r="NNX70" s="122"/>
      <c r="NNY70" s="122"/>
      <c r="NNZ70" s="122"/>
      <c r="NOA70" s="122"/>
      <c r="NOB70" s="122"/>
      <c r="NOC70" s="122"/>
      <c r="NOD70" s="122"/>
      <c r="NOE70" s="122"/>
      <c r="NOF70" s="122"/>
      <c r="NOG70" s="122"/>
      <c r="NOH70" s="122"/>
      <c r="NOI70" s="122"/>
      <c r="NOJ70" s="122"/>
      <c r="NOK70" s="122"/>
      <c r="NOL70" s="122"/>
      <c r="NOM70" s="122"/>
      <c r="NON70" s="122"/>
      <c r="NOO70" s="122"/>
      <c r="NOP70" s="122"/>
      <c r="NOQ70" s="122"/>
      <c r="NOR70" s="122"/>
      <c r="NOS70" s="122"/>
      <c r="NOT70" s="122"/>
      <c r="NOU70" s="122"/>
      <c r="NOV70" s="122"/>
      <c r="NOW70" s="122"/>
      <c r="NOX70" s="122"/>
      <c r="NOY70" s="122"/>
      <c r="NOZ70" s="122"/>
      <c r="NPA70" s="122"/>
      <c r="NPB70" s="122"/>
      <c r="NPC70" s="122"/>
      <c r="NPD70" s="122"/>
      <c r="NPE70" s="122"/>
      <c r="NPF70" s="122"/>
      <c r="NPG70" s="122"/>
      <c r="NPH70" s="122"/>
      <c r="NPI70" s="122"/>
      <c r="NPJ70" s="122"/>
      <c r="NPK70" s="122"/>
      <c r="NPL70" s="122"/>
      <c r="NPM70" s="122"/>
      <c r="NPN70" s="122"/>
      <c r="NPO70" s="122"/>
      <c r="NPP70" s="122"/>
      <c r="NPQ70" s="122"/>
      <c r="NPR70" s="122"/>
      <c r="NPS70" s="122"/>
      <c r="NPT70" s="122"/>
      <c r="NPU70" s="122"/>
      <c r="NPV70" s="122"/>
      <c r="NPW70" s="122"/>
      <c r="NPX70" s="122"/>
      <c r="NPY70" s="122"/>
      <c r="NPZ70" s="122"/>
      <c r="NQA70" s="122"/>
      <c r="NQB70" s="122"/>
      <c r="NQC70" s="122"/>
      <c r="NQD70" s="122"/>
      <c r="NQE70" s="122"/>
      <c r="NQF70" s="122"/>
      <c r="NQG70" s="122"/>
      <c r="NQH70" s="122"/>
      <c r="NQI70" s="122"/>
      <c r="NQJ70" s="122"/>
      <c r="NQK70" s="122"/>
      <c r="NQL70" s="122"/>
      <c r="NQM70" s="122"/>
      <c r="NQN70" s="122"/>
      <c r="NQO70" s="122"/>
      <c r="NQP70" s="122"/>
      <c r="NQQ70" s="122"/>
      <c r="NQR70" s="122"/>
      <c r="NQS70" s="122"/>
      <c r="NQT70" s="122"/>
      <c r="NQU70" s="122"/>
      <c r="NQV70" s="122"/>
      <c r="NQW70" s="122"/>
      <c r="NQX70" s="122"/>
      <c r="NQY70" s="122"/>
      <c r="NQZ70" s="122"/>
      <c r="NRA70" s="122"/>
      <c r="NRB70" s="122"/>
      <c r="NRC70" s="122"/>
      <c r="NRD70" s="122"/>
      <c r="NRE70" s="122"/>
      <c r="NRF70" s="122"/>
      <c r="NRG70" s="122"/>
      <c r="NRH70" s="122"/>
      <c r="NRI70" s="122"/>
      <c r="NRJ70" s="122"/>
      <c r="NRK70" s="122"/>
      <c r="NRL70" s="122"/>
      <c r="NRM70" s="122"/>
      <c r="NRN70" s="122"/>
      <c r="NRO70" s="122"/>
      <c r="NRP70" s="122"/>
      <c r="NRQ70" s="122"/>
      <c r="NRR70" s="122"/>
      <c r="NRS70" s="122"/>
      <c r="NRT70" s="122"/>
      <c r="NRU70" s="122"/>
      <c r="NRV70" s="122"/>
      <c r="NRW70" s="122"/>
      <c r="NRX70" s="122"/>
      <c r="NRY70" s="122"/>
      <c r="NRZ70" s="122"/>
      <c r="NSA70" s="122"/>
      <c r="NSB70" s="122"/>
      <c r="NSC70" s="122"/>
      <c r="NSD70" s="122"/>
      <c r="NSE70" s="122"/>
      <c r="NSF70" s="122"/>
      <c r="NSG70" s="122"/>
      <c r="NSH70" s="122"/>
      <c r="NSI70" s="122"/>
      <c r="NSJ70" s="122"/>
      <c r="NSK70" s="122"/>
      <c r="NSL70" s="122"/>
      <c r="NSM70" s="122"/>
      <c r="NSN70" s="122"/>
      <c r="NSO70" s="122"/>
      <c r="NSP70" s="122"/>
      <c r="NSQ70" s="122"/>
      <c r="NSR70" s="122"/>
      <c r="NSS70" s="122"/>
      <c r="NST70" s="122"/>
      <c r="NSU70" s="122"/>
      <c r="NSV70" s="122"/>
      <c r="NSW70" s="122"/>
      <c r="NSX70" s="122"/>
      <c r="NSY70" s="122"/>
      <c r="NSZ70" s="122"/>
      <c r="NTA70" s="122"/>
      <c r="NTB70" s="122"/>
      <c r="NTC70" s="122"/>
      <c r="NTD70" s="122"/>
      <c r="NTE70" s="122"/>
      <c r="NTF70" s="122"/>
      <c r="NTG70" s="122"/>
      <c r="NTH70" s="122"/>
      <c r="NTI70" s="122"/>
      <c r="NTJ70" s="122"/>
      <c r="NTK70" s="122"/>
      <c r="NTL70" s="122"/>
      <c r="NTM70" s="122"/>
      <c r="NTN70" s="122"/>
      <c r="NTO70" s="122"/>
      <c r="NTP70" s="122"/>
      <c r="NTQ70" s="122"/>
      <c r="NTR70" s="122"/>
      <c r="NTS70" s="122"/>
      <c r="NTT70" s="122"/>
      <c r="NTU70" s="122"/>
      <c r="NTV70" s="122"/>
      <c r="NTW70" s="122"/>
      <c r="NTX70" s="122"/>
      <c r="NTY70" s="122"/>
      <c r="NTZ70" s="122"/>
      <c r="NUA70" s="122"/>
      <c r="NUB70" s="122"/>
      <c r="NUC70" s="122"/>
      <c r="NUD70" s="122"/>
      <c r="NUE70" s="122"/>
      <c r="NUF70" s="122"/>
      <c r="NUG70" s="122"/>
      <c r="NUH70" s="122"/>
      <c r="NUI70" s="122"/>
      <c r="NUJ70" s="122"/>
      <c r="NUK70" s="122"/>
      <c r="NUL70" s="122"/>
      <c r="NUM70" s="122"/>
      <c r="NUN70" s="122"/>
      <c r="NUO70" s="122"/>
      <c r="NUP70" s="122"/>
      <c r="NUQ70" s="122"/>
      <c r="NUR70" s="122"/>
      <c r="NUS70" s="122"/>
      <c r="NUT70" s="122"/>
      <c r="NUU70" s="122"/>
      <c r="NUV70" s="122"/>
      <c r="NUW70" s="122"/>
      <c r="NUX70" s="122"/>
      <c r="NUY70" s="122"/>
      <c r="NUZ70" s="122"/>
      <c r="NVA70" s="122"/>
      <c r="NVB70" s="122"/>
      <c r="NVC70" s="122"/>
      <c r="NVD70" s="122"/>
      <c r="NVE70" s="122"/>
      <c r="NVF70" s="122"/>
      <c r="NVG70" s="122"/>
      <c r="NVH70" s="122"/>
      <c r="NVI70" s="122"/>
      <c r="NVJ70" s="122"/>
      <c r="NVK70" s="122"/>
      <c r="NVL70" s="122"/>
      <c r="NVM70" s="122"/>
      <c r="NVN70" s="122"/>
      <c r="NVO70" s="122"/>
      <c r="NVP70" s="122"/>
      <c r="NVQ70" s="122"/>
      <c r="NVR70" s="122"/>
      <c r="NVS70" s="122"/>
      <c r="NVT70" s="122"/>
      <c r="NVU70" s="122"/>
      <c r="NVV70" s="122"/>
      <c r="NVW70" s="122"/>
      <c r="NVX70" s="122"/>
      <c r="NVY70" s="122"/>
      <c r="NVZ70" s="122"/>
      <c r="NWA70" s="122"/>
      <c r="NWB70" s="122"/>
      <c r="NWC70" s="122"/>
      <c r="NWD70" s="122"/>
      <c r="NWE70" s="122"/>
      <c r="NWF70" s="122"/>
      <c r="NWG70" s="122"/>
      <c r="NWH70" s="122"/>
      <c r="NWI70" s="122"/>
      <c r="NWJ70" s="122"/>
      <c r="NWK70" s="122"/>
      <c r="NWL70" s="122"/>
      <c r="NWM70" s="122"/>
      <c r="NWN70" s="122"/>
      <c r="NWO70" s="122"/>
      <c r="NWP70" s="122"/>
      <c r="NWQ70" s="122"/>
      <c r="NWR70" s="122"/>
      <c r="NWS70" s="122"/>
      <c r="NWT70" s="122"/>
      <c r="NWU70" s="122"/>
      <c r="NWV70" s="122"/>
      <c r="NWW70" s="122"/>
      <c r="NWX70" s="122"/>
      <c r="NWY70" s="122"/>
      <c r="NWZ70" s="122"/>
      <c r="NXA70" s="122"/>
      <c r="NXB70" s="122"/>
      <c r="NXC70" s="122"/>
      <c r="NXD70" s="122"/>
      <c r="NXE70" s="122"/>
      <c r="NXF70" s="122"/>
      <c r="NXG70" s="122"/>
      <c r="NXH70" s="122"/>
      <c r="NXI70" s="122"/>
      <c r="NXJ70" s="122"/>
      <c r="NXK70" s="122"/>
      <c r="NXL70" s="122"/>
      <c r="NXM70" s="122"/>
      <c r="NXN70" s="122"/>
      <c r="NXO70" s="122"/>
      <c r="NXP70" s="122"/>
      <c r="NXQ70" s="122"/>
      <c r="NXR70" s="122"/>
      <c r="NXS70" s="122"/>
      <c r="NXT70" s="122"/>
      <c r="NXU70" s="122"/>
      <c r="NXV70" s="122"/>
      <c r="NXW70" s="122"/>
      <c r="NXX70" s="122"/>
      <c r="NXY70" s="122"/>
      <c r="NXZ70" s="122"/>
      <c r="NYA70" s="122"/>
      <c r="NYB70" s="122"/>
      <c r="NYC70" s="122"/>
      <c r="NYD70" s="122"/>
      <c r="NYE70" s="122"/>
      <c r="NYF70" s="122"/>
      <c r="NYG70" s="122"/>
      <c r="NYH70" s="122"/>
      <c r="NYI70" s="122"/>
      <c r="NYJ70" s="122"/>
      <c r="NYK70" s="122"/>
      <c r="NYL70" s="122"/>
      <c r="NYM70" s="122"/>
      <c r="NYN70" s="122"/>
      <c r="NYO70" s="122"/>
      <c r="NYP70" s="122"/>
      <c r="NYQ70" s="122"/>
      <c r="NYR70" s="122"/>
      <c r="NYS70" s="122"/>
      <c r="NYT70" s="122"/>
      <c r="NYU70" s="122"/>
      <c r="NYV70" s="122"/>
      <c r="NYW70" s="122"/>
      <c r="NYX70" s="122"/>
      <c r="NYY70" s="122"/>
      <c r="NYZ70" s="122"/>
      <c r="NZA70" s="122"/>
      <c r="NZB70" s="122"/>
      <c r="NZC70" s="122"/>
      <c r="NZD70" s="122"/>
      <c r="NZE70" s="122"/>
      <c r="NZF70" s="122"/>
      <c r="NZG70" s="122"/>
      <c r="NZH70" s="122"/>
      <c r="NZI70" s="122"/>
      <c r="NZJ70" s="122"/>
      <c r="NZK70" s="122"/>
      <c r="NZL70" s="122"/>
      <c r="NZM70" s="122"/>
      <c r="NZN70" s="122"/>
      <c r="NZO70" s="122"/>
      <c r="NZP70" s="122"/>
      <c r="NZQ70" s="122"/>
      <c r="NZR70" s="122"/>
      <c r="NZS70" s="122"/>
      <c r="NZT70" s="122"/>
      <c r="NZU70" s="122"/>
      <c r="NZV70" s="122"/>
      <c r="NZW70" s="122"/>
      <c r="NZX70" s="122"/>
      <c r="NZY70" s="122"/>
      <c r="NZZ70" s="122"/>
      <c r="OAA70" s="122"/>
      <c r="OAB70" s="122"/>
      <c r="OAC70" s="122"/>
      <c r="OAD70" s="122"/>
      <c r="OAE70" s="122"/>
      <c r="OAF70" s="122"/>
      <c r="OAG70" s="122"/>
      <c r="OAH70" s="122"/>
      <c r="OAI70" s="122"/>
      <c r="OAJ70" s="122"/>
      <c r="OAK70" s="122"/>
      <c r="OAL70" s="122"/>
      <c r="OAM70" s="122"/>
      <c r="OAN70" s="122"/>
      <c r="OAO70" s="122"/>
      <c r="OAP70" s="122"/>
      <c r="OAQ70" s="122"/>
      <c r="OAR70" s="122"/>
      <c r="OAS70" s="122"/>
      <c r="OAT70" s="122"/>
      <c r="OAU70" s="122"/>
      <c r="OAV70" s="122"/>
      <c r="OAW70" s="122"/>
      <c r="OAX70" s="122"/>
      <c r="OAY70" s="122"/>
      <c r="OAZ70" s="122"/>
      <c r="OBA70" s="122"/>
      <c r="OBB70" s="122"/>
      <c r="OBC70" s="122"/>
      <c r="OBD70" s="122"/>
      <c r="OBE70" s="122"/>
      <c r="OBF70" s="122"/>
      <c r="OBG70" s="122"/>
      <c r="OBH70" s="122"/>
      <c r="OBI70" s="122"/>
      <c r="OBJ70" s="122"/>
      <c r="OBK70" s="122"/>
      <c r="OBL70" s="122"/>
      <c r="OBM70" s="122"/>
      <c r="OBN70" s="122"/>
      <c r="OBO70" s="122"/>
      <c r="OBP70" s="122"/>
      <c r="OBQ70" s="122"/>
      <c r="OBR70" s="122"/>
      <c r="OBS70" s="122"/>
      <c r="OBT70" s="122"/>
      <c r="OBU70" s="122"/>
      <c r="OBV70" s="122"/>
      <c r="OBW70" s="122"/>
      <c r="OBX70" s="122"/>
      <c r="OBY70" s="122"/>
      <c r="OBZ70" s="122"/>
      <c r="OCA70" s="122"/>
      <c r="OCB70" s="122"/>
      <c r="OCC70" s="122"/>
      <c r="OCD70" s="122"/>
      <c r="OCE70" s="122"/>
      <c r="OCF70" s="122"/>
      <c r="OCG70" s="122"/>
      <c r="OCH70" s="122"/>
      <c r="OCI70" s="122"/>
      <c r="OCJ70" s="122"/>
      <c r="OCK70" s="122"/>
      <c r="OCL70" s="122"/>
      <c r="OCM70" s="122"/>
      <c r="OCN70" s="122"/>
      <c r="OCO70" s="122"/>
      <c r="OCP70" s="122"/>
      <c r="OCQ70" s="122"/>
      <c r="OCR70" s="122"/>
      <c r="OCS70" s="122"/>
      <c r="OCT70" s="122"/>
      <c r="OCU70" s="122"/>
      <c r="OCV70" s="122"/>
      <c r="OCW70" s="122"/>
      <c r="OCX70" s="122"/>
      <c r="OCY70" s="122"/>
      <c r="OCZ70" s="122"/>
      <c r="ODA70" s="122"/>
      <c r="ODB70" s="122"/>
      <c r="ODC70" s="122"/>
      <c r="ODD70" s="122"/>
      <c r="ODE70" s="122"/>
      <c r="ODF70" s="122"/>
      <c r="ODG70" s="122"/>
      <c r="ODH70" s="122"/>
      <c r="ODI70" s="122"/>
      <c r="ODJ70" s="122"/>
      <c r="ODK70" s="122"/>
      <c r="ODL70" s="122"/>
      <c r="ODM70" s="122"/>
      <c r="ODN70" s="122"/>
      <c r="ODO70" s="122"/>
      <c r="ODP70" s="122"/>
      <c r="ODQ70" s="122"/>
      <c r="ODR70" s="122"/>
      <c r="ODS70" s="122"/>
      <c r="ODT70" s="122"/>
      <c r="ODU70" s="122"/>
      <c r="ODV70" s="122"/>
      <c r="ODW70" s="122"/>
      <c r="ODX70" s="122"/>
      <c r="ODY70" s="122"/>
      <c r="ODZ70" s="122"/>
      <c r="OEA70" s="122"/>
      <c r="OEB70" s="122"/>
      <c r="OEC70" s="122"/>
      <c r="OED70" s="122"/>
      <c r="OEE70" s="122"/>
      <c r="OEF70" s="122"/>
      <c r="OEG70" s="122"/>
      <c r="OEH70" s="122"/>
      <c r="OEI70" s="122"/>
      <c r="OEJ70" s="122"/>
      <c r="OEK70" s="122"/>
      <c r="OEL70" s="122"/>
      <c r="OEM70" s="122"/>
      <c r="OEN70" s="122"/>
      <c r="OEO70" s="122"/>
      <c r="OEP70" s="122"/>
      <c r="OEQ70" s="122"/>
      <c r="OER70" s="122"/>
      <c r="OES70" s="122"/>
      <c r="OET70" s="122"/>
      <c r="OEU70" s="122"/>
      <c r="OEV70" s="122"/>
      <c r="OEW70" s="122"/>
      <c r="OEX70" s="122"/>
      <c r="OEY70" s="122"/>
      <c r="OEZ70" s="122"/>
      <c r="OFA70" s="122"/>
      <c r="OFB70" s="122"/>
      <c r="OFC70" s="122"/>
      <c r="OFD70" s="122"/>
      <c r="OFE70" s="122"/>
      <c r="OFF70" s="122"/>
      <c r="OFG70" s="122"/>
      <c r="OFH70" s="122"/>
      <c r="OFI70" s="122"/>
      <c r="OFJ70" s="122"/>
      <c r="OFK70" s="122"/>
      <c r="OFL70" s="122"/>
      <c r="OFM70" s="122"/>
      <c r="OFN70" s="122"/>
      <c r="OFO70" s="122"/>
      <c r="OFP70" s="122"/>
      <c r="OFQ70" s="122"/>
      <c r="OFR70" s="122"/>
      <c r="OFS70" s="122"/>
      <c r="OFT70" s="122"/>
      <c r="OFU70" s="122"/>
      <c r="OFV70" s="122"/>
      <c r="OFW70" s="122"/>
      <c r="OFX70" s="122"/>
      <c r="OFY70" s="122"/>
      <c r="OFZ70" s="122"/>
      <c r="OGA70" s="122"/>
      <c r="OGB70" s="122"/>
      <c r="OGC70" s="122"/>
      <c r="OGD70" s="122"/>
      <c r="OGE70" s="122"/>
      <c r="OGF70" s="122"/>
      <c r="OGG70" s="122"/>
      <c r="OGH70" s="122"/>
      <c r="OGI70" s="122"/>
      <c r="OGJ70" s="122"/>
      <c r="OGK70" s="122"/>
      <c r="OGL70" s="122"/>
      <c r="OGM70" s="122"/>
      <c r="OGN70" s="122"/>
      <c r="OGO70" s="122"/>
      <c r="OGP70" s="122"/>
      <c r="OGQ70" s="122"/>
      <c r="OGR70" s="122"/>
      <c r="OGS70" s="122"/>
      <c r="OGT70" s="122"/>
      <c r="OGU70" s="122"/>
      <c r="OGV70" s="122"/>
      <c r="OGW70" s="122"/>
      <c r="OGX70" s="122"/>
      <c r="OGY70" s="122"/>
      <c r="OGZ70" s="122"/>
      <c r="OHA70" s="122"/>
      <c r="OHB70" s="122"/>
      <c r="OHC70" s="122"/>
      <c r="OHD70" s="122"/>
      <c r="OHE70" s="122"/>
      <c r="OHF70" s="122"/>
      <c r="OHG70" s="122"/>
      <c r="OHH70" s="122"/>
      <c r="OHI70" s="122"/>
      <c r="OHJ70" s="122"/>
      <c r="OHK70" s="122"/>
      <c r="OHL70" s="122"/>
      <c r="OHM70" s="122"/>
      <c r="OHN70" s="122"/>
      <c r="OHO70" s="122"/>
      <c r="OHP70" s="122"/>
      <c r="OHQ70" s="122"/>
      <c r="OHR70" s="122"/>
      <c r="OHS70" s="122"/>
      <c r="OHT70" s="122"/>
      <c r="OHU70" s="122"/>
      <c r="OHV70" s="122"/>
      <c r="OHW70" s="122"/>
      <c r="OHX70" s="122"/>
      <c r="OHY70" s="122"/>
      <c r="OHZ70" s="122"/>
      <c r="OIA70" s="122"/>
      <c r="OIB70" s="122"/>
      <c r="OIC70" s="122"/>
      <c r="OID70" s="122"/>
      <c r="OIE70" s="122"/>
      <c r="OIF70" s="122"/>
      <c r="OIG70" s="122"/>
      <c r="OIH70" s="122"/>
      <c r="OII70" s="122"/>
      <c r="OIJ70" s="122"/>
      <c r="OIK70" s="122"/>
      <c r="OIL70" s="122"/>
      <c r="OIM70" s="122"/>
      <c r="OIN70" s="122"/>
      <c r="OIO70" s="122"/>
      <c r="OIP70" s="122"/>
      <c r="OIQ70" s="122"/>
      <c r="OIR70" s="122"/>
      <c r="OIS70" s="122"/>
      <c r="OIT70" s="122"/>
      <c r="OIU70" s="122"/>
      <c r="OIV70" s="122"/>
      <c r="OIW70" s="122"/>
      <c r="OIX70" s="122"/>
      <c r="OIY70" s="122"/>
      <c r="OIZ70" s="122"/>
      <c r="OJA70" s="122"/>
      <c r="OJB70" s="122"/>
      <c r="OJC70" s="122"/>
      <c r="OJD70" s="122"/>
      <c r="OJE70" s="122"/>
      <c r="OJF70" s="122"/>
      <c r="OJG70" s="122"/>
      <c r="OJH70" s="122"/>
      <c r="OJI70" s="122"/>
      <c r="OJJ70" s="122"/>
      <c r="OJK70" s="122"/>
      <c r="OJL70" s="122"/>
      <c r="OJM70" s="122"/>
      <c r="OJN70" s="122"/>
      <c r="OJO70" s="122"/>
      <c r="OJP70" s="122"/>
      <c r="OJQ70" s="122"/>
      <c r="OJR70" s="122"/>
      <c r="OJS70" s="122"/>
      <c r="OJT70" s="122"/>
      <c r="OJU70" s="122"/>
      <c r="OJV70" s="122"/>
      <c r="OJW70" s="122"/>
      <c r="OJX70" s="122"/>
      <c r="OJY70" s="122"/>
      <c r="OJZ70" s="122"/>
      <c r="OKA70" s="122"/>
      <c r="OKB70" s="122"/>
      <c r="OKC70" s="122"/>
      <c r="OKD70" s="122"/>
      <c r="OKE70" s="122"/>
      <c r="OKF70" s="122"/>
      <c r="OKG70" s="122"/>
      <c r="OKH70" s="122"/>
      <c r="OKI70" s="122"/>
      <c r="OKJ70" s="122"/>
      <c r="OKK70" s="122"/>
      <c r="OKL70" s="122"/>
      <c r="OKM70" s="122"/>
      <c r="OKN70" s="122"/>
      <c r="OKO70" s="122"/>
      <c r="OKP70" s="122"/>
      <c r="OKQ70" s="122"/>
      <c r="OKR70" s="122"/>
      <c r="OKS70" s="122"/>
      <c r="OKT70" s="122"/>
      <c r="OKU70" s="122"/>
      <c r="OKV70" s="122"/>
      <c r="OKW70" s="122"/>
      <c r="OKX70" s="122"/>
      <c r="OKY70" s="122"/>
      <c r="OKZ70" s="122"/>
      <c r="OLA70" s="122"/>
      <c r="OLB70" s="122"/>
      <c r="OLC70" s="122"/>
      <c r="OLD70" s="122"/>
      <c r="OLE70" s="122"/>
      <c r="OLF70" s="122"/>
      <c r="OLG70" s="122"/>
      <c r="OLH70" s="122"/>
      <c r="OLI70" s="122"/>
      <c r="OLJ70" s="122"/>
      <c r="OLK70" s="122"/>
      <c r="OLL70" s="122"/>
      <c r="OLM70" s="122"/>
      <c r="OLN70" s="122"/>
      <c r="OLO70" s="122"/>
      <c r="OLP70" s="122"/>
      <c r="OLQ70" s="122"/>
      <c r="OLR70" s="122"/>
      <c r="OLS70" s="122"/>
      <c r="OLT70" s="122"/>
      <c r="OLU70" s="122"/>
      <c r="OLV70" s="122"/>
      <c r="OLW70" s="122"/>
      <c r="OLX70" s="122"/>
      <c r="OLY70" s="122"/>
      <c r="OLZ70" s="122"/>
      <c r="OMA70" s="122"/>
      <c r="OMB70" s="122"/>
      <c r="OMC70" s="122"/>
      <c r="OMD70" s="122"/>
      <c r="OME70" s="122"/>
      <c r="OMF70" s="122"/>
      <c r="OMG70" s="122"/>
      <c r="OMH70" s="122"/>
      <c r="OMI70" s="122"/>
      <c r="OMJ70" s="122"/>
      <c r="OMK70" s="122"/>
      <c r="OML70" s="122"/>
      <c r="OMM70" s="122"/>
      <c r="OMN70" s="122"/>
      <c r="OMO70" s="122"/>
      <c r="OMP70" s="122"/>
      <c r="OMQ70" s="122"/>
      <c r="OMR70" s="122"/>
      <c r="OMS70" s="122"/>
      <c r="OMT70" s="122"/>
      <c r="OMU70" s="122"/>
      <c r="OMV70" s="122"/>
      <c r="OMW70" s="122"/>
      <c r="OMX70" s="122"/>
      <c r="OMY70" s="122"/>
      <c r="OMZ70" s="122"/>
      <c r="ONA70" s="122"/>
      <c r="ONB70" s="122"/>
      <c r="ONC70" s="122"/>
      <c r="OND70" s="122"/>
      <c r="ONE70" s="122"/>
      <c r="ONF70" s="122"/>
      <c r="ONG70" s="122"/>
      <c r="ONH70" s="122"/>
      <c r="ONI70" s="122"/>
      <c r="ONJ70" s="122"/>
      <c r="ONK70" s="122"/>
      <c r="ONL70" s="122"/>
      <c r="ONM70" s="122"/>
      <c r="ONN70" s="122"/>
      <c r="ONO70" s="122"/>
      <c r="ONP70" s="122"/>
      <c r="ONQ70" s="122"/>
      <c r="ONR70" s="122"/>
      <c r="ONS70" s="122"/>
      <c r="ONT70" s="122"/>
      <c r="ONU70" s="122"/>
      <c r="ONV70" s="122"/>
      <c r="ONW70" s="122"/>
      <c r="ONX70" s="122"/>
      <c r="ONY70" s="122"/>
      <c r="ONZ70" s="122"/>
      <c r="OOA70" s="122"/>
      <c r="OOB70" s="122"/>
      <c r="OOC70" s="122"/>
      <c r="OOD70" s="122"/>
      <c r="OOE70" s="122"/>
      <c r="OOF70" s="122"/>
      <c r="OOG70" s="122"/>
      <c r="OOH70" s="122"/>
      <c r="OOI70" s="122"/>
      <c r="OOJ70" s="122"/>
      <c r="OOK70" s="122"/>
      <c r="OOL70" s="122"/>
      <c r="OOM70" s="122"/>
      <c r="OON70" s="122"/>
      <c r="OOO70" s="122"/>
      <c r="OOP70" s="122"/>
      <c r="OOQ70" s="122"/>
      <c r="OOR70" s="122"/>
      <c r="OOS70" s="122"/>
      <c r="OOT70" s="122"/>
      <c r="OOU70" s="122"/>
      <c r="OOV70" s="122"/>
      <c r="OOW70" s="122"/>
      <c r="OOX70" s="122"/>
      <c r="OOY70" s="122"/>
      <c r="OOZ70" s="122"/>
      <c r="OPA70" s="122"/>
      <c r="OPB70" s="122"/>
      <c r="OPC70" s="122"/>
      <c r="OPD70" s="122"/>
      <c r="OPE70" s="122"/>
      <c r="OPF70" s="122"/>
      <c r="OPG70" s="122"/>
      <c r="OPH70" s="122"/>
      <c r="OPI70" s="122"/>
      <c r="OPJ70" s="122"/>
      <c r="OPK70" s="122"/>
      <c r="OPL70" s="122"/>
      <c r="OPM70" s="122"/>
      <c r="OPN70" s="122"/>
      <c r="OPO70" s="122"/>
      <c r="OPP70" s="122"/>
      <c r="OPQ70" s="122"/>
      <c r="OPR70" s="122"/>
      <c r="OPS70" s="122"/>
      <c r="OPT70" s="122"/>
      <c r="OPU70" s="122"/>
      <c r="OPV70" s="122"/>
      <c r="OPW70" s="122"/>
      <c r="OPX70" s="122"/>
      <c r="OPY70" s="122"/>
      <c r="OPZ70" s="122"/>
      <c r="OQA70" s="122"/>
      <c r="OQB70" s="122"/>
      <c r="OQC70" s="122"/>
      <c r="OQD70" s="122"/>
      <c r="OQE70" s="122"/>
      <c r="OQF70" s="122"/>
      <c r="OQG70" s="122"/>
      <c r="OQH70" s="122"/>
      <c r="OQI70" s="122"/>
      <c r="OQJ70" s="122"/>
      <c r="OQK70" s="122"/>
      <c r="OQL70" s="122"/>
      <c r="OQM70" s="122"/>
      <c r="OQN70" s="122"/>
      <c r="OQO70" s="122"/>
      <c r="OQP70" s="122"/>
      <c r="OQQ70" s="122"/>
      <c r="OQR70" s="122"/>
      <c r="OQS70" s="122"/>
      <c r="OQT70" s="122"/>
      <c r="OQU70" s="122"/>
      <c r="OQV70" s="122"/>
      <c r="OQW70" s="122"/>
      <c r="OQX70" s="122"/>
      <c r="OQY70" s="122"/>
      <c r="OQZ70" s="122"/>
      <c r="ORA70" s="122"/>
      <c r="ORB70" s="122"/>
      <c r="ORC70" s="122"/>
      <c r="ORD70" s="122"/>
      <c r="ORE70" s="122"/>
      <c r="ORF70" s="122"/>
      <c r="ORG70" s="122"/>
      <c r="ORH70" s="122"/>
      <c r="ORI70" s="122"/>
      <c r="ORJ70" s="122"/>
      <c r="ORK70" s="122"/>
      <c r="ORL70" s="122"/>
      <c r="ORM70" s="122"/>
      <c r="ORN70" s="122"/>
      <c r="ORO70" s="122"/>
      <c r="ORP70" s="122"/>
      <c r="ORQ70" s="122"/>
      <c r="ORR70" s="122"/>
      <c r="ORS70" s="122"/>
      <c r="ORT70" s="122"/>
      <c r="ORU70" s="122"/>
      <c r="ORV70" s="122"/>
      <c r="ORW70" s="122"/>
      <c r="ORX70" s="122"/>
      <c r="ORY70" s="122"/>
      <c r="ORZ70" s="122"/>
      <c r="OSA70" s="122"/>
      <c r="OSB70" s="122"/>
      <c r="OSC70" s="122"/>
      <c r="OSD70" s="122"/>
      <c r="OSE70" s="122"/>
      <c r="OSF70" s="122"/>
      <c r="OSG70" s="122"/>
      <c r="OSH70" s="122"/>
      <c r="OSI70" s="122"/>
      <c r="OSJ70" s="122"/>
      <c r="OSK70" s="122"/>
      <c r="OSL70" s="122"/>
      <c r="OSM70" s="122"/>
      <c r="OSN70" s="122"/>
      <c r="OSO70" s="122"/>
      <c r="OSP70" s="122"/>
      <c r="OSQ70" s="122"/>
      <c r="OSR70" s="122"/>
      <c r="OSS70" s="122"/>
      <c r="OST70" s="122"/>
      <c r="OSU70" s="122"/>
      <c r="OSV70" s="122"/>
      <c r="OSW70" s="122"/>
      <c r="OSX70" s="122"/>
      <c r="OSY70" s="122"/>
      <c r="OSZ70" s="122"/>
      <c r="OTA70" s="122"/>
      <c r="OTB70" s="122"/>
      <c r="OTC70" s="122"/>
      <c r="OTD70" s="122"/>
      <c r="OTE70" s="122"/>
      <c r="OTF70" s="122"/>
      <c r="OTG70" s="122"/>
      <c r="OTH70" s="122"/>
      <c r="OTI70" s="122"/>
      <c r="OTJ70" s="122"/>
      <c r="OTK70" s="122"/>
      <c r="OTL70" s="122"/>
      <c r="OTM70" s="122"/>
      <c r="OTN70" s="122"/>
      <c r="OTO70" s="122"/>
      <c r="OTP70" s="122"/>
      <c r="OTQ70" s="122"/>
      <c r="OTR70" s="122"/>
      <c r="OTS70" s="122"/>
      <c r="OTT70" s="122"/>
      <c r="OTU70" s="122"/>
      <c r="OTV70" s="122"/>
      <c r="OTW70" s="122"/>
      <c r="OTX70" s="122"/>
      <c r="OTY70" s="122"/>
      <c r="OTZ70" s="122"/>
      <c r="OUA70" s="122"/>
      <c r="OUB70" s="122"/>
      <c r="OUC70" s="122"/>
      <c r="OUD70" s="122"/>
      <c r="OUE70" s="122"/>
      <c r="OUF70" s="122"/>
      <c r="OUG70" s="122"/>
      <c r="OUH70" s="122"/>
      <c r="OUI70" s="122"/>
      <c r="OUJ70" s="122"/>
      <c r="OUK70" s="122"/>
      <c r="OUL70" s="122"/>
      <c r="OUM70" s="122"/>
      <c r="OUN70" s="122"/>
      <c r="OUO70" s="122"/>
      <c r="OUP70" s="122"/>
      <c r="OUQ70" s="122"/>
      <c r="OUR70" s="122"/>
      <c r="OUS70" s="122"/>
      <c r="OUT70" s="122"/>
      <c r="OUU70" s="122"/>
      <c r="OUV70" s="122"/>
      <c r="OUW70" s="122"/>
      <c r="OUX70" s="122"/>
      <c r="OUY70" s="122"/>
      <c r="OUZ70" s="122"/>
      <c r="OVA70" s="122"/>
      <c r="OVB70" s="122"/>
      <c r="OVC70" s="122"/>
      <c r="OVD70" s="122"/>
      <c r="OVE70" s="122"/>
      <c r="OVF70" s="122"/>
      <c r="OVG70" s="122"/>
      <c r="OVH70" s="122"/>
      <c r="OVI70" s="122"/>
      <c r="OVJ70" s="122"/>
      <c r="OVK70" s="122"/>
      <c r="OVL70" s="122"/>
      <c r="OVM70" s="122"/>
      <c r="OVN70" s="122"/>
      <c r="OVO70" s="122"/>
      <c r="OVP70" s="122"/>
      <c r="OVQ70" s="122"/>
      <c r="OVR70" s="122"/>
      <c r="OVS70" s="122"/>
      <c r="OVT70" s="122"/>
      <c r="OVU70" s="122"/>
      <c r="OVV70" s="122"/>
      <c r="OVW70" s="122"/>
      <c r="OVX70" s="122"/>
      <c r="OVY70" s="122"/>
      <c r="OVZ70" s="122"/>
      <c r="OWA70" s="122"/>
      <c r="OWB70" s="122"/>
      <c r="OWC70" s="122"/>
      <c r="OWD70" s="122"/>
      <c r="OWE70" s="122"/>
      <c r="OWF70" s="122"/>
      <c r="OWG70" s="122"/>
      <c r="OWH70" s="122"/>
      <c r="OWI70" s="122"/>
      <c r="OWJ70" s="122"/>
      <c r="OWK70" s="122"/>
      <c r="OWL70" s="122"/>
      <c r="OWM70" s="122"/>
      <c r="OWN70" s="122"/>
      <c r="OWO70" s="122"/>
      <c r="OWP70" s="122"/>
      <c r="OWQ70" s="122"/>
      <c r="OWR70" s="122"/>
      <c r="OWS70" s="122"/>
      <c r="OWT70" s="122"/>
      <c r="OWU70" s="122"/>
      <c r="OWV70" s="122"/>
      <c r="OWW70" s="122"/>
      <c r="OWX70" s="122"/>
      <c r="OWY70" s="122"/>
      <c r="OWZ70" s="122"/>
      <c r="OXA70" s="122"/>
      <c r="OXB70" s="122"/>
      <c r="OXC70" s="122"/>
      <c r="OXD70" s="122"/>
      <c r="OXE70" s="122"/>
      <c r="OXF70" s="122"/>
      <c r="OXG70" s="122"/>
      <c r="OXH70" s="122"/>
      <c r="OXI70" s="122"/>
      <c r="OXJ70" s="122"/>
      <c r="OXK70" s="122"/>
      <c r="OXL70" s="122"/>
      <c r="OXM70" s="122"/>
      <c r="OXN70" s="122"/>
      <c r="OXO70" s="122"/>
      <c r="OXP70" s="122"/>
      <c r="OXQ70" s="122"/>
      <c r="OXR70" s="122"/>
      <c r="OXS70" s="122"/>
      <c r="OXT70" s="122"/>
      <c r="OXU70" s="122"/>
      <c r="OXV70" s="122"/>
      <c r="OXW70" s="122"/>
      <c r="OXX70" s="122"/>
      <c r="OXY70" s="122"/>
      <c r="OXZ70" s="122"/>
      <c r="OYA70" s="122"/>
      <c r="OYB70" s="122"/>
      <c r="OYC70" s="122"/>
      <c r="OYD70" s="122"/>
      <c r="OYE70" s="122"/>
      <c r="OYF70" s="122"/>
      <c r="OYG70" s="122"/>
      <c r="OYH70" s="122"/>
      <c r="OYI70" s="122"/>
      <c r="OYJ70" s="122"/>
      <c r="OYK70" s="122"/>
      <c r="OYL70" s="122"/>
      <c r="OYM70" s="122"/>
      <c r="OYN70" s="122"/>
      <c r="OYO70" s="122"/>
      <c r="OYP70" s="122"/>
      <c r="OYQ70" s="122"/>
      <c r="OYR70" s="122"/>
      <c r="OYS70" s="122"/>
      <c r="OYT70" s="122"/>
      <c r="OYU70" s="122"/>
      <c r="OYV70" s="122"/>
      <c r="OYW70" s="122"/>
      <c r="OYX70" s="122"/>
      <c r="OYY70" s="122"/>
      <c r="OYZ70" s="122"/>
      <c r="OZA70" s="122"/>
      <c r="OZB70" s="122"/>
      <c r="OZC70" s="122"/>
      <c r="OZD70" s="122"/>
      <c r="OZE70" s="122"/>
      <c r="OZF70" s="122"/>
      <c r="OZG70" s="122"/>
      <c r="OZH70" s="122"/>
      <c r="OZI70" s="122"/>
      <c r="OZJ70" s="122"/>
      <c r="OZK70" s="122"/>
      <c r="OZL70" s="122"/>
      <c r="OZM70" s="122"/>
      <c r="OZN70" s="122"/>
      <c r="OZO70" s="122"/>
      <c r="OZP70" s="122"/>
      <c r="OZQ70" s="122"/>
      <c r="OZR70" s="122"/>
      <c r="OZS70" s="122"/>
      <c r="OZT70" s="122"/>
      <c r="OZU70" s="122"/>
      <c r="OZV70" s="122"/>
      <c r="OZW70" s="122"/>
      <c r="OZX70" s="122"/>
      <c r="OZY70" s="122"/>
      <c r="OZZ70" s="122"/>
      <c r="PAA70" s="122"/>
      <c r="PAB70" s="122"/>
      <c r="PAC70" s="122"/>
      <c r="PAD70" s="122"/>
      <c r="PAE70" s="122"/>
      <c r="PAF70" s="122"/>
      <c r="PAG70" s="122"/>
      <c r="PAH70" s="122"/>
      <c r="PAI70" s="122"/>
      <c r="PAJ70" s="122"/>
      <c r="PAK70" s="122"/>
      <c r="PAL70" s="122"/>
      <c r="PAM70" s="122"/>
      <c r="PAN70" s="122"/>
      <c r="PAO70" s="122"/>
      <c r="PAP70" s="122"/>
      <c r="PAQ70" s="122"/>
      <c r="PAR70" s="122"/>
      <c r="PAS70" s="122"/>
      <c r="PAT70" s="122"/>
      <c r="PAU70" s="122"/>
      <c r="PAV70" s="122"/>
      <c r="PAW70" s="122"/>
      <c r="PAX70" s="122"/>
      <c r="PAY70" s="122"/>
      <c r="PAZ70" s="122"/>
      <c r="PBA70" s="122"/>
      <c r="PBB70" s="122"/>
      <c r="PBC70" s="122"/>
      <c r="PBD70" s="122"/>
      <c r="PBE70" s="122"/>
      <c r="PBF70" s="122"/>
      <c r="PBG70" s="122"/>
      <c r="PBH70" s="122"/>
      <c r="PBI70" s="122"/>
      <c r="PBJ70" s="122"/>
      <c r="PBK70" s="122"/>
      <c r="PBL70" s="122"/>
      <c r="PBM70" s="122"/>
      <c r="PBN70" s="122"/>
      <c r="PBO70" s="122"/>
      <c r="PBP70" s="122"/>
      <c r="PBQ70" s="122"/>
      <c r="PBR70" s="122"/>
      <c r="PBS70" s="122"/>
      <c r="PBT70" s="122"/>
      <c r="PBU70" s="122"/>
      <c r="PBV70" s="122"/>
      <c r="PBW70" s="122"/>
      <c r="PBX70" s="122"/>
      <c r="PBY70" s="122"/>
      <c r="PBZ70" s="122"/>
      <c r="PCA70" s="122"/>
      <c r="PCB70" s="122"/>
      <c r="PCC70" s="122"/>
      <c r="PCD70" s="122"/>
      <c r="PCE70" s="122"/>
      <c r="PCF70" s="122"/>
      <c r="PCG70" s="122"/>
      <c r="PCH70" s="122"/>
      <c r="PCI70" s="122"/>
      <c r="PCJ70" s="122"/>
      <c r="PCK70" s="122"/>
      <c r="PCL70" s="122"/>
      <c r="PCM70" s="122"/>
      <c r="PCN70" s="122"/>
      <c r="PCO70" s="122"/>
      <c r="PCP70" s="122"/>
      <c r="PCQ70" s="122"/>
      <c r="PCR70" s="122"/>
      <c r="PCS70" s="122"/>
      <c r="PCT70" s="122"/>
      <c r="PCU70" s="122"/>
      <c r="PCV70" s="122"/>
      <c r="PCW70" s="122"/>
      <c r="PCX70" s="122"/>
      <c r="PCY70" s="122"/>
      <c r="PCZ70" s="122"/>
      <c r="PDA70" s="122"/>
      <c r="PDB70" s="122"/>
      <c r="PDC70" s="122"/>
      <c r="PDD70" s="122"/>
      <c r="PDE70" s="122"/>
      <c r="PDF70" s="122"/>
      <c r="PDG70" s="122"/>
      <c r="PDH70" s="122"/>
      <c r="PDI70" s="122"/>
      <c r="PDJ70" s="122"/>
      <c r="PDK70" s="122"/>
      <c r="PDL70" s="122"/>
      <c r="PDM70" s="122"/>
      <c r="PDN70" s="122"/>
      <c r="PDO70" s="122"/>
      <c r="PDP70" s="122"/>
      <c r="PDQ70" s="122"/>
      <c r="PDR70" s="122"/>
      <c r="PDS70" s="122"/>
      <c r="PDT70" s="122"/>
      <c r="PDU70" s="122"/>
      <c r="PDV70" s="122"/>
      <c r="PDW70" s="122"/>
      <c r="PDX70" s="122"/>
      <c r="PDY70" s="122"/>
      <c r="PDZ70" s="122"/>
      <c r="PEA70" s="122"/>
      <c r="PEB70" s="122"/>
      <c r="PEC70" s="122"/>
      <c r="PED70" s="122"/>
      <c r="PEE70" s="122"/>
      <c r="PEF70" s="122"/>
      <c r="PEG70" s="122"/>
      <c r="PEH70" s="122"/>
      <c r="PEI70" s="122"/>
      <c r="PEJ70" s="122"/>
      <c r="PEK70" s="122"/>
      <c r="PEL70" s="122"/>
      <c r="PEM70" s="122"/>
      <c r="PEN70" s="122"/>
      <c r="PEO70" s="122"/>
      <c r="PEP70" s="122"/>
      <c r="PEQ70" s="122"/>
      <c r="PER70" s="122"/>
      <c r="PES70" s="122"/>
      <c r="PET70" s="122"/>
      <c r="PEU70" s="122"/>
      <c r="PEV70" s="122"/>
      <c r="PEW70" s="122"/>
      <c r="PEX70" s="122"/>
      <c r="PEY70" s="122"/>
      <c r="PEZ70" s="122"/>
      <c r="PFA70" s="122"/>
      <c r="PFB70" s="122"/>
      <c r="PFC70" s="122"/>
      <c r="PFD70" s="122"/>
      <c r="PFE70" s="122"/>
      <c r="PFF70" s="122"/>
      <c r="PFG70" s="122"/>
      <c r="PFH70" s="122"/>
      <c r="PFI70" s="122"/>
      <c r="PFJ70" s="122"/>
      <c r="PFK70" s="122"/>
      <c r="PFL70" s="122"/>
      <c r="PFM70" s="122"/>
      <c r="PFN70" s="122"/>
      <c r="PFO70" s="122"/>
      <c r="PFP70" s="122"/>
      <c r="PFQ70" s="122"/>
      <c r="PFR70" s="122"/>
      <c r="PFS70" s="122"/>
      <c r="PFT70" s="122"/>
      <c r="PFU70" s="122"/>
      <c r="PFV70" s="122"/>
      <c r="PFW70" s="122"/>
      <c r="PFX70" s="122"/>
      <c r="PFY70" s="122"/>
      <c r="PFZ70" s="122"/>
      <c r="PGA70" s="122"/>
      <c r="PGB70" s="122"/>
      <c r="PGC70" s="122"/>
      <c r="PGD70" s="122"/>
      <c r="PGE70" s="122"/>
      <c r="PGF70" s="122"/>
      <c r="PGG70" s="122"/>
      <c r="PGH70" s="122"/>
      <c r="PGI70" s="122"/>
      <c r="PGJ70" s="122"/>
      <c r="PGK70" s="122"/>
      <c r="PGL70" s="122"/>
      <c r="PGM70" s="122"/>
      <c r="PGN70" s="122"/>
      <c r="PGO70" s="122"/>
      <c r="PGP70" s="122"/>
      <c r="PGQ70" s="122"/>
      <c r="PGR70" s="122"/>
      <c r="PGS70" s="122"/>
      <c r="PGT70" s="122"/>
      <c r="PGU70" s="122"/>
      <c r="PGV70" s="122"/>
      <c r="PGW70" s="122"/>
      <c r="PGX70" s="122"/>
      <c r="PGY70" s="122"/>
      <c r="PGZ70" s="122"/>
      <c r="PHA70" s="122"/>
      <c r="PHB70" s="122"/>
      <c r="PHC70" s="122"/>
      <c r="PHD70" s="122"/>
      <c r="PHE70" s="122"/>
      <c r="PHF70" s="122"/>
      <c r="PHG70" s="122"/>
      <c r="PHH70" s="122"/>
      <c r="PHI70" s="122"/>
      <c r="PHJ70" s="122"/>
      <c r="PHK70" s="122"/>
      <c r="PHL70" s="122"/>
      <c r="PHM70" s="122"/>
      <c r="PHN70" s="122"/>
      <c r="PHO70" s="122"/>
      <c r="PHP70" s="122"/>
      <c r="PHQ70" s="122"/>
      <c r="PHR70" s="122"/>
      <c r="PHS70" s="122"/>
      <c r="PHT70" s="122"/>
      <c r="PHU70" s="122"/>
      <c r="PHV70" s="122"/>
      <c r="PHW70" s="122"/>
      <c r="PHX70" s="122"/>
      <c r="PHY70" s="122"/>
      <c r="PHZ70" s="122"/>
      <c r="PIA70" s="122"/>
      <c r="PIB70" s="122"/>
      <c r="PIC70" s="122"/>
      <c r="PID70" s="122"/>
      <c r="PIE70" s="122"/>
      <c r="PIF70" s="122"/>
      <c r="PIG70" s="122"/>
      <c r="PIH70" s="122"/>
      <c r="PII70" s="122"/>
      <c r="PIJ70" s="122"/>
      <c r="PIK70" s="122"/>
      <c r="PIL70" s="122"/>
      <c r="PIM70" s="122"/>
      <c r="PIN70" s="122"/>
      <c r="PIO70" s="122"/>
      <c r="PIP70" s="122"/>
      <c r="PIQ70" s="122"/>
      <c r="PIR70" s="122"/>
      <c r="PIS70" s="122"/>
      <c r="PIT70" s="122"/>
      <c r="PIU70" s="122"/>
      <c r="PIV70" s="122"/>
      <c r="PIW70" s="122"/>
      <c r="PIX70" s="122"/>
      <c r="PIY70" s="122"/>
      <c r="PIZ70" s="122"/>
      <c r="PJA70" s="122"/>
      <c r="PJB70" s="122"/>
      <c r="PJC70" s="122"/>
      <c r="PJD70" s="122"/>
      <c r="PJE70" s="122"/>
      <c r="PJF70" s="122"/>
      <c r="PJG70" s="122"/>
      <c r="PJH70" s="122"/>
      <c r="PJI70" s="122"/>
      <c r="PJJ70" s="122"/>
      <c r="PJK70" s="122"/>
      <c r="PJL70" s="122"/>
      <c r="PJM70" s="122"/>
      <c r="PJN70" s="122"/>
      <c r="PJO70" s="122"/>
      <c r="PJP70" s="122"/>
      <c r="PJQ70" s="122"/>
      <c r="PJR70" s="122"/>
      <c r="PJS70" s="122"/>
      <c r="PJT70" s="122"/>
      <c r="PJU70" s="122"/>
      <c r="PJV70" s="122"/>
      <c r="PJW70" s="122"/>
      <c r="PJX70" s="122"/>
      <c r="PJY70" s="122"/>
      <c r="PJZ70" s="122"/>
      <c r="PKA70" s="122"/>
      <c r="PKB70" s="122"/>
      <c r="PKC70" s="122"/>
      <c r="PKD70" s="122"/>
      <c r="PKE70" s="122"/>
      <c r="PKF70" s="122"/>
      <c r="PKG70" s="122"/>
      <c r="PKH70" s="122"/>
      <c r="PKI70" s="122"/>
      <c r="PKJ70" s="122"/>
      <c r="PKK70" s="122"/>
      <c r="PKL70" s="122"/>
      <c r="PKM70" s="122"/>
      <c r="PKN70" s="122"/>
      <c r="PKO70" s="122"/>
      <c r="PKP70" s="122"/>
      <c r="PKQ70" s="122"/>
      <c r="PKR70" s="122"/>
      <c r="PKS70" s="122"/>
      <c r="PKT70" s="122"/>
      <c r="PKU70" s="122"/>
      <c r="PKV70" s="122"/>
      <c r="PKW70" s="122"/>
      <c r="PKX70" s="122"/>
      <c r="PKY70" s="122"/>
      <c r="PKZ70" s="122"/>
      <c r="PLA70" s="122"/>
      <c r="PLB70" s="122"/>
      <c r="PLC70" s="122"/>
      <c r="PLD70" s="122"/>
      <c r="PLE70" s="122"/>
      <c r="PLF70" s="122"/>
      <c r="PLG70" s="122"/>
      <c r="PLH70" s="122"/>
      <c r="PLI70" s="122"/>
      <c r="PLJ70" s="122"/>
      <c r="PLK70" s="122"/>
      <c r="PLL70" s="122"/>
      <c r="PLM70" s="122"/>
      <c r="PLN70" s="122"/>
      <c r="PLO70" s="122"/>
      <c r="PLP70" s="122"/>
      <c r="PLQ70" s="122"/>
      <c r="PLR70" s="122"/>
      <c r="PLS70" s="122"/>
      <c r="PLT70" s="122"/>
      <c r="PLU70" s="122"/>
      <c r="PLV70" s="122"/>
      <c r="PLW70" s="122"/>
      <c r="PLX70" s="122"/>
      <c r="PLY70" s="122"/>
      <c r="PLZ70" s="122"/>
      <c r="PMA70" s="122"/>
      <c r="PMB70" s="122"/>
      <c r="PMC70" s="122"/>
      <c r="PMD70" s="122"/>
      <c r="PME70" s="122"/>
      <c r="PMF70" s="122"/>
      <c r="PMG70" s="122"/>
      <c r="PMH70" s="122"/>
      <c r="PMI70" s="122"/>
      <c r="PMJ70" s="122"/>
      <c r="PMK70" s="122"/>
      <c r="PML70" s="122"/>
      <c r="PMM70" s="122"/>
      <c r="PMN70" s="122"/>
      <c r="PMO70" s="122"/>
      <c r="PMP70" s="122"/>
      <c r="PMQ70" s="122"/>
      <c r="PMR70" s="122"/>
      <c r="PMS70" s="122"/>
      <c r="PMT70" s="122"/>
      <c r="PMU70" s="122"/>
      <c r="PMV70" s="122"/>
      <c r="PMW70" s="122"/>
      <c r="PMX70" s="122"/>
      <c r="PMY70" s="122"/>
      <c r="PMZ70" s="122"/>
      <c r="PNA70" s="122"/>
      <c r="PNB70" s="122"/>
      <c r="PNC70" s="122"/>
      <c r="PND70" s="122"/>
      <c r="PNE70" s="122"/>
      <c r="PNF70" s="122"/>
      <c r="PNG70" s="122"/>
      <c r="PNH70" s="122"/>
      <c r="PNI70" s="122"/>
      <c r="PNJ70" s="122"/>
      <c r="PNK70" s="122"/>
      <c r="PNL70" s="122"/>
      <c r="PNM70" s="122"/>
      <c r="PNN70" s="122"/>
      <c r="PNO70" s="122"/>
      <c r="PNP70" s="122"/>
      <c r="PNQ70" s="122"/>
      <c r="PNR70" s="122"/>
      <c r="PNS70" s="122"/>
      <c r="PNT70" s="122"/>
      <c r="PNU70" s="122"/>
      <c r="PNV70" s="122"/>
      <c r="PNW70" s="122"/>
      <c r="PNX70" s="122"/>
      <c r="PNY70" s="122"/>
      <c r="PNZ70" s="122"/>
      <c r="POA70" s="122"/>
      <c r="POB70" s="122"/>
      <c r="POC70" s="122"/>
      <c r="POD70" s="122"/>
      <c r="POE70" s="122"/>
      <c r="POF70" s="122"/>
      <c r="POG70" s="122"/>
      <c r="POH70" s="122"/>
      <c r="POI70" s="122"/>
      <c r="POJ70" s="122"/>
      <c r="POK70" s="122"/>
      <c r="POL70" s="122"/>
      <c r="POM70" s="122"/>
      <c r="PON70" s="122"/>
      <c r="POO70" s="122"/>
      <c r="POP70" s="122"/>
      <c r="POQ70" s="122"/>
      <c r="POR70" s="122"/>
      <c r="POS70" s="122"/>
      <c r="POT70" s="122"/>
      <c r="POU70" s="122"/>
      <c r="POV70" s="122"/>
      <c r="POW70" s="122"/>
      <c r="POX70" s="122"/>
      <c r="POY70" s="122"/>
      <c r="POZ70" s="122"/>
      <c r="PPA70" s="122"/>
      <c r="PPB70" s="122"/>
      <c r="PPC70" s="122"/>
      <c r="PPD70" s="122"/>
      <c r="PPE70" s="122"/>
      <c r="PPF70" s="122"/>
      <c r="PPG70" s="122"/>
      <c r="PPH70" s="122"/>
      <c r="PPI70" s="122"/>
      <c r="PPJ70" s="122"/>
      <c r="PPK70" s="122"/>
      <c r="PPL70" s="122"/>
      <c r="PPM70" s="122"/>
      <c r="PPN70" s="122"/>
      <c r="PPO70" s="122"/>
      <c r="PPP70" s="122"/>
      <c r="PPQ70" s="122"/>
      <c r="PPR70" s="122"/>
      <c r="PPS70" s="122"/>
      <c r="PPT70" s="122"/>
      <c r="PPU70" s="122"/>
      <c r="PPV70" s="122"/>
      <c r="PPW70" s="122"/>
      <c r="PPX70" s="122"/>
      <c r="PPY70" s="122"/>
      <c r="PPZ70" s="122"/>
      <c r="PQA70" s="122"/>
      <c r="PQB70" s="122"/>
      <c r="PQC70" s="122"/>
      <c r="PQD70" s="122"/>
      <c r="PQE70" s="122"/>
      <c r="PQF70" s="122"/>
      <c r="PQG70" s="122"/>
      <c r="PQH70" s="122"/>
      <c r="PQI70" s="122"/>
      <c r="PQJ70" s="122"/>
      <c r="PQK70" s="122"/>
      <c r="PQL70" s="122"/>
      <c r="PQM70" s="122"/>
      <c r="PQN70" s="122"/>
      <c r="PQO70" s="122"/>
      <c r="PQP70" s="122"/>
      <c r="PQQ70" s="122"/>
      <c r="PQR70" s="122"/>
      <c r="PQS70" s="122"/>
      <c r="PQT70" s="122"/>
      <c r="PQU70" s="122"/>
      <c r="PQV70" s="122"/>
      <c r="PQW70" s="122"/>
      <c r="PQX70" s="122"/>
      <c r="PQY70" s="122"/>
      <c r="PQZ70" s="122"/>
      <c r="PRA70" s="122"/>
      <c r="PRB70" s="122"/>
      <c r="PRC70" s="122"/>
      <c r="PRD70" s="122"/>
      <c r="PRE70" s="122"/>
      <c r="PRF70" s="122"/>
      <c r="PRG70" s="122"/>
      <c r="PRH70" s="122"/>
      <c r="PRI70" s="122"/>
      <c r="PRJ70" s="122"/>
      <c r="PRK70" s="122"/>
      <c r="PRL70" s="122"/>
      <c r="PRM70" s="122"/>
      <c r="PRN70" s="122"/>
      <c r="PRO70" s="122"/>
      <c r="PRP70" s="122"/>
      <c r="PRQ70" s="122"/>
      <c r="PRR70" s="122"/>
      <c r="PRS70" s="122"/>
      <c r="PRT70" s="122"/>
      <c r="PRU70" s="122"/>
      <c r="PRV70" s="122"/>
      <c r="PRW70" s="122"/>
      <c r="PRX70" s="122"/>
      <c r="PRY70" s="122"/>
      <c r="PRZ70" s="122"/>
      <c r="PSA70" s="122"/>
      <c r="PSB70" s="122"/>
      <c r="PSC70" s="122"/>
      <c r="PSD70" s="122"/>
      <c r="PSE70" s="122"/>
      <c r="PSF70" s="122"/>
      <c r="PSG70" s="122"/>
      <c r="PSH70" s="122"/>
      <c r="PSI70" s="122"/>
      <c r="PSJ70" s="122"/>
      <c r="PSK70" s="122"/>
      <c r="PSL70" s="122"/>
      <c r="PSM70" s="122"/>
      <c r="PSN70" s="122"/>
      <c r="PSO70" s="122"/>
      <c r="PSP70" s="122"/>
      <c r="PSQ70" s="122"/>
      <c r="PSR70" s="122"/>
      <c r="PSS70" s="122"/>
      <c r="PST70" s="122"/>
      <c r="PSU70" s="122"/>
      <c r="PSV70" s="122"/>
      <c r="PSW70" s="122"/>
      <c r="PSX70" s="122"/>
      <c r="PSY70" s="122"/>
      <c r="PSZ70" s="122"/>
      <c r="PTA70" s="122"/>
      <c r="PTB70" s="122"/>
      <c r="PTC70" s="122"/>
      <c r="PTD70" s="122"/>
      <c r="PTE70" s="122"/>
      <c r="PTF70" s="122"/>
      <c r="PTG70" s="122"/>
      <c r="PTH70" s="122"/>
      <c r="PTI70" s="122"/>
      <c r="PTJ70" s="122"/>
      <c r="PTK70" s="122"/>
      <c r="PTL70" s="122"/>
      <c r="PTM70" s="122"/>
      <c r="PTN70" s="122"/>
      <c r="PTO70" s="122"/>
      <c r="PTP70" s="122"/>
      <c r="PTQ70" s="122"/>
      <c r="PTR70" s="122"/>
      <c r="PTS70" s="122"/>
      <c r="PTT70" s="122"/>
      <c r="PTU70" s="122"/>
      <c r="PTV70" s="122"/>
      <c r="PTW70" s="122"/>
      <c r="PTX70" s="122"/>
      <c r="PTY70" s="122"/>
      <c r="PTZ70" s="122"/>
      <c r="PUA70" s="122"/>
      <c r="PUB70" s="122"/>
      <c r="PUC70" s="122"/>
      <c r="PUD70" s="122"/>
      <c r="PUE70" s="122"/>
      <c r="PUF70" s="122"/>
      <c r="PUG70" s="122"/>
      <c r="PUH70" s="122"/>
      <c r="PUI70" s="122"/>
      <c r="PUJ70" s="122"/>
      <c r="PUK70" s="122"/>
      <c r="PUL70" s="122"/>
      <c r="PUM70" s="122"/>
      <c r="PUN70" s="122"/>
      <c r="PUO70" s="122"/>
      <c r="PUP70" s="122"/>
      <c r="PUQ70" s="122"/>
      <c r="PUR70" s="122"/>
      <c r="PUS70" s="122"/>
      <c r="PUT70" s="122"/>
      <c r="PUU70" s="122"/>
      <c r="PUV70" s="122"/>
      <c r="PUW70" s="122"/>
      <c r="PUX70" s="122"/>
      <c r="PUY70" s="122"/>
      <c r="PUZ70" s="122"/>
      <c r="PVA70" s="122"/>
      <c r="PVB70" s="122"/>
      <c r="PVC70" s="122"/>
      <c r="PVD70" s="122"/>
      <c r="PVE70" s="122"/>
      <c r="PVF70" s="122"/>
      <c r="PVG70" s="122"/>
      <c r="PVH70" s="122"/>
      <c r="PVI70" s="122"/>
      <c r="PVJ70" s="122"/>
      <c r="PVK70" s="122"/>
      <c r="PVL70" s="122"/>
      <c r="PVM70" s="122"/>
      <c r="PVN70" s="122"/>
      <c r="PVO70" s="122"/>
      <c r="PVP70" s="122"/>
      <c r="PVQ70" s="122"/>
      <c r="PVR70" s="122"/>
      <c r="PVS70" s="122"/>
      <c r="PVT70" s="122"/>
      <c r="PVU70" s="122"/>
      <c r="PVV70" s="122"/>
      <c r="PVW70" s="122"/>
      <c r="PVX70" s="122"/>
      <c r="PVY70" s="122"/>
      <c r="PVZ70" s="122"/>
      <c r="PWA70" s="122"/>
      <c r="PWB70" s="122"/>
      <c r="PWC70" s="122"/>
      <c r="PWD70" s="122"/>
      <c r="PWE70" s="122"/>
      <c r="PWF70" s="122"/>
      <c r="PWG70" s="122"/>
      <c r="PWH70" s="122"/>
      <c r="PWI70" s="122"/>
      <c r="PWJ70" s="122"/>
      <c r="PWK70" s="122"/>
      <c r="PWL70" s="122"/>
      <c r="PWM70" s="122"/>
      <c r="PWN70" s="122"/>
      <c r="PWO70" s="122"/>
      <c r="PWP70" s="122"/>
      <c r="PWQ70" s="122"/>
      <c r="PWR70" s="122"/>
      <c r="PWS70" s="122"/>
      <c r="PWT70" s="122"/>
      <c r="PWU70" s="122"/>
      <c r="PWV70" s="122"/>
      <c r="PWW70" s="122"/>
      <c r="PWX70" s="122"/>
      <c r="PWY70" s="122"/>
      <c r="PWZ70" s="122"/>
      <c r="PXA70" s="122"/>
      <c r="PXB70" s="122"/>
      <c r="PXC70" s="122"/>
      <c r="PXD70" s="122"/>
      <c r="PXE70" s="122"/>
      <c r="PXF70" s="122"/>
      <c r="PXG70" s="122"/>
      <c r="PXH70" s="122"/>
      <c r="PXI70" s="122"/>
      <c r="PXJ70" s="122"/>
      <c r="PXK70" s="122"/>
      <c r="PXL70" s="122"/>
      <c r="PXM70" s="122"/>
      <c r="PXN70" s="122"/>
      <c r="PXO70" s="122"/>
      <c r="PXP70" s="122"/>
      <c r="PXQ70" s="122"/>
      <c r="PXR70" s="122"/>
      <c r="PXS70" s="122"/>
      <c r="PXT70" s="122"/>
      <c r="PXU70" s="122"/>
      <c r="PXV70" s="122"/>
      <c r="PXW70" s="122"/>
      <c r="PXX70" s="122"/>
      <c r="PXY70" s="122"/>
      <c r="PXZ70" s="122"/>
      <c r="PYA70" s="122"/>
      <c r="PYB70" s="122"/>
      <c r="PYC70" s="122"/>
      <c r="PYD70" s="122"/>
      <c r="PYE70" s="122"/>
      <c r="PYF70" s="122"/>
      <c r="PYG70" s="122"/>
      <c r="PYH70" s="122"/>
      <c r="PYI70" s="122"/>
      <c r="PYJ70" s="122"/>
      <c r="PYK70" s="122"/>
      <c r="PYL70" s="122"/>
      <c r="PYM70" s="122"/>
      <c r="PYN70" s="122"/>
      <c r="PYO70" s="122"/>
      <c r="PYP70" s="122"/>
      <c r="PYQ70" s="122"/>
      <c r="PYR70" s="122"/>
      <c r="PYS70" s="122"/>
      <c r="PYT70" s="122"/>
      <c r="PYU70" s="122"/>
      <c r="PYV70" s="122"/>
      <c r="PYW70" s="122"/>
      <c r="PYX70" s="122"/>
      <c r="PYY70" s="122"/>
      <c r="PYZ70" s="122"/>
      <c r="PZA70" s="122"/>
      <c r="PZB70" s="122"/>
      <c r="PZC70" s="122"/>
      <c r="PZD70" s="122"/>
      <c r="PZE70" s="122"/>
      <c r="PZF70" s="122"/>
      <c r="PZG70" s="122"/>
      <c r="PZH70" s="122"/>
      <c r="PZI70" s="122"/>
      <c r="PZJ70" s="122"/>
      <c r="PZK70" s="122"/>
      <c r="PZL70" s="122"/>
      <c r="PZM70" s="122"/>
      <c r="PZN70" s="122"/>
      <c r="PZO70" s="122"/>
      <c r="PZP70" s="122"/>
      <c r="PZQ70" s="122"/>
      <c r="PZR70" s="122"/>
      <c r="PZS70" s="122"/>
      <c r="PZT70" s="122"/>
      <c r="PZU70" s="122"/>
      <c r="PZV70" s="122"/>
      <c r="PZW70" s="122"/>
      <c r="PZX70" s="122"/>
      <c r="PZY70" s="122"/>
      <c r="PZZ70" s="122"/>
      <c r="QAA70" s="122"/>
      <c r="QAB70" s="122"/>
      <c r="QAC70" s="122"/>
      <c r="QAD70" s="122"/>
      <c r="QAE70" s="122"/>
      <c r="QAF70" s="122"/>
      <c r="QAG70" s="122"/>
      <c r="QAH70" s="122"/>
      <c r="QAI70" s="122"/>
      <c r="QAJ70" s="122"/>
      <c r="QAK70" s="122"/>
      <c r="QAL70" s="122"/>
      <c r="QAM70" s="122"/>
      <c r="QAN70" s="122"/>
      <c r="QAO70" s="122"/>
      <c r="QAP70" s="122"/>
      <c r="QAQ70" s="122"/>
      <c r="QAR70" s="122"/>
      <c r="QAS70" s="122"/>
      <c r="QAT70" s="122"/>
      <c r="QAU70" s="122"/>
      <c r="QAV70" s="122"/>
      <c r="QAW70" s="122"/>
      <c r="QAX70" s="122"/>
      <c r="QAY70" s="122"/>
      <c r="QAZ70" s="122"/>
      <c r="QBA70" s="122"/>
      <c r="QBB70" s="122"/>
      <c r="QBC70" s="122"/>
      <c r="QBD70" s="122"/>
      <c r="QBE70" s="122"/>
      <c r="QBF70" s="122"/>
      <c r="QBG70" s="122"/>
      <c r="QBH70" s="122"/>
      <c r="QBI70" s="122"/>
      <c r="QBJ70" s="122"/>
      <c r="QBK70" s="122"/>
      <c r="QBL70" s="122"/>
      <c r="QBM70" s="122"/>
      <c r="QBN70" s="122"/>
      <c r="QBO70" s="122"/>
      <c r="QBP70" s="122"/>
      <c r="QBQ70" s="122"/>
      <c r="QBR70" s="122"/>
      <c r="QBS70" s="122"/>
      <c r="QBT70" s="122"/>
      <c r="QBU70" s="122"/>
      <c r="QBV70" s="122"/>
      <c r="QBW70" s="122"/>
      <c r="QBX70" s="122"/>
      <c r="QBY70" s="122"/>
      <c r="QBZ70" s="122"/>
      <c r="QCA70" s="122"/>
      <c r="QCB70" s="122"/>
      <c r="QCC70" s="122"/>
      <c r="QCD70" s="122"/>
      <c r="QCE70" s="122"/>
      <c r="QCF70" s="122"/>
      <c r="QCG70" s="122"/>
      <c r="QCH70" s="122"/>
      <c r="QCI70" s="122"/>
      <c r="QCJ70" s="122"/>
      <c r="QCK70" s="122"/>
      <c r="QCL70" s="122"/>
      <c r="QCM70" s="122"/>
      <c r="QCN70" s="122"/>
      <c r="QCO70" s="122"/>
      <c r="QCP70" s="122"/>
      <c r="QCQ70" s="122"/>
      <c r="QCR70" s="122"/>
      <c r="QCS70" s="122"/>
      <c r="QCT70" s="122"/>
      <c r="QCU70" s="122"/>
      <c r="QCV70" s="122"/>
      <c r="QCW70" s="122"/>
      <c r="QCX70" s="122"/>
      <c r="QCY70" s="122"/>
      <c r="QCZ70" s="122"/>
      <c r="QDA70" s="122"/>
      <c r="QDB70" s="122"/>
      <c r="QDC70" s="122"/>
      <c r="QDD70" s="122"/>
      <c r="QDE70" s="122"/>
      <c r="QDF70" s="122"/>
      <c r="QDG70" s="122"/>
      <c r="QDH70" s="122"/>
      <c r="QDI70" s="122"/>
      <c r="QDJ70" s="122"/>
      <c r="QDK70" s="122"/>
      <c r="QDL70" s="122"/>
      <c r="QDM70" s="122"/>
      <c r="QDN70" s="122"/>
      <c r="QDO70" s="122"/>
      <c r="QDP70" s="122"/>
      <c r="QDQ70" s="122"/>
      <c r="QDR70" s="122"/>
      <c r="QDS70" s="122"/>
      <c r="QDT70" s="122"/>
      <c r="QDU70" s="122"/>
      <c r="QDV70" s="122"/>
      <c r="QDW70" s="122"/>
      <c r="QDX70" s="122"/>
      <c r="QDY70" s="122"/>
      <c r="QDZ70" s="122"/>
      <c r="QEA70" s="122"/>
      <c r="QEB70" s="122"/>
      <c r="QEC70" s="122"/>
      <c r="QED70" s="122"/>
      <c r="QEE70" s="122"/>
      <c r="QEF70" s="122"/>
      <c r="QEG70" s="122"/>
      <c r="QEH70" s="122"/>
      <c r="QEI70" s="122"/>
      <c r="QEJ70" s="122"/>
      <c r="QEK70" s="122"/>
      <c r="QEL70" s="122"/>
      <c r="QEM70" s="122"/>
      <c r="QEN70" s="122"/>
      <c r="QEO70" s="122"/>
      <c r="QEP70" s="122"/>
      <c r="QEQ70" s="122"/>
      <c r="QER70" s="122"/>
      <c r="QES70" s="122"/>
      <c r="QET70" s="122"/>
      <c r="QEU70" s="122"/>
      <c r="QEV70" s="122"/>
      <c r="QEW70" s="122"/>
      <c r="QEX70" s="122"/>
      <c r="QEY70" s="122"/>
      <c r="QEZ70" s="122"/>
      <c r="QFA70" s="122"/>
      <c r="QFB70" s="122"/>
      <c r="QFC70" s="122"/>
      <c r="QFD70" s="122"/>
      <c r="QFE70" s="122"/>
      <c r="QFF70" s="122"/>
      <c r="QFG70" s="122"/>
      <c r="QFH70" s="122"/>
      <c r="QFI70" s="122"/>
      <c r="QFJ70" s="122"/>
      <c r="QFK70" s="122"/>
      <c r="QFL70" s="122"/>
      <c r="QFM70" s="122"/>
      <c r="QFN70" s="122"/>
      <c r="QFO70" s="122"/>
      <c r="QFP70" s="122"/>
      <c r="QFQ70" s="122"/>
      <c r="QFR70" s="122"/>
      <c r="QFS70" s="122"/>
      <c r="QFT70" s="122"/>
      <c r="QFU70" s="122"/>
      <c r="QFV70" s="122"/>
      <c r="QFW70" s="122"/>
      <c r="QFX70" s="122"/>
      <c r="QFY70" s="122"/>
      <c r="QFZ70" s="122"/>
      <c r="QGA70" s="122"/>
      <c r="QGB70" s="122"/>
      <c r="QGC70" s="122"/>
      <c r="QGD70" s="122"/>
      <c r="QGE70" s="122"/>
      <c r="QGF70" s="122"/>
      <c r="QGG70" s="122"/>
      <c r="QGH70" s="122"/>
      <c r="QGI70" s="122"/>
      <c r="QGJ70" s="122"/>
      <c r="QGK70" s="122"/>
      <c r="QGL70" s="122"/>
      <c r="QGM70" s="122"/>
      <c r="QGN70" s="122"/>
      <c r="QGO70" s="122"/>
      <c r="QGP70" s="122"/>
      <c r="QGQ70" s="122"/>
      <c r="QGR70" s="122"/>
      <c r="QGS70" s="122"/>
      <c r="QGT70" s="122"/>
      <c r="QGU70" s="122"/>
      <c r="QGV70" s="122"/>
      <c r="QGW70" s="122"/>
      <c r="QGX70" s="122"/>
      <c r="QGY70" s="122"/>
      <c r="QGZ70" s="122"/>
      <c r="QHA70" s="122"/>
      <c r="QHB70" s="122"/>
      <c r="QHC70" s="122"/>
      <c r="QHD70" s="122"/>
      <c r="QHE70" s="122"/>
      <c r="QHF70" s="122"/>
      <c r="QHG70" s="122"/>
      <c r="QHH70" s="122"/>
      <c r="QHI70" s="122"/>
      <c r="QHJ70" s="122"/>
      <c r="QHK70" s="122"/>
      <c r="QHL70" s="122"/>
      <c r="QHM70" s="122"/>
      <c r="QHN70" s="122"/>
      <c r="QHO70" s="122"/>
      <c r="QHP70" s="122"/>
      <c r="QHQ70" s="122"/>
      <c r="QHR70" s="122"/>
      <c r="QHS70" s="122"/>
      <c r="QHT70" s="122"/>
      <c r="QHU70" s="122"/>
      <c r="QHV70" s="122"/>
      <c r="QHW70" s="122"/>
      <c r="QHX70" s="122"/>
      <c r="QHY70" s="122"/>
      <c r="QHZ70" s="122"/>
      <c r="QIA70" s="122"/>
      <c r="QIB70" s="122"/>
      <c r="QIC70" s="122"/>
      <c r="QID70" s="122"/>
      <c r="QIE70" s="122"/>
      <c r="QIF70" s="122"/>
      <c r="QIG70" s="122"/>
      <c r="QIH70" s="122"/>
      <c r="QII70" s="122"/>
      <c r="QIJ70" s="122"/>
      <c r="QIK70" s="122"/>
      <c r="QIL70" s="122"/>
      <c r="QIM70" s="122"/>
      <c r="QIN70" s="122"/>
      <c r="QIO70" s="122"/>
      <c r="QIP70" s="122"/>
      <c r="QIQ70" s="122"/>
      <c r="QIR70" s="122"/>
      <c r="QIS70" s="122"/>
      <c r="QIT70" s="122"/>
      <c r="QIU70" s="122"/>
      <c r="QIV70" s="122"/>
      <c r="QIW70" s="122"/>
      <c r="QIX70" s="122"/>
      <c r="QIY70" s="122"/>
      <c r="QIZ70" s="122"/>
      <c r="QJA70" s="122"/>
      <c r="QJB70" s="122"/>
      <c r="QJC70" s="122"/>
      <c r="QJD70" s="122"/>
      <c r="QJE70" s="122"/>
      <c r="QJF70" s="122"/>
      <c r="QJG70" s="122"/>
      <c r="QJH70" s="122"/>
      <c r="QJI70" s="122"/>
      <c r="QJJ70" s="122"/>
      <c r="QJK70" s="122"/>
      <c r="QJL70" s="122"/>
      <c r="QJM70" s="122"/>
      <c r="QJN70" s="122"/>
      <c r="QJO70" s="122"/>
      <c r="QJP70" s="122"/>
      <c r="QJQ70" s="122"/>
      <c r="QJR70" s="122"/>
      <c r="QJS70" s="122"/>
      <c r="QJT70" s="122"/>
      <c r="QJU70" s="122"/>
      <c r="QJV70" s="122"/>
      <c r="QJW70" s="122"/>
      <c r="QJX70" s="122"/>
      <c r="QJY70" s="122"/>
      <c r="QJZ70" s="122"/>
      <c r="QKA70" s="122"/>
      <c r="QKB70" s="122"/>
      <c r="QKC70" s="122"/>
      <c r="QKD70" s="122"/>
      <c r="QKE70" s="122"/>
      <c r="QKF70" s="122"/>
      <c r="QKG70" s="122"/>
      <c r="QKH70" s="122"/>
      <c r="QKI70" s="122"/>
      <c r="QKJ70" s="122"/>
      <c r="QKK70" s="122"/>
      <c r="QKL70" s="122"/>
      <c r="QKM70" s="122"/>
      <c r="QKN70" s="122"/>
      <c r="QKO70" s="122"/>
      <c r="QKP70" s="122"/>
      <c r="QKQ70" s="122"/>
      <c r="QKR70" s="122"/>
      <c r="QKS70" s="122"/>
      <c r="QKT70" s="122"/>
      <c r="QKU70" s="122"/>
      <c r="QKV70" s="122"/>
      <c r="QKW70" s="122"/>
      <c r="QKX70" s="122"/>
      <c r="QKY70" s="122"/>
      <c r="QKZ70" s="122"/>
      <c r="QLA70" s="122"/>
      <c r="QLB70" s="122"/>
      <c r="QLC70" s="122"/>
      <c r="QLD70" s="122"/>
      <c r="QLE70" s="122"/>
      <c r="QLF70" s="122"/>
      <c r="QLG70" s="122"/>
      <c r="QLH70" s="122"/>
      <c r="QLI70" s="122"/>
      <c r="QLJ70" s="122"/>
      <c r="QLK70" s="122"/>
      <c r="QLL70" s="122"/>
      <c r="QLM70" s="122"/>
      <c r="QLN70" s="122"/>
      <c r="QLO70" s="122"/>
      <c r="QLP70" s="122"/>
      <c r="QLQ70" s="122"/>
      <c r="QLR70" s="122"/>
      <c r="QLS70" s="122"/>
      <c r="QLT70" s="122"/>
      <c r="QLU70" s="122"/>
      <c r="QLV70" s="122"/>
      <c r="QLW70" s="122"/>
      <c r="QLX70" s="122"/>
      <c r="QLY70" s="122"/>
      <c r="QLZ70" s="122"/>
      <c r="QMA70" s="122"/>
      <c r="QMB70" s="122"/>
      <c r="QMC70" s="122"/>
      <c r="QMD70" s="122"/>
      <c r="QME70" s="122"/>
      <c r="QMF70" s="122"/>
      <c r="QMG70" s="122"/>
      <c r="QMH70" s="122"/>
      <c r="QMI70" s="122"/>
      <c r="QMJ70" s="122"/>
      <c r="QMK70" s="122"/>
      <c r="QML70" s="122"/>
      <c r="QMM70" s="122"/>
      <c r="QMN70" s="122"/>
      <c r="QMO70" s="122"/>
      <c r="QMP70" s="122"/>
      <c r="QMQ70" s="122"/>
      <c r="QMR70" s="122"/>
      <c r="QMS70" s="122"/>
      <c r="QMT70" s="122"/>
      <c r="QMU70" s="122"/>
      <c r="QMV70" s="122"/>
      <c r="QMW70" s="122"/>
      <c r="QMX70" s="122"/>
      <c r="QMY70" s="122"/>
      <c r="QMZ70" s="122"/>
      <c r="QNA70" s="122"/>
      <c r="QNB70" s="122"/>
      <c r="QNC70" s="122"/>
      <c r="QND70" s="122"/>
      <c r="QNE70" s="122"/>
      <c r="QNF70" s="122"/>
      <c r="QNG70" s="122"/>
      <c r="QNH70" s="122"/>
      <c r="QNI70" s="122"/>
      <c r="QNJ70" s="122"/>
      <c r="QNK70" s="122"/>
      <c r="QNL70" s="122"/>
      <c r="QNM70" s="122"/>
      <c r="QNN70" s="122"/>
      <c r="QNO70" s="122"/>
      <c r="QNP70" s="122"/>
      <c r="QNQ70" s="122"/>
      <c r="QNR70" s="122"/>
      <c r="QNS70" s="122"/>
      <c r="QNT70" s="122"/>
      <c r="QNU70" s="122"/>
      <c r="QNV70" s="122"/>
      <c r="QNW70" s="122"/>
      <c r="QNX70" s="122"/>
      <c r="QNY70" s="122"/>
      <c r="QNZ70" s="122"/>
      <c r="QOA70" s="122"/>
      <c r="QOB70" s="122"/>
      <c r="QOC70" s="122"/>
      <c r="QOD70" s="122"/>
      <c r="QOE70" s="122"/>
      <c r="QOF70" s="122"/>
      <c r="QOG70" s="122"/>
      <c r="QOH70" s="122"/>
      <c r="QOI70" s="122"/>
      <c r="QOJ70" s="122"/>
      <c r="QOK70" s="122"/>
      <c r="QOL70" s="122"/>
      <c r="QOM70" s="122"/>
      <c r="QON70" s="122"/>
      <c r="QOO70" s="122"/>
      <c r="QOP70" s="122"/>
      <c r="QOQ70" s="122"/>
      <c r="QOR70" s="122"/>
      <c r="QOS70" s="122"/>
      <c r="QOT70" s="122"/>
      <c r="QOU70" s="122"/>
      <c r="QOV70" s="122"/>
      <c r="QOW70" s="122"/>
      <c r="QOX70" s="122"/>
      <c r="QOY70" s="122"/>
      <c r="QOZ70" s="122"/>
      <c r="QPA70" s="122"/>
      <c r="QPB70" s="122"/>
      <c r="QPC70" s="122"/>
      <c r="QPD70" s="122"/>
      <c r="QPE70" s="122"/>
      <c r="QPF70" s="122"/>
      <c r="QPG70" s="122"/>
      <c r="QPH70" s="122"/>
      <c r="QPI70" s="122"/>
      <c r="QPJ70" s="122"/>
      <c r="QPK70" s="122"/>
      <c r="QPL70" s="122"/>
      <c r="QPM70" s="122"/>
      <c r="QPN70" s="122"/>
      <c r="QPO70" s="122"/>
      <c r="QPP70" s="122"/>
      <c r="QPQ70" s="122"/>
      <c r="QPR70" s="122"/>
      <c r="QPS70" s="122"/>
      <c r="QPT70" s="122"/>
      <c r="QPU70" s="122"/>
      <c r="QPV70" s="122"/>
      <c r="QPW70" s="122"/>
      <c r="QPX70" s="122"/>
      <c r="QPY70" s="122"/>
      <c r="QPZ70" s="122"/>
      <c r="QQA70" s="122"/>
      <c r="QQB70" s="122"/>
      <c r="QQC70" s="122"/>
      <c r="QQD70" s="122"/>
      <c r="QQE70" s="122"/>
      <c r="QQF70" s="122"/>
      <c r="QQG70" s="122"/>
      <c r="QQH70" s="122"/>
      <c r="QQI70" s="122"/>
      <c r="QQJ70" s="122"/>
      <c r="QQK70" s="122"/>
      <c r="QQL70" s="122"/>
      <c r="QQM70" s="122"/>
      <c r="QQN70" s="122"/>
      <c r="QQO70" s="122"/>
      <c r="QQP70" s="122"/>
      <c r="QQQ70" s="122"/>
      <c r="QQR70" s="122"/>
      <c r="QQS70" s="122"/>
      <c r="QQT70" s="122"/>
      <c r="QQU70" s="122"/>
      <c r="QQV70" s="122"/>
      <c r="QQW70" s="122"/>
      <c r="QQX70" s="122"/>
      <c r="QQY70" s="122"/>
      <c r="QQZ70" s="122"/>
      <c r="QRA70" s="122"/>
      <c r="QRB70" s="122"/>
      <c r="QRC70" s="122"/>
      <c r="QRD70" s="122"/>
      <c r="QRE70" s="122"/>
      <c r="QRF70" s="122"/>
      <c r="QRG70" s="122"/>
      <c r="QRH70" s="122"/>
      <c r="QRI70" s="122"/>
      <c r="QRJ70" s="122"/>
      <c r="QRK70" s="122"/>
      <c r="QRL70" s="122"/>
      <c r="QRM70" s="122"/>
      <c r="QRN70" s="122"/>
      <c r="QRO70" s="122"/>
      <c r="QRP70" s="122"/>
      <c r="QRQ70" s="122"/>
      <c r="QRR70" s="122"/>
      <c r="QRS70" s="122"/>
      <c r="QRT70" s="122"/>
      <c r="QRU70" s="122"/>
      <c r="QRV70" s="122"/>
      <c r="QRW70" s="122"/>
      <c r="QRX70" s="122"/>
      <c r="QRY70" s="122"/>
      <c r="QRZ70" s="122"/>
      <c r="QSA70" s="122"/>
      <c r="QSB70" s="122"/>
      <c r="QSC70" s="122"/>
      <c r="QSD70" s="122"/>
      <c r="QSE70" s="122"/>
      <c r="QSF70" s="122"/>
      <c r="QSG70" s="122"/>
      <c r="QSH70" s="122"/>
      <c r="QSI70" s="122"/>
      <c r="QSJ70" s="122"/>
      <c r="QSK70" s="122"/>
      <c r="QSL70" s="122"/>
      <c r="QSM70" s="122"/>
      <c r="QSN70" s="122"/>
      <c r="QSO70" s="122"/>
      <c r="QSP70" s="122"/>
      <c r="QSQ70" s="122"/>
      <c r="QSR70" s="122"/>
      <c r="QSS70" s="122"/>
      <c r="QST70" s="122"/>
      <c r="QSU70" s="122"/>
      <c r="QSV70" s="122"/>
      <c r="QSW70" s="122"/>
      <c r="QSX70" s="122"/>
      <c r="QSY70" s="122"/>
      <c r="QSZ70" s="122"/>
      <c r="QTA70" s="122"/>
      <c r="QTB70" s="122"/>
      <c r="QTC70" s="122"/>
      <c r="QTD70" s="122"/>
      <c r="QTE70" s="122"/>
      <c r="QTF70" s="122"/>
      <c r="QTG70" s="122"/>
      <c r="QTH70" s="122"/>
      <c r="QTI70" s="122"/>
      <c r="QTJ70" s="122"/>
      <c r="QTK70" s="122"/>
      <c r="QTL70" s="122"/>
      <c r="QTM70" s="122"/>
      <c r="QTN70" s="122"/>
      <c r="QTO70" s="122"/>
      <c r="QTP70" s="122"/>
      <c r="QTQ70" s="122"/>
      <c r="QTR70" s="122"/>
      <c r="QTS70" s="122"/>
      <c r="QTT70" s="122"/>
      <c r="QTU70" s="122"/>
      <c r="QTV70" s="122"/>
      <c r="QTW70" s="122"/>
      <c r="QTX70" s="122"/>
      <c r="QTY70" s="122"/>
      <c r="QTZ70" s="122"/>
      <c r="QUA70" s="122"/>
      <c r="QUB70" s="122"/>
      <c r="QUC70" s="122"/>
      <c r="QUD70" s="122"/>
      <c r="QUE70" s="122"/>
      <c r="QUF70" s="122"/>
      <c r="QUG70" s="122"/>
      <c r="QUH70" s="122"/>
      <c r="QUI70" s="122"/>
      <c r="QUJ70" s="122"/>
      <c r="QUK70" s="122"/>
      <c r="QUL70" s="122"/>
      <c r="QUM70" s="122"/>
      <c r="QUN70" s="122"/>
      <c r="QUO70" s="122"/>
      <c r="QUP70" s="122"/>
      <c r="QUQ70" s="122"/>
      <c r="QUR70" s="122"/>
      <c r="QUS70" s="122"/>
      <c r="QUT70" s="122"/>
      <c r="QUU70" s="122"/>
      <c r="QUV70" s="122"/>
      <c r="QUW70" s="122"/>
      <c r="QUX70" s="122"/>
      <c r="QUY70" s="122"/>
      <c r="QUZ70" s="122"/>
      <c r="QVA70" s="122"/>
      <c r="QVB70" s="122"/>
      <c r="QVC70" s="122"/>
      <c r="QVD70" s="122"/>
      <c r="QVE70" s="122"/>
      <c r="QVF70" s="122"/>
      <c r="QVG70" s="122"/>
      <c r="QVH70" s="122"/>
      <c r="QVI70" s="122"/>
      <c r="QVJ70" s="122"/>
      <c r="QVK70" s="122"/>
      <c r="QVL70" s="122"/>
      <c r="QVM70" s="122"/>
      <c r="QVN70" s="122"/>
      <c r="QVO70" s="122"/>
      <c r="QVP70" s="122"/>
      <c r="QVQ70" s="122"/>
      <c r="QVR70" s="122"/>
      <c r="QVS70" s="122"/>
      <c r="QVT70" s="122"/>
      <c r="QVU70" s="122"/>
      <c r="QVV70" s="122"/>
      <c r="QVW70" s="122"/>
      <c r="QVX70" s="122"/>
      <c r="QVY70" s="122"/>
      <c r="QVZ70" s="122"/>
      <c r="QWA70" s="122"/>
      <c r="QWB70" s="122"/>
      <c r="QWC70" s="122"/>
      <c r="QWD70" s="122"/>
      <c r="QWE70" s="122"/>
      <c r="QWF70" s="122"/>
      <c r="QWG70" s="122"/>
      <c r="QWH70" s="122"/>
      <c r="QWI70" s="122"/>
      <c r="QWJ70" s="122"/>
      <c r="QWK70" s="122"/>
      <c r="QWL70" s="122"/>
      <c r="QWM70" s="122"/>
      <c r="QWN70" s="122"/>
      <c r="QWO70" s="122"/>
      <c r="QWP70" s="122"/>
      <c r="QWQ70" s="122"/>
      <c r="QWR70" s="122"/>
      <c r="QWS70" s="122"/>
      <c r="QWT70" s="122"/>
      <c r="QWU70" s="122"/>
      <c r="QWV70" s="122"/>
      <c r="QWW70" s="122"/>
      <c r="QWX70" s="122"/>
      <c r="QWY70" s="122"/>
      <c r="QWZ70" s="122"/>
      <c r="QXA70" s="122"/>
      <c r="QXB70" s="122"/>
      <c r="QXC70" s="122"/>
      <c r="QXD70" s="122"/>
      <c r="QXE70" s="122"/>
      <c r="QXF70" s="122"/>
      <c r="QXG70" s="122"/>
      <c r="QXH70" s="122"/>
      <c r="QXI70" s="122"/>
      <c r="QXJ70" s="122"/>
      <c r="QXK70" s="122"/>
      <c r="QXL70" s="122"/>
      <c r="QXM70" s="122"/>
      <c r="QXN70" s="122"/>
      <c r="QXO70" s="122"/>
      <c r="QXP70" s="122"/>
      <c r="QXQ70" s="122"/>
      <c r="QXR70" s="122"/>
      <c r="QXS70" s="122"/>
      <c r="QXT70" s="122"/>
      <c r="QXU70" s="122"/>
      <c r="QXV70" s="122"/>
      <c r="QXW70" s="122"/>
      <c r="QXX70" s="122"/>
      <c r="QXY70" s="122"/>
      <c r="QXZ70" s="122"/>
      <c r="QYA70" s="122"/>
      <c r="QYB70" s="122"/>
      <c r="QYC70" s="122"/>
      <c r="QYD70" s="122"/>
      <c r="QYE70" s="122"/>
      <c r="QYF70" s="122"/>
      <c r="QYG70" s="122"/>
      <c r="QYH70" s="122"/>
      <c r="QYI70" s="122"/>
      <c r="QYJ70" s="122"/>
      <c r="QYK70" s="122"/>
      <c r="QYL70" s="122"/>
      <c r="QYM70" s="122"/>
      <c r="QYN70" s="122"/>
      <c r="QYO70" s="122"/>
      <c r="QYP70" s="122"/>
      <c r="QYQ70" s="122"/>
      <c r="QYR70" s="122"/>
      <c r="QYS70" s="122"/>
      <c r="QYT70" s="122"/>
      <c r="QYU70" s="122"/>
      <c r="QYV70" s="122"/>
      <c r="QYW70" s="122"/>
      <c r="QYX70" s="122"/>
      <c r="QYY70" s="122"/>
      <c r="QYZ70" s="122"/>
      <c r="QZA70" s="122"/>
      <c r="QZB70" s="122"/>
      <c r="QZC70" s="122"/>
      <c r="QZD70" s="122"/>
      <c r="QZE70" s="122"/>
      <c r="QZF70" s="122"/>
      <c r="QZG70" s="122"/>
      <c r="QZH70" s="122"/>
      <c r="QZI70" s="122"/>
      <c r="QZJ70" s="122"/>
      <c r="QZK70" s="122"/>
      <c r="QZL70" s="122"/>
      <c r="QZM70" s="122"/>
      <c r="QZN70" s="122"/>
      <c r="QZO70" s="122"/>
      <c r="QZP70" s="122"/>
      <c r="QZQ70" s="122"/>
      <c r="QZR70" s="122"/>
      <c r="QZS70" s="122"/>
      <c r="QZT70" s="122"/>
      <c r="QZU70" s="122"/>
      <c r="QZV70" s="122"/>
      <c r="QZW70" s="122"/>
      <c r="QZX70" s="122"/>
      <c r="QZY70" s="122"/>
      <c r="QZZ70" s="122"/>
      <c r="RAA70" s="122"/>
      <c r="RAB70" s="122"/>
      <c r="RAC70" s="122"/>
      <c r="RAD70" s="122"/>
      <c r="RAE70" s="122"/>
      <c r="RAF70" s="122"/>
      <c r="RAG70" s="122"/>
      <c r="RAH70" s="122"/>
      <c r="RAI70" s="122"/>
      <c r="RAJ70" s="122"/>
      <c r="RAK70" s="122"/>
      <c r="RAL70" s="122"/>
      <c r="RAM70" s="122"/>
      <c r="RAN70" s="122"/>
      <c r="RAO70" s="122"/>
      <c r="RAP70" s="122"/>
      <c r="RAQ70" s="122"/>
      <c r="RAR70" s="122"/>
      <c r="RAS70" s="122"/>
      <c r="RAT70" s="122"/>
      <c r="RAU70" s="122"/>
      <c r="RAV70" s="122"/>
      <c r="RAW70" s="122"/>
      <c r="RAX70" s="122"/>
      <c r="RAY70" s="122"/>
      <c r="RAZ70" s="122"/>
      <c r="RBA70" s="122"/>
      <c r="RBB70" s="122"/>
      <c r="RBC70" s="122"/>
      <c r="RBD70" s="122"/>
      <c r="RBE70" s="122"/>
      <c r="RBF70" s="122"/>
      <c r="RBG70" s="122"/>
      <c r="RBH70" s="122"/>
      <c r="RBI70" s="122"/>
      <c r="RBJ70" s="122"/>
      <c r="RBK70" s="122"/>
      <c r="RBL70" s="122"/>
      <c r="RBM70" s="122"/>
      <c r="RBN70" s="122"/>
      <c r="RBO70" s="122"/>
      <c r="RBP70" s="122"/>
      <c r="RBQ70" s="122"/>
      <c r="RBR70" s="122"/>
      <c r="RBS70" s="122"/>
      <c r="RBT70" s="122"/>
      <c r="RBU70" s="122"/>
      <c r="RBV70" s="122"/>
      <c r="RBW70" s="122"/>
      <c r="RBX70" s="122"/>
      <c r="RBY70" s="122"/>
      <c r="RBZ70" s="122"/>
      <c r="RCA70" s="122"/>
      <c r="RCB70" s="122"/>
      <c r="RCC70" s="122"/>
      <c r="RCD70" s="122"/>
      <c r="RCE70" s="122"/>
      <c r="RCF70" s="122"/>
      <c r="RCG70" s="122"/>
      <c r="RCH70" s="122"/>
      <c r="RCI70" s="122"/>
      <c r="RCJ70" s="122"/>
      <c r="RCK70" s="122"/>
      <c r="RCL70" s="122"/>
      <c r="RCM70" s="122"/>
      <c r="RCN70" s="122"/>
      <c r="RCO70" s="122"/>
      <c r="RCP70" s="122"/>
      <c r="RCQ70" s="122"/>
      <c r="RCR70" s="122"/>
      <c r="RCS70" s="122"/>
      <c r="RCT70" s="122"/>
      <c r="RCU70" s="122"/>
      <c r="RCV70" s="122"/>
      <c r="RCW70" s="122"/>
      <c r="RCX70" s="122"/>
      <c r="RCY70" s="122"/>
      <c r="RCZ70" s="122"/>
      <c r="RDA70" s="122"/>
      <c r="RDB70" s="122"/>
      <c r="RDC70" s="122"/>
      <c r="RDD70" s="122"/>
      <c r="RDE70" s="122"/>
      <c r="RDF70" s="122"/>
      <c r="RDG70" s="122"/>
      <c r="RDH70" s="122"/>
      <c r="RDI70" s="122"/>
      <c r="RDJ70" s="122"/>
      <c r="RDK70" s="122"/>
      <c r="RDL70" s="122"/>
      <c r="RDM70" s="122"/>
      <c r="RDN70" s="122"/>
      <c r="RDO70" s="122"/>
      <c r="RDP70" s="122"/>
      <c r="RDQ70" s="122"/>
      <c r="RDR70" s="122"/>
      <c r="RDS70" s="122"/>
      <c r="RDT70" s="122"/>
      <c r="RDU70" s="122"/>
      <c r="RDV70" s="122"/>
      <c r="RDW70" s="122"/>
      <c r="RDX70" s="122"/>
      <c r="RDY70" s="122"/>
      <c r="RDZ70" s="122"/>
      <c r="REA70" s="122"/>
      <c r="REB70" s="122"/>
      <c r="REC70" s="122"/>
      <c r="RED70" s="122"/>
      <c r="REE70" s="122"/>
      <c r="REF70" s="122"/>
      <c r="REG70" s="122"/>
      <c r="REH70" s="122"/>
      <c r="REI70" s="122"/>
      <c r="REJ70" s="122"/>
      <c r="REK70" s="122"/>
      <c r="REL70" s="122"/>
      <c r="REM70" s="122"/>
      <c r="REN70" s="122"/>
      <c r="REO70" s="122"/>
      <c r="REP70" s="122"/>
      <c r="REQ70" s="122"/>
      <c r="RER70" s="122"/>
      <c r="RES70" s="122"/>
      <c r="RET70" s="122"/>
      <c r="REU70" s="122"/>
      <c r="REV70" s="122"/>
      <c r="REW70" s="122"/>
      <c r="REX70" s="122"/>
      <c r="REY70" s="122"/>
      <c r="REZ70" s="122"/>
      <c r="RFA70" s="122"/>
      <c r="RFB70" s="122"/>
      <c r="RFC70" s="122"/>
      <c r="RFD70" s="122"/>
      <c r="RFE70" s="122"/>
      <c r="RFF70" s="122"/>
      <c r="RFG70" s="122"/>
      <c r="RFH70" s="122"/>
      <c r="RFI70" s="122"/>
      <c r="RFJ70" s="122"/>
      <c r="RFK70" s="122"/>
      <c r="RFL70" s="122"/>
      <c r="RFM70" s="122"/>
      <c r="RFN70" s="122"/>
      <c r="RFO70" s="122"/>
      <c r="RFP70" s="122"/>
      <c r="RFQ70" s="122"/>
      <c r="RFR70" s="122"/>
      <c r="RFS70" s="122"/>
      <c r="RFT70" s="122"/>
      <c r="RFU70" s="122"/>
      <c r="RFV70" s="122"/>
      <c r="RFW70" s="122"/>
      <c r="RFX70" s="122"/>
      <c r="RFY70" s="122"/>
      <c r="RFZ70" s="122"/>
      <c r="RGA70" s="122"/>
      <c r="RGB70" s="122"/>
      <c r="RGC70" s="122"/>
      <c r="RGD70" s="122"/>
      <c r="RGE70" s="122"/>
      <c r="RGF70" s="122"/>
      <c r="RGG70" s="122"/>
      <c r="RGH70" s="122"/>
      <c r="RGI70" s="122"/>
      <c r="RGJ70" s="122"/>
      <c r="RGK70" s="122"/>
      <c r="RGL70" s="122"/>
      <c r="RGM70" s="122"/>
      <c r="RGN70" s="122"/>
      <c r="RGO70" s="122"/>
      <c r="RGP70" s="122"/>
      <c r="RGQ70" s="122"/>
      <c r="RGR70" s="122"/>
      <c r="RGS70" s="122"/>
      <c r="RGT70" s="122"/>
      <c r="RGU70" s="122"/>
      <c r="RGV70" s="122"/>
      <c r="RGW70" s="122"/>
      <c r="RGX70" s="122"/>
      <c r="RGY70" s="122"/>
      <c r="RGZ70" s="122"/>
      <c r="RHA70" s="122"/>
      <c r="RHB70" s="122"/>
      <c r="RHC70" s="122"/>
      <c r="RHD70" s="122"/>
      <c r="RHE70" s="122"/>
      <c r="RHF70" s="122"/>
      <c r="RHG70" s="122"/>
      <c r="RHH70" s="122"/>
      <c r="RHI70" s="122"/>
      <c r="RHJ70" s="122"/>
      <c r="RHK70" s="122"/>
      <c r="RHL70" s="122"/>
      <c r="RHM70" s="122"/>
      <c r="RHN70" s="122"/>
      <c r="RHO70" s="122"/>
      <c r="RHP70" s="122"/>
      <c r="RHQ70" s="122"/>
      <c r="RHR70" s="122"/>
      <c r="RHS70" s="122"/>
      <c r="RHT70" s="122"/>
      <c r="RHU70" s="122"/>
      <c r="RHV70" s="122"/>
      <c r="RHW70" s="122"/>
      <c r="RHX70" s="122"/>
      <c r="RHY70" s="122"/>
      <c r="RHZ70" s="122"/>
      <c r="RIA70" s="122"/>
      <c r="RIB70" s="122"/>
      <c r="RIC70" s="122"/>
      <c r="RID70" s="122"/>
      <c r="RIE70" s="122"/>
      <c r="RIF70" s="122"/>
      <c r="RIG70" s="122"/>
      <c r="RIH70" s="122"/>
      <c r="RII70" s="122"/>
      <c r="RIJ70" s="122"/>
      <c r="RIK70" s="122"/>
      <c r="RIL70" s="122"/>
      <c r="RIM70" s="122"/>
      <c r="RIN70" s="122"/>
      <c r="RIO70" s="122"/>
      <c r="RIP70" s="122"/>
      <c r="RIQ70" s="122"/>
      <c r="RIR70" s="122"/>
      <c r="RIS70" s="122"/>
      <c r="RIT70" s="122"/>
      <c r="RIU70" s="122"/>
      <c r="RIV70" s="122"/>
      <c r="RIW70" s="122"/>
      <c r="RIX70" s="122"/>
      <c r="RIY70" s="122"/>
      <c r="RIZ70" s="122"/>
      <c r="RJA70" s="122"/>
      <c r="RJB70" s="122"/>
      <c r="RJC70" s="122"/>
      <c r="RJD70" s="122"/>
      <c r="RJE70" s="122"/>
      <c r="RJF70" s="122"/>
      <c r="RJG70" s="122"/>
      <c r="RJH70" s="122"/>
      <c r="RJI70" s="122"/>
      <c r="RJJ70" s="122"/>
      <c r="RJK70" s="122"/>
      <c r="RJL70" s="122"/>
      <c r="RJM70" s="122"/>
      <c r="RJN70" s="122"/>
      <c r="RJO70" s="122"/>
      <c r="RJP70" s="122"/>
      <c r="RJQ70" s="122"/>
      <c r="RJR70" s="122"/>
      <c r="RJS70" s="122"/>
      <c r="RJT70" s="122"/>
      <c r="RJU70" s="122"/>
      <c r="RJV70" s="122"/>
      <c r="RJW70" s="122"/>
      <c r="RJX70" s="122"/>
      <c r="RJY70" s="122"/>
      <c r="RJZ70" s="122"/>
      <c r="RKA70" s="122"/>
      <c r="RKB70" s="122"/>
      <c r="RKC70" s="122"/>
      <c r="RKD70" s="122"/>
      <c r="RKE70" s="122"/>
      <c r="RKF70" s="122"/>
      <c r="RKG70" s="122"/>
      <c r="RKH70" s="122"/>
      <c r="RKI70" s="122"/>
      <c r="RKJ70" s="122"/>
      <c r="RKK70" s="122"/>
      <c r="RKL70" s="122"/>
      <c r="RKM70" s="122"/>
      <c r="RKN70" s="122"/>
      <c r="RKO70" s="122"/>
      <c r="RKP70" s="122"/>
      <c r="RKQ70" s="122"/>
      <c r="RKR70" s="122"/>
      <c r="RKS70" s="122"/>
      <c r="RKT70" s="122"/>
      <c r="RKU70" s="122"/>
      <c r="RKV70" s="122"/>
      <c r="RKW70" s="122"/>
      <c r="RKX70" s="122"/>
      <c r="RKY70" s="122"/>
      <c r="RKZ70" s="122"/>
      <c r="RLA70" s="122"/>
      <c r="RLB70" s="122"/>
      <c r="RLC70" s="122"/>
      <c r="RLD70" s="122"/>
      <c r="RLE70" s="122"/>
      <c r="RLF70" s="122"/>
      <c r="RLG70" s="122"/>
      <c r="RLH70" s="122"/>
      <c r="RLI70" s="122"/>
      <c r="RLJ70" s="122"/>
      <c r="RLK70" s="122"/>
      <c r="RLL70" s="122"/>
      <c r="RLM70" s="122"/>
      <c r="RLN70" s="122"/>
      <c r="RLO70" s="122"/>
      <c r="RLP70" s="122"/>
      <c r="RLQ70" s="122"/>
      <c r="RLR70" s="122"/>
      <c r="RLS70" s="122"/>
      <c r="RLT70" s="122"/>
      <c r="RLU70" s="122"/>
      <c r="RLV70" s="122"/>
      <c r="RLW70" s="122"/>
      <c r="RLX70" s="122"/>
      <c r="RLY70" s="122"/>
      <c r="RLZ70" s="122"/>
      <c r="RMA70" s="122"/>
      <c r="RMB70" s="122"/>
      <c r="RMC70" s="122"/>
      <c r="RMD70" s="122"/>
      <c r="RME70" s="122"/>
      <c r="RMF70" s="122"/>
      <c r="RMG70" s="122"/>
      <c r="RMH70" s="122"/>
      <c r="RMI70" s="122"/>
      <c r="RMJ70" s="122"/>
      <c r="RMK70" s="122"/>
      <c r="RML70" s="122"/>
      <c r="RMM70" s="122"/>
      <c r="RMN70" s="122"/>
      <c r="RMO70" s="122"/>
      <c r="RMP70" s="122"/>
      <c r="RMQ70" s="122"/>
      <c r="RMR70" s="122"/>
      <c r="RMS70" s="122"/>
      <c r="RMT70" s="122"/>
      <c r="RMU70" s="122"/>
      <c r="RMV70" s="122"/>
      <c r="RMW70" s="122"/>
      <c r="RMX70" s="122"/>
      <c r="RMY70" s="122"/>
      <c r="RMZ70" s="122"/>
      <c r="RNA70" s="122"/>
      <c r="RNB70" s="122"/>
      <c r="RNC70" s="122"/>
      <c r="RND70" s="122"/>
      <c r="RNE70" s="122"/>
      <c r="RNF70" s="122"/>
      <c r="RNG70" s="122"/>
      <c r="RNH70" s="122"/>
      <c r="RNI70" s="122"/>
      <c r="RNJ70" s="122"/>
      <c r="RNK70" s="122"/>
      <c r="RNL70" s="122"/>
      <c r="RNM70" s="122"/>
      <c r="RNN70" s="122"/>
      <c r="RNO70" s="122"/>
      <c r="RNP70" s="122"/>
      <c r="RNQ70" s="122"/>
      <c r="RNR70" s="122"/>
      <c r="RNS70" s="122"/>
      <c r="RNT70" s="122"/>
      <c r="RNU70" s="122"/>
      <c r="RNV70" s="122"/>
      <c r="RNW70" s="122"/>
      <c r="RNX70" s="122"/>
      <c r="RNY70" s="122"/>
      <c r="RNZ70" s="122"/>
      <c r="ROA70" s="122"/>
      <c r="ROB70" s="122"/>
      <c r="ROC70" s="122"/>
      <c r="ROD70" s="122"/>
      <c r="ROE70" s="122"/>
      <c r="ROF70" s="122"/>
      <c r="ROG70" s="122"/>
      <c r="ROH70" s="122"/>
      <c r="ROI70" s="122"/>
      <c r="ROJ70" s="122"/>
      <c r="ROK70" s="122"/>
      <c r="ROL70" s="122"/>
      <c r="ROM70" s="122"/>
      <c r="RON70" s="122"/>
      <c r="ROO70" s="122"/>
      <c r="ROP70" s="122"/>
      <c r="ROQ70" s="122"/>
      <c r="ROR70" s="122"/>
      <c r="ROS70" s="122"/>
      <c r="ROT70" s="122"/>
      <c r="ROU70" s="122"/>
      <c r="ROV70" s="122"/>
      <c r="ROW70" s="122"/>
      <c r="ROX70" s="122"/>
      <c r="ROY70" s="122"/>
      <c r="ROZ70" s="122"/>
      <c r="RPA70" s="122"/>
      <c r="RPB70" s="122"/>
      <c r="RPC70" s="122"/>
      <c r="RPD70" s="122"/>
      <c r="RPE70" s="122"/>
      <c r="RPF70" s="122"/>
      <c r="RPG70" s="122"/>
      <c r="RPH70" s="122"/>
      <c r="RPI70" s="122"/>
      <c r="RPJ70" s="122"/>
      <c r="RPK70" s="122"/>
      <c r="RPL70" s="122"/>
      <c r="RPM70" s="122"/>
      <c r="RPN70" s="122"/>
      <c r="RPO70" s="122"/>
      <c r="RPP70" s="122"/>
      <c r="RPQ70" s="122"/>
      <c r="RPR70" s="122"/>
      <c r="RPS70" s="122"/>
      <c r="RPT70" s="122"/>
      <c r="RPU70" s="122"/>
      <c r="RPV70" s="122"/>
      <c r="RPW70" s="122"/>
      <c r="RPX70" s="122"/>
      <c r="RPY70" s="122"/>
      <c r="RPZ70" s="122"/>
      <c r="RQA70" s="122"/>
      <c r="RQB70" s="122"/>
      <c r="RQC70" s="122"/>
      <c r="RQD70" s="122"/>
      <c r="RQE70" s="122"/>
      <c r="RQF70" s="122"/>
      <c r="RQG70" s="122"/>
      <c r="RQH70" s="122"/>
      <c r="RQI70" s="122"/>
      <c r="RQJ70" s="122"/>
      <c r="RQK70" s="122"/>
      <c r="RQL70" s="122"/>
      <c r="RQM70" s="122"/>
      <c r="RQN70" s="122"/>
      <c r="RQO70" s="122"/>
      <c r="RQP70" s="122"/>
      <c r="RQQ70" s="122"/>
      <c r="RQR70" s="122"/>
      <c r="RQS70" s="122"/>
      <c r="RQT70" s="122"/>
      <c r="RQU70" s="122"/>
      <c r="RQV70" s="122"/>
      <c r="RQW70" s="122"/>
      <c r="RQX70" s="122"/>
      <c r="RQY70" s="122"/>
      <c r="RQZ70" s="122"/>
      <c r="RRA70" s="122"/>
      <c r="RRB70" s="122"/>
      <c r="RRC70" s="122"/>
      <c r="RRD70" s="122"/>
      <c r="RRE70" s="122"/>
      <c r="RRF70" s="122"/>
      <c r="RRG70" s="122"/>
      <c r="RRH70" s="122"/>
      <c r="RRI70" s="122"/>
      <c r="RRJ70" s="122"/>
      <c r="RRK70" s="122"/>
      <c r="RRL70" s="122"/>
      <c r="RRM70" s="122"/>
      <c r="RRN70" s="122"/>
      <c r="RRO70" s="122"/>
      <c r="RRP70" s="122"/>
      <c r="RRQ70" s="122"/>
      <c r="RRR70" s="122"/>
      <c r="RRS70" s="122"/>
      <c r="RRT70" s="122"/>
      <c r="RRU70" s="122"/>
      <c r="RRV70" s="122"/>
      <c r="RRW70" s="122"/>
      <c r="RRX70" s="122"/>
      <c r="RRY70" s="122"/>
      <c r="RRZ70" s="122"/>
      <c r="RSA70" s="122"/>
      <c r="RSB70" s="122"/>
      <c r="RSC70" s="122"/>
      <c r="RSD70" s="122"/>
      <c r="RSE70" s="122"/>
      <c r="RSF70" s="122"/>
      <c r="RSG70" s="122"/>
      <c r="RSH70" s="122"/>
      <c r="RSI70" s="122"/>
      <c r="RSJ70" s="122"/>
      <c r="RSK70" s="122"/>
      <c r="RSL70" s="122"/>
      <c r="RSM70" s="122"/>
      <c r="RSN70" s="122"/>
      <c r="RSO70" s="122"/>
      <c r="RSP70" s="122"/>
      <c r="RSQ70" s="122"/>
      <c r="RSR70" s="122"/>
      <c r="RSS70" s="122"/>
      <c r="RST70" s="122"/>
      <c r="RSU70" s="122"/>
      <c r="RSV70" s="122"/>
      <c r="RSW70" s="122"/>
      <c r="RSX70" s="122"/>
      <c r="RSY70" s="122"/>
      <c r="RSZ70" s="122"/>
      <c r="RTA70" s="122"/>
      <c r="RTB70" s="122"/>
      <c r="RTC70" s="122"/>
      <c r="RTD70" s="122"/>
      <c r="RTE70" s="122"/>
      <c r="RTF70" s="122"/>
      <c r="RTG70" s="122"/>
      <c r="RTH70" s="122"/>
      <c r="RTI70" s="122"/>
      <c r="RTJ70" s="122"/>
      <c r="RTK70" s="122"/>
      <c r="RTL70" s="122"/>
      <c r="RTM70" s="122"/>
      <c r="RTN70" s="122"/>
      <c r="RTO70" s="122"/>
      <c r="RTP70" s="122"/>
      <c r="RTQ70" s="122"/>
      <c r="RTR70" s="122"/>
      <c r="RTS70" s="122"/>
      <c r="RTT70" s="122"/>
      <c r="RTU70" s="122"/>
      <c r="RTV70" s="122"/>
      <c r="RTW70" s="122"/>
      <c r="RTX70" s="122"/>
      <c r="RTY70" s="122"/>
      <c r="RTZ70" s="122"/>
      <c r="RUA70" s="122"/>
      <c r="RUB70" s="122"/>
      <c r="RUC70" s="122"/>
      <c r="RUD70" s="122"/>
      <c r="RUE70" s="122"/>
      <c r="RUF70" s="122"/>
      <c r="RUG70" s="122"/>
      <c r="RUH70" s="122"/>
      <c r="RUI70" s="122"/>
      <c r="RUJ70" s="122"/>
      <c r="RUK70" s="122"/>
      <c r="RUL70" s="122"/>
      <c r="RUM70" s="122"/>
      <c r="RUN70" s="122"/>
      <c r="RUO70" s="122"/>
      <c r="RUP70" s="122"/>
      <c r="RUQ70" s="122"/>
      <c r="RUR70" s="122"/>
      <c r="RUS70" s="122"/>
      <c r="RUT70" s="122"/>
      <c r="RUU70" s="122"/>
      <c r="RUV70" s="122"/>
      <c r="RUW70" s="122"/>
      <c r="RUX70" s="122"/>
      <c r="RUY70" s="122"/>
      <c r="RUZ70" s="122"/>
      <c r="RVA70" s="122"/>
      <c r="RVB70" s="122"/>
      <c r="RVC70" s="122"/>
      <c r="RVD70" s="122"/>
      <c r="RVE70" s="122"/>
      <c r="RVF70" s="122"/>
      <c r="RVG70" s="122"/>
      <c r="RVH70" s="122"/>
      <c r="RVI70" s="122"/>
      <c r="RVJ70" s="122"/>
      <c r="RVK70" s="122"/>
      <c r="RVL70" s="122"/>
      <c r="RVM70" s="122"/>
      <c r="RVN70" s="122"/>
      <c r="RVO70" s="122"/>
      <c r="RVP70" s="122"/>
      <c r="RVQ70" s="122"/>
      <c r="RVR70" s="122"/>
      <c r="RVS70" s="122"/>
      <c r="RVT70" s="122"/>
      <c r="RVU70" s="122"/>
      <c r="RVV70" s="122"/>
      <c r="RVW70" s="122"/>
      <c r="RVX70" s="122"/>
      <c r="RVY70" s="122"/>
      <c r="RVZ70" s="122"/>
      <c r="RWA70" s="122"/>
      <c r="RWB70" s="122"/>
      <c r="RWC70" s="122"/>
      <c r="RWD70" s="122"/>
      <c r="RWE70" s="122"/>
      <c r="RWF70" s="122"/>
      <c r="RWG70" s="122"/>
      <c r="RWH70" s="122"/>
      <c r="RWI70" s="122"/>
      <c r="RWJ70" s="122"/>
      <c r="RWK70" s="122"/>
      <c r="RWL70" s="122"/>
      <c r="RWM70" s="122"/>
      <c r="RWN70" s="122"/>
      <c r="RWO70" s="122"/>
      <c r="RWP70" s="122"/>
      <c r="RWQ70" s="122"/>
      <c r="RWR70" s="122"/>
      <c r="RWS70" s="122"/>
      <c r="RWT70" s="122"/>
      <c r="RWU70" s="122"/>
      <c r="RWV70" s="122"/>
      <c r="RWW70" s="122"/>
      <c r="RWX70" s="122"/>
      <c r="RWY70" s="122"/>
      <c r="RWZ70" s="122"/>
      <c r="RXA70" s="122"/>
      <c r="RXB70" s="122"/>
      <c r="RXC70" s="122"/>
      <c r="RXD70" s="122"/>
      <c r="RXE70" s="122"/>
      <c r="RXF70" s="122"/>
      <c r="RXG70" s="122"/>
      <c r="RXH70" s="122"/>
      <c r="RXI70" s="122"/>
      <c r="RXJ70" s="122"/>
      <c r="RXK70" s="122"/>
      <c r="RXL70" s="122"/>
      <c r="RXM70" s="122"/>
      <c r="RXN70" s="122"/>
      <c r="RXO70" s="122"/>
      <c r="RXP70" s="122"/>
      <c r="RXQ70" s="122"/>
      <c r="RXR70" s="122"/>
      <c r="RXS70" s="122"/>
      <c r="RXT70" s="122"/>
      <c r="RXU70" s="122"/>
      <c r="RXV70" s="122"/>
      <c r="RXW70" s="122"/>
      <c r="RXX70" s="122"/>
      <c r="RXY70" s="122"/>
      <c r="RXZ70" s="122"/>
      <c r="RYA70" s="122"/>
      <c r="RYB70" s="122"/>
      <c r="RYC70" s="122"/>
      <c r="RYD70" s="122"/>
      <c r="RYE70" s="122"/>
      <c r="RYF70" s="122"/>
      <c r="RYG70" s="122"/>
      <c r="RYH70" s="122"/>
      <c r="RYI70" s="122"/>
      <c r="RYJ70" s="122"/>
      <c r="RYK70" s="122"/>
      <c r="RYL70" s="122"/>
      <c r="RYM70" s="122"/>
      <c r="RYN70" s="122"/>
      <c r="RYO70" s="122"/>
      <c r="RYP70" s="122"/>
      <c r="RYQ70" s="122"/>
      <c r="RYR70" s="122"/>
      <c r="RYS70" s="122"/>
      <c r="RYT70" s="122"/>
      <c r="RYU70" s="122"/>
      <c r="RYV70" s="122"/>
      <c r="RYW70" s="122"/>
      <c r="RYX70" s="122"/>
      <c r="RYY70" s="122"/>
      <c r="RYZ70" s="122"/>
      <c r="RZA70" s="122"/>
      <c r="RZB70" s="122"/>
      <c r="RZC70" s="122"/>
      <c r="RZD70" s="122"/>
      <c r="RZE70" s="122"/>
      <c r="RZF70" s="122"/>
      <c r="RZG70" s="122"/>
      <c r="RZH70" s="122"/>
      <c r="RZI70" s="122"/>
      <c r="RZJ70" s="122"/>
      <c r="RZK70" s="122"/>
      <c r="RZL70" s="122"/>
      <c r="RZM70" s="122"/>
      <c r="RZN70" s="122"/>
      <c r="RZO70" s="122"/>
      <c r="RZP70" s="122"/>
      <c r="RZQ70" s="122"/>
      <c r="RZR70" s="122"/>
      <c r="RZS70" s="122"/>
      <c r="RZT70" s="122"/>
      <c r="RZU70" s="122"/>
      <c r="RZV70" s="122"/>
      <c r="RZW70" s="122"/>
      <c r="RZX70" s="122"/>
      <c r="RZY70" s="122"/>
      <c r="RZZ70" s="122"/>
      <c r="SAA70" s="122"/>
      <c r="SAB70" s="122"/>
      <c r="SAC70" s="122"/>
      <c r="SAD70" s="122"/>
      <c r="SAE70" s="122"/>
      <c r="SAF70" s="122"/>
      <c r="SAG70" s="122"/>
      <c r="SAH70" s="122"/>
      <c r="SAI70" s="122"/>
      <c r="SAJ70" s="122"/>
      <c r="SAK70" s="122"/>
      <c r="SAL70" s="122"/>
      <c r="SAM70" s="122"/>
      <c r="SAN70" s="122"/>
      <c r="SAO70" s="122"/>
      <c r="SAP70" s="122"/>
      <c r="SAQ70" s="122"/>
      <c r="SAR70" s="122"/>
      <c r="SAS70" s="122"/>
      <c r="SAT70" s="122"/>
      <c r="SAU70" s="122"/>
      <c r="SAV70" s="122"/>
      <c r="SAW70" s="122"/>
      <c r="SAX70" s="122"/>
      <c r="SAY70" s="122"/>
      <c r="SAZ70" s="122"/>
      <c r="SBA70" s="122"/>
      <c r="SBB70" s="122"/>
      <c r="SBC70" s="122"/>
      <c r="SBD70" s="122"/>
      <c r="SBE70" s="122"/>
      <c r="SBF70" s="122"/>
      <c r="SBG70" s="122"/>
      <c r="SBH70" s="122"/>
      <c r="SBI70" s="122"/>
      <c r="SBJ70" s="122"/>
      <c r="SBK70" s="122"/>
      <c r="SBL70" s="122"/>
      <c r="SBM70" s="122"/>
      <c r="SBN70" s="122"/>
      <c r="SBO70" s="122"/>
      <c r="SBP70" s="122"/>
      <c r="SBQ70" s="122"/>
      <c r="SBR70" s="122"/>
      <c r="SBS70" s="122"/>
      <c r="SBT70" s="122"/>
      <c r="SBU70" s="122"/>
      <c r="SBV70" s="122"/>
      <c r="SBW70" s="122"/>
      <c r="SBX70" s="122"/>
      <c r="SBY70" s="122"/>
      <c r="SBZ70" s="122"/>
      <c r="SCA70" s="122"/>
      <c r="SCB70" s="122"/>
      <c r="SCC70" s="122"/>
      <c r="SCD70" s="122"/>
      <c r="SCE70" s="122"/>
      <c r="SCF70" s="122"/>
      <c r="SCG70" s="122"/>
      <c r="SCH70" s="122"/>
      <c r="SCI70" s="122"/>
      <c r="SCJ70" s="122"/>
      <c r="SCK70" s="122"/>
      <c r="SCL70" s="122"/>
      <c r="SCM70" s="122"/>
      <c r="SCN70" s="122"/>
      <c r="SCO70" s="122"/>
      <c r="SCP70" s="122"/>
      <c r="SCQ70" s="122"/>
      <c r="SCR70" s="122"/>
      <c r="SCS70" s="122"/>
      <c r="SCT70" s="122"/>
      <c r="SCU70" s="122"/>
      <c r="SCV70" s="122"/>
      <c r="SCW70" s="122"/>
      <c r="SCX70" s="122"/>
      <c r="SCY70" s="122"/>
      <c r="SCZ70" s="122"/>
      <c r="SDA70" s="122"/>
      <c r="SDB70" s="122"/>
      <c r="SDC70" s="122"/>
      <c r="SDD70" s="122"/>
      <c r="SDE70" s="122"/>
      <c r="SDF70" s="122"/>
      <c r="SDG70" s="122"/>
      <c r="SDH70" s="122"/>
      <c r="SDI70" s="122"/>
      <c r="SDJ70" s="122"/>
      <c r="SDK70" s="122"/>
      <c r="SDL70" s="122"/>
      <c r="SDM70" s="122"/>
      <c r="SDN70" s="122"/>
      <c r="SDO70" s="122"/>
      <c r="SDP70" s="122"/>
      <c r="SDQ70" s="122"/>
      <c r="SDR70" s="122"/>
      <c r="SDS70" s="122"/>
      <c r="SDT70" s="122"/>
      <c r="SDU70" s="122"/>
      <c r="SDV70" s="122"/>
      <c r="SDW70" s="122"/>
      <c r="SDX70" s="122"/>
      <c r="SDY70" s="122"/>
      <c r="SDZ70" s="122"/>
      <c r="SEA70" s="122"/>
      <c r="SEB70" s="122"/>
      <c r="SEC70" s="122"/>
      <c r="SED70" s="122"/>
      <c r="SEE70" s="122"/>
      <c r="SEF70" s="122"/>
      <c r="SEG70" s="122"/>
      <c r="SEH70" s="122"/>
      <c r="SEI70" s="122"/>
      <c r="SEJ70" s="122"/>
      <c r="SEK70" s="122"/>
      <c r="SEL70" s="122"/>
      <c r="SEM70" s="122"/>
      <c r="SEN70" s="122"/>
      <c r="SEO70" s="122"/>
      <c r="SEP70" s="122"/>
      <c r="SEQ70" s="122"/>
      <c r="SER70" s="122"/>
      <c r="SES70" s="122"/>
      <c r="SET70" s="122"/>
      <c r="SEU70" s="122"/>
      <c r="SEV70" s="122"/>
      <c r="SEW70" s="122"/>
      <c r="SEX70" s="122"/>
      <c r="SEY70" s="122"/>
      <c r="SEZ70" s="122"/>
      <c r="SFA70" s="122"/>
      <c r="SFB70" s="122"/>
      <c r="SFC70" s="122"/>
      <c r="SFD70" s="122"/>
      <c r="SFE70" s="122"/>
      <c r="SFF70" s="122"/>
      <c r="SFG70" s="122"/>
      <c r="SFH70" s="122"/>
      <c r="SFI70" s="122"/>
      <c r="SFJ70" s="122"/>
      <c r="SFK70" s="122"/>
      <c r="SFL70" s="122"/>
      <c r="SFM70" s="122"/>
      <c r="SFN70" s="122"/>
      <c r="SFO70" s="122"/>
      <c r="SFP70" s="122"/>
      <c r="SFQ70" s="122"/>
      <c r="SFR70" s="122"/>
      <c r="SFS70" s="122"/>
      <c r="SFT70" s="122"/>
      <c r="SFU70" s="122"/>
      <c r="SFV70" s="122"/>
      <c r="SFW70" s="122"/>
      <c r="SFX70" s="122"/>
      <c r="SFY70" s="122"/>
      <c r="SFZ70" s="122"/>
      <c r="SGA70" s="122"/>
      <c r="SGB70" s="122"/>
      <c r="SGC70" s="122"/>
      <c r="SGD70" s="122"/>
      <c r="SGE70" s="122"/>
      <c r="SGF70" s="122"/>
      <c r="SGG70" s="122"/>
      <c r="SGH70" s="122"/>
      <c r="SGI70" s="122"/>
      <c r="SGJ70" s="122"/>
      <c r="SGK70" s="122"/>
      <c r="SGL70" s="122"/>
      <c r="SGM70" s="122"/>
      <c r="SGN70" s="122"/>
      <c r="SGO70" s="122"/>
      <c r="SGP70" s="122"/>
      <c r="SGQ70" s="122"/>
      <c r="SGR70" s="122"/>
      <c r="SGS70" s="122"/>
      <c r="SGT70" s="122"/>
      <c r="SGU70" s="122"/>
      <c r="SGV70" s="122"/>
      <c r="SGW70" s="122"/>
      <c r="SGX70" s="122"/>
      <c r="SGY70" s="122"/>
      <c r="SGZ70" s="122"/>
      <c r="SHA70" s="122"/>
      <c r="SHB70" s="122"/>
      <c r="SHC70" s="122"/>
      <c r="SHD70" s="122"/>
      <c r="SHE70" s="122"/>
      <c r="SHF70" s="122"/>
      <c r="SHG70" s="122"/>
      <c r="SHH70" s="122"/>
      <c r="SHI70" s="122"/>
      <c r="SHJ70" s="122"/>
      <c r="SHK70" s="122"/>
      <c r="SHL70" s="122"/>
      <c r="SHM70" s="122"/>
      <c r="SHN70" s="122"/>
      <c r="SHO70" s="122"/>
      <c r="SHP70" s="122"/>
      <c r="SHQ70" s="122"/>
      <c r="SHR70" s="122"/>
      <c r="SHS70" s="122"/>
      <c r="SHT70" s="122"/>
      <c r="SHU70" s="122"/>
      <c r="SHV70" s="122"/>
      <c r="SHW70" s="122"/>
      <c r="SHX70" s="122"/>
      <c r="SHY70" s="122"/>
      <c r="SHZ70" s="122"/>
      <c r="SIA70" s="122"/>
      <c r="SIB70" s="122"/>
      <c r="SIC70" s="122"/>
      <c r="SID70" s="122"/>
      <c r="SIE70" s="122"/>
      <c r="SIF70" s="122"/>
      <c r="SIG70" s="122"/>
      <c r="SIH70" s="122"/>
      <c r="SII70" s="122"/>
      <c r="SIJ70" s="122"/>
      <c r="SIK70" s="122"/>
      <c r="SIL70" s="122"/>
      <c r="SIM70" s="122"/>
      <c r="SIN70" s="122"/>
      <c r="SIO70" s="122"/>
      <c r="SIP70" s="122"/>
      <c r="SIQ70" s="122"/>
      <c r="SIR70" s="122"/>
      <c r="SIS70" s="122"/>
      <c r="SIT70" s="122"/>
      <c r="SIU70" s="122"/>
      <c r="SIV70" s="122"/>
      <c r="SIW70" s="122"/>
      <c r="SIX70" s="122"/>
      <c r="SIY70" s="122"/>
      <c r="SIZ70" s="122"/>
      <c r="SJA70" s="122"/>
      <c r="SJB70" s="122"/>
      <c r="SJC70" s="122"/>
      <c r="SJD70" s="122"/>
      <c r="SJE70" s="122"/>
      <c r="SJF70" s="122"/>
      <c r="SJG70" s="122"/>
      <c r="SJH70" s="122"/>
      <c r="SJI70" s="122"/>
      <c r="SJJ70" s="122"/>
      <c r="SJK70" s="122"/>
      <c r="SJL70" s="122"/>
      <c r="SJM70" s="122"/>
      <c r="SJN70" s="122"/>
      <c r="SJO70" s="122"/>
      <c r="SJP70" s="122"/>
      <c r="SJQ70" s="122"/>
      <c r="SJR70" s="122"/>
      <c r="SJS70" s="122"/>
      <c r="SJT70" s="122"/>
      <c r="SJU70" s="122"/>
      <c r="SJV70" s="122"/>
      <c r="SJW70" s="122"/>
      <c r="SJX70" s="122"/>
      <c r="SJY70" s="122"/>
      <c r="SJZ70" s="122"/>
      <c r="SKA70" s="122"/>
      <c r="SKB70" s="122"/>
      <c r="SKC70" s="122"/>
      <c r="SKD70" s="122"/>
      <c r="SKE70" s="122"/>
      <c r="SKF70" s="122"/>
      <c r="SKG70" s="122"/>
      <c r="SKH70" s="122"/>
      <c r="SKI70" s="122"/>
      <c r="SKJ70" s="122"/>
      <c r="SKK70" s="122"/>
      <c r="SKL70" s="122"/>
      <c r="SKM70" s="122"/>
      <c r="SKN70" s="122"/>
      <c r="SKO70" s="122"/>
      <c r="SKP70" s="122"/>
      <c r="SKQ70" s="122"/>
      <c r="SKR70" s="122"/>
      <c r="SKS70" s="122"/>
      <c r="SKT70" s="122"/>
      <c r="SKU70" s="122"/>
      <c r="SKV70" s="122"/>
      <c r="SKW70" s="122"/>
      <c r="SKX70" s="122"/>
      <c r="SKY70" s="122"/>
      <c r="SKZ70" s="122"/>
      <c r="SLA70" s="122"/>
      <c r="SLB70" s="122"/>
      <c r="SLC70" s="122"/>
      <c r="SLD70" s="122"/>
      <c r="SLE70" s="122"/>
      <c r="SLF70" s="122"/>
      <c r="SLG70" s="122"/>
      <c r="SLH70" s="122"/>
      <c r="SLI70" s="122"/>
      <c r="SLJ70" s="122"/>
      <c r="SLK70" s="122"/>
      <c r="SLL70" s="122"/>
      <c r="SLM70" s="122"/>
      <c r="SLN70" s="122"/>
      <c r="SLO70" s="122"/>
      <c r="SLP70" s="122"/>
      <c r="SLQ70" s="122"/>
      <c r="SLR70" s="122"/>
      <c r="SLS70" s="122"/>
      <c r="SLT70" s="122"/>
      <c r="SLU70" s="122"/>
      <c r="SLV70" s="122"/>
      <c r="SLW70" s="122"/>
      <c r="SLX70" s="122"/>
      <c r="SLY70" s="122"/>
      <c r="SLZ70" s="122"/>
      <c r="SMA70" s="122"/>
      <c r="SMB70" s="122"/>
      <c r="SMC70" s="122"/>
      <c r="SMD70" s="122"/>
      <c r="SME70" s="122"/>
      <c r="SMF70" s="122"/>
      <c r="SMG70" s="122"/>
      <c r="SMH70" s="122"/>
      <c r="SMI70" s="122"/>
      <c r="SMJ70" s="122"/>
      <c r="SMK70" s="122"/>
      <c r="SML70" s="122"/>
      <c r="SMM70" s="122"/>
      <c r="SMN70" s="122"/>
      <c r="SMO70" s="122"/>
      <c r="SMP70" s="122"/>
      <c r="SMQ70" s="122"/>
      <c r="SMR70" s="122"/>
      <c r="SMS70" s="122"/>
      <c r="SMT70" s="122"/>
      <c r="SMU70" s="122"/>
      <c r="SMV70" s="122"/>
      <c r="SMW70" s="122"/>
      <c r="SMX70" s="122"/>
      <c r="SMY70" s="122"/>
      <c r="SMZ70" s="122"/>
      <c r="SNA70" s="122"/>
      <c r="SNB70" s="122"/>
      <c r="SNC70" s="122"/>
      <c r="SND70" s="122"/>
      <c r="SNE70" s="122"/>
      <c r="SNF70" s="122"/>
      <c r="SNG70" s="122"/>
      <c r="SNH70" s="122"/>
      <c r="SNI70" s="122"/>
      <c r="SNJ70" s="122"/>
      <c r="SNK70" s="122"/>
      <c r="SNL70" s="122"/>
      <c r="SNM70" s="122"/>
      <c r="SNN70" s="122"/>
      <c r="SNO70" s="122"/>
      <c r="SNP70" s="122"/>
      <c r="SNQ70" s="122"/>
      <c r="SNR70" s="122"/>
      <c r="SNS70" s="122"/>
      <c r="SNT70" s="122"/>
      <c r="SNU70" s="122"/>
      <c r="SNV70" s="122"/>
      <c r="SNW70" s="122"/>
      <c r="SNX70" s="122"/>
      <c r="SNY70" s="122"/>
      <c r="SNZ70" s="122"/>
      <c r="SOA70" s="122"/>
      <c r="SOB70" s="122"/>
      <c r="SOC70" s="122"/>
      <c r="SOD70" s="122"/>
      <c r="SOE70" s="122"/>
      <c r="SOF70" s="122"/>
      <c r="SOG70" s="122"/>
      <c r="SOH70" s="122"/>
      <c r="SOI70" s="122"/>
      <c r="SOJ70" s="122"/>
      <c r="SOK70" s="122"/>
      <c r="SOL70" s="122"/>
      <c r="SOM70" s="122"/>
      <c r="SON70" s="122"/>
      <c r="SOO70" s="122"/>
      <c r="SOP70" s="122"/>
      <c r="SOQ70" s="122"/>
      <c r="SOR70" s="122"/>
      <c r="SOS70" s="122"/>
      <c r="SOT70" s="122"/>
      <c r="SOU70" s="122"/>
      <c r="SOV70" s="122"/>
      <c r="SOW70" s="122"/>
      <c r="SOX70" s="122"/>
      <c r="SOY70" s="122"/>
      <c r="SOZ70" s="122"/>
      <c r="SPA70" s="122"/>
      <c r="SPB70" s="122"/>
      <c r="SPC70" s="122"/>
      <c r="SPD70" s="122"/>
      <c r="SPE70" s="122"/>
      <c r="SPF70" s="122"/>
      <c r="SPG70" s="122"/>
      <c r="SPH70" s="122"/>
      <c r="SPI70" s="122"/>
      <c r="SPJ70" s="122"/>
      <c r="SPK70" s="122"/>
      <c r="SPL70" s="122"/>
      <c r="SPM70" s="122"/>
      <c r="SPN70" s="122"/>
      <c r="SPO70" s="122"/>
      <c r="SPP70" s="122"/>
      <c r="SPQ70" s="122"/>
      <c r="SPR70" s="122"/>
      <c r="SPS70" s="122"/>
      <c r="SPT70" s="122"/>
      <c r="SPU70" s="122"/>
      <c r="SPV70" s="122"/>
      <c r="SPW70" s="122"/>
      <c r="SPX70" s="122"/>
      <c r="SPY70" s="122"/>
      <c r="SPZ70" s="122"/>
      <c r="SQA70" s="122"/>
      <c r="SQB70" s="122"/>
      <c r="SQC70" s="122"/>
      <c r="SQD70" s="122"/>
      <c r="SQE70" s="122"/>
      <c r="SQF70" s="122"/>
      <c r="SQG70" s="122"/>
      <c r="SQH70" s="122"/>
      <c r="SQI70" s="122"/>
      <c r="SQJ70" s="122"/>
      <c r="SQK70" s="122"/>
      <c r="SQL70" s="122"/>
      <c r="SQM70" s="122"/>
      <c r="SQN70" s="122"/>
      <c r="SQO70" s="122"/>
      <c r="SQP70" s="122"/>
      <c r="SQQ70" s="122"/>
      <c r="SQR70" s="122"/>
      <c r="SQS70" s="122"/>
      <c r="SQT70" s="122"/>
      <c r="SQU70" s="122"/>
      <c r="SQV70" s="122"/>
      <c r="SQW70" s="122"/>
      <c r="SQX70" s="122"/>
      <c r="SQY70" s="122"/>
      <c r="SQZ70" s="122"/>
      <c r="SRA70" s="122"/>
      <c r="SRB70" s="122"/>
      <c r="SRC70" s="122"/>
      <c r="SRD70" s="122"/>
      <c r="SRE70" s="122"/>
      <c r="SRF70" s="122"/>
      <c r="SRG70" s="122"/>
      <c r="SRH70" s="122"/>
      <c r="SRI70" s="122"/>
      <c r="SRJ70" s="122"/>
      <c r="SRK70" s="122"/>
      <c r="SRL70" s="122"/>
      <c r="SRM70" s="122"/>
      <c r="SRN70" s="122"/>
      <c r="SRO70" s="122"/>
      <c r="SRP70" s="122"/>
      <c r="SRQ70" s="122"/>
      <c r="SRR70" s="122"/>
      <c r="SRS70" s="122"/>
      <c r="SRT70" s="122"/>
      <c r="SRU70" s="122"/>
      <c r="SRV70" s="122"/>
      <c r="SRW70" s="122"/>
      <c r="SRX70" s="122"/>
      <c r="SRY70" s="122"/>
      <c r="SRZ70" s="122"/>
      <c r="SSA70" s="122"/>
      <c r="SSB70" s="122"/>
      <c r="SSC70" s="122"/>
      <c r="SSD70" s="122"/>
      <c r="SSE70" s="122"/>
      <c r="SSF70" s="122"/>
      <c r="SSG70" s="122"/>
      <c r="SSH70" s="122"/>
      <c r="SSI70" s="122"/>
      <c r="SSJ70" s="122"/>
      <c r="SSK70" s="122"/>
      <c r="SSL70" s="122"/>
      <c r="SSM70" s="122"/>
      <c r="SSN70" s="122"/>
      <c r="SSO70" s="122"/>
      <c r="SSP70" s="122"/>
      <c r="SSQ70" s="122"/>
      <c r="SSR70" s="122"/>
      <c r="SSS70" s="122"/>
      <c r="SST70" s="122"/>
      <c r="SSU70" s="122"/>
      <c r="SSV70" s="122"/>
      <c r="SSW70" s="122"/>
      <c r="SSX70" s="122"/>
      <c r="SSY70" s="122"/>
      <c r="SSZ70" s="122"/>
      <c r="STA70" s="122"/>
      <c r="STB70" s="122"/>
      <c r="STC70" s="122"/>
      <c r="STD70" s="122"/>
      <c r="STE70" s="122"/>
      <c r="STF70" s="122"/>
      <c r="STG70" s="122"/>
      <c r="STH70" s="122"/>
      <c r="STI70" s="122"/>
      <c r="STJ70" s="122"/>
      <c r="STK70" s="122"/>
      <c r="STL70" s="122"/>
      <c r="STM70" s="122"/>
      <c r="STN70" s="122"/>
      <c r="STO70" s="122"/>
      <c r="STP70" s="122"/>
      <c r="STQ70" s="122"/>
      <c r="STR70" s="122"/>
      <c r="STS70" s="122"/>
      <c r="STT70" s="122"/>
      <c r="STU70" s="122"/>
      <c r="STV70" s="122"/>
      <c r="STW70" s="122"/>
      <c r="STX70" s="122"/>
      <c r="STY70" s="122"/>
      <c r="STZ70" s="122"/>
      <c r="SUA70" s="122"/>
      <c r="SUB70" s="122"/>
      <c r="SUC70" s="122"/>
      <c r="SUD70" s="122"/>
      <c r="SUE70" s="122"/>
      <c r="SUF70" s="122"/>
      <c r="SUG70" s="122"/>
      <c r="SUH70" s="122"/>
      <c r="SUI70" s="122"/>
      <c r="SUJ70" s="122"/>
      <c r="SUK70" s="122"/>
      <c r="SUL70" s="122"/>
      <c r="SUM70" s="122"/>
      <c r="SUN70" s="122"/>
      <c r="SUO70" s="122"/>
      <c r="SUP70" s="122"/>
      <c r="SUQ70" s="122"/>
      <c r="SUR70" s="122"/>
      <c r="SUS70" s="122"/>
      <c r="SUT70" s="122"/>
      <c r="SUU70" s="122"/>
      <c r="SUV70" s="122"/>
      <c r="SUW70" s="122"/>
      <c r="SUX70" s="122"/>
      <c r="SUY70" s="122"/>
      <c r="SUZ70" s="122"/>
      <c r="SVA70" s="122"/>
      <c r="SVB70" s="122"/>
      <c r="SVC70" s="122"/>
      <c r="SVD70" s="122"/>
      <c r="SVE70" s="122"/>
      <c r="SVF70" s="122"/>
      <c r="SVG70" s="122"/>
      <c r="SVH70" s="122"/>
      <c r="SVI70" s="122"/>
      <c r="SVJ70" s="122"/>
      <c r="SVK70" s="122"/>
      <c r="SVL70" s="122"/>
      <c r="SVM70" s="122"/>
      <c r="SVN70" s="122"/>
      <c r="SVO70" s="122"/>
      <c r="SVP70" s="122"/>
      <c r="SVQ70" s="122"/>
      <c r="SVR70" s="122"/>
      <c r="SVS70" s="122"/>
      <c r="SVT70" s="122"/>
      <c r="SVU70" s="122"/>
      <c r="SVV70" s="122"/>
      <c r="SVW70" s="122"/>
      <c r="SVX70" s="122"/>
      <c r="SVY70" s="122"/>
      <c r="SVZ70" s="122"/>
      <c r="SWA70" s="122"/>
      <c r="SWB70" s="122"/>
      <c r="SWC70" s="122"/>
      <c r="SWD70" s="122"/>
      <c r="SWE70" s="122"/>
      <c r="SWF70" s="122"/>
      <c r="SWG70" s="122"/>
      <c r="SWH70" s="122"/>
      <c r="SWI70" s="122"/>
      <c r="SWJ70" s="122"/>
      <c r="SWK70" s="122"/>
      <c r="SWL70" s="122"/>
      <c r="SWM70" s="122"/>
      <c r="SWN70" s="122"/>
      <c r="SWO70" s="122"/>
      <c r="SWP70" s="122"/>
      <c r="SWQ70" s="122"/>
      <c r="SWR70" s="122"/>
      <c r="SWS70" s="122"/>
      <c r="SWT70" s="122"/>
      <c r="SWU70" s="122"/>
      <c r="SWV70" s="122"/>
      <c r="SWW70" s="122"/>
      <c r="SWX70" s="122"/>
      <c r="SWY70" s="122"/>
      <c r="SWZ70" s="122"/>
      <c r="SXA70" s="122"/>
      <c r="SXB70" s="122"/>
      <c r="SXC70" s="122"/>
      <c r="SXD70" s="122"/>
      <c r="SXE70" s="122"/>
      <c r="SXF70" s="122"/>
      <c r="SXG70" s="122"/>
      <c r="SXH70" s="122"/>
      <c r="SXI70" s="122"/>
      <c r="SXJ70" s="122"/>
      <c r="SXK70" s="122"/>
      <c r="SXL70" s="122"/>
      <c r="SXM70" s="122"/>
      <c r="SXN70" s="122"/>
      <c r="SXO70" s="122"/>
      <c r="SXP70" s="122"/>
      <c r="SXQ70" s="122"/>
      <c r="SXR70" s="122"/>
      <c r="SXS70" s="122"/>
      <c r="SXT70" s="122"/>
      <c r="SXU70" s="122"/>
      <c r="SXV70" s="122"/>
      <c r="SXW70" s="122"/>
      <c r="SXX70" s="122"/>
      <c r="SXY70" s="122"/>
      <c r="SXZ70" s="122"/>
      <c r="SYA70" s="122"/>
      <c r="SYB70" s="122"/>
      <c r="SYC70" s="122"/>
      <c r="SYD70" s="122"/>
      <c r="SYE70" s="122"/>
      <c r="SYF70" s="122"/>
      <c r="SYG70" s="122"/>
      <c r="SYH70" s="122"/>
      <c r="SYI70" s="122"/>
      <c r="SYJ70" s="122"/>
      <c r="SYK70" s="122"/>
      <c r="SYL70" s="122"/>
      <c r="SYM70" s="122"/>
      <c r="SYN70" s="122"/>
      <c r="SYO70" s="122"/>
      <c r="SYP70" s="122"/>
      <c r="SYQ70" s="122"/>
      <c r="SYR70" s="122"/>
      <c r="SYS70" s="122"/>
      <c r="SYT70" s="122"/>
      <c r="SYU70" s="122"/>
      <c r="SYV70" s="122"/>
      <c r="SYW70" s="122"/>
      <c r="SYX70" s="122"/>
      <c r="SYY70" s="122"/>
      <c r="SYZ70" s="122"/>
      <c r="SZA70" s="122"/>
      <c r="SZB70" s="122"/>
      <c r="SZC70" s="122"/>
      <c r="SZD70" s="122"/>
      <c r="SZE70" s="122"/>
      <c r="SZF70" s="122"/>
      <c r="SZG70" s="122"/>
      <c r="SZH70" s="122"/>
      <c r="SZI70" s="122"/>
      <c r="SZJ70" s="122"/>
      <c r="SZK70" s="122"/>
      <c r="SZL70" s="122"/>
      <c r="SZM70" s="122"/>
      <c r="SZN70" s="122"/>
      <c r="SZO70" s="122"/>
      <c r="SZP70" s="122"/>
      <c r="SZQ70" s="122"/>
      <c r="SZR70" s="122"/>
      <c r="SZS70" s="122"/>
      <c r="SZT70" s="122"/>
      <c r="SZU70" s="122"/>
      <c r="SZV70" s="122"/>
      <c r="SZW70" s="122"/>
      <c r="SZX70" s="122"/>
      <c r="SZY70" s="122"/>
      <c r="SZZ70" s="122"/>
      <c r="TAA70" s="122"/>
      <c r="TAB70" s="122"/>
      <c r="TAC70" s="122"/>
      <c r="TAD70" s="122"/>
      <c r="TAE70" s="122"/>
      <c r="TAF70" s="122"/>
      <c r="TAG70" s="122"/>
      <c r="TAH70" s="122"/>
      <c r="TAI70" s="122"/>
      <c r="TAJ70" s="122"/>
      <c r="TAK70" s="122"/>
      <c r="TAL70" s="122"/>
      <c r="TAM70" s="122"/>
      <c r="TAN70" s="122"/>
      <c r="TAO70" s="122"/>
      <c r="TAP70" s="122"/>
      <c r="TAQ70" s="122"/>
      <c r="TAR70" s="122"/>
      <c r="TAS70" s="122"/>
      <c r="TAT70" s="122"/>
      <c r="TAU70" s="122"/>
      <c r="TAV70" s="122"/>
      <c r="TAW70" s="122"/>
      <c r="TAX70" s="122"/>
      <c r="TAY70" s="122"/>
      <c r="TAZ70" s="122"/>
      <c r="TBA70" s="122"/>
      <c r="TBB70" s="122"/>
      <c r="TBC70" s="122"/>
      <c r="TBD70" s="122"/>
      <c r="TBE70" s="122"/>
      <c r="TBF70" s="122"/>
      <c r="TBG70" s="122"/>
      <c r="TBH70" s="122"/>
      <c r="TBI70" s="122"/>
      <c r="TBJ70" s="122"/>
      <c r="TBK70" s="122"/>
      <c r="TBL70" s="122"/>
      <c r="TBM70" s="122"/>
      <c r="TBN70" s="122"/>
      <c r="TBO70" s="122"/>
      <c r="TBP70" s="122"/>
      <c r="TBQ70" s="122"/>
      <c r="TBR70" s="122"/>
      <c r="TBS70" s="122"/>
      <c r="TBT70" s="122"/>
      <c r="TBU70" s="122"/>
      <c r="TBV70" s="122"/>
      <c r="TBW70" s="122"/>
      <c r="TBX70" s="122"/>
      <c r="TBY70" s="122"/>
      <c r="TBZ70" s="122"/>
      <c r="TCA70" s="122"/>
      <c r="TCB70" s="122"/>
      <c r="TCC70" s="122"/>
      <c r="TCD70" s="122"/>
      <c r="TCE70" s="122"/>
      <c r="TCF70" s="122"/>
      <c r="TCG70" s="122"/>
      <c r="TCH70" s="122"/>
      <c r="TCI70" s="122"/>
      <c r="TCJ70" s="122"/>
      <c r="TCK70" s="122"/>
      <c r="TCL70" s="122"/>
      <c r="TCM70" s="122"/>
      <c r="TCN70" s="122"/>
      <c r="TCO70" s="122"/>
      <c r="TCP70" s="122"/>
      <c r="TCQ70" s="122"/>
      <c r="TCR70" s="122"/>
      <c r="TCS70" s="122"/>
      <c r="TCT70" s="122"/>
      <c r="TCU70" s="122"/>
      <c r="TCV70" s="122"/>
      <c r="TCW70" s="122"/>
      <c r="TCX70" s="122"/>
      <c r="TCY70" s="122"/>
      <c r="TCZ70" s="122"/>
      <c r="TDA70" s="122"/>
      <c r="TDB70" s="122"/>
      <c r="TDC70" s="122"/>
      <c r="TDD70" s="122"/>
      <c r="TDE70" s="122"/>
      <c r="TDF70" s="122"/>
      <c r="TDG70" s="122"/>
      <c r="TDH70" s="122"/>
      <c r="TDI70" s="122"/>
      <c r="TDJ70" s="122"/>
      <c r="TDK70" s="122"/>
      <c r="TDL70" s="122"/>
      <c r="TDM70" s="122"/>
      <c r="TDN70" s="122"/>
      <c r="TDO70" s="122"/>
      <c r="TDP70" s="122"/>
      <c r="TDQ70" s="122"/>
      <c r="TDR70" s="122"/>
      <c r="TDS70" s="122"/>
      <c r="TDT70" s="122"/>
      <c r="TDU70" s="122"/>
      <c r="TDV70" s="122"/>
      <c r="TDW70" s="122"/>
      <c r="TDX70" s="122"/>
      <c r="TDY70" s="122"/>
      <c r="TDZ70" s="122"/>
      <c r="TEA70" s="122"/>
      <c r="TEB70" s="122"/>
      <c r="TEC70" s="122"/>
      <c r="TED70" s="122"/>
      <c r="TEE70" s="122"/>
      <c r="TEF70" s="122"/>
      <c r="TEG70" s="122"/>
      <c r="TEH70" s="122"/>
      <c r="TEI70" s="122"/>
      <c r="TEJ70" s="122"/>
      <c r="TEK70" s="122"/>
      <c r="TEL70" s="122"/>
      <c r="TEM70" s="122"/>
      <c r="TEN70" s="122"/>
      <c r="TEO70" s="122"/>
      <c r="TEP70" s="122"/>
      <c r="TEQ70" s="122"/>
      <c r="TER70" s="122"/>
      <c r="TES70" s="122"/>
      <c r="TET70" s="122"/>
      <c r="TEU70" s="122"/>
      <c r="TEV70" s="122"/>
      <c r="TEW70" s="122"/>
      <c r="TEX70" s="122"/>
      <c r="TEY70" s="122"/>
      <c r="TEZ70" s="122"/>
      <c r="TFA70" s="122"/>
      <c r="TFB70" s="122"/>
      <c r="TFC70" s="122"/>
      <c r="TFD70" s="122"/>
      <c r="TFE70" s="122"/>
      <c r="TFF70" s="122"/>
      <c r="TFG70" s="122"/>
      <c r="TFH70" s="122"/>
      <c r="TFI70" s="122"/>
      <c r="TFJ70" s="122"/>
      <c r="TFK70" s="122"/>
      <c r="TFL70" s="122"/>
      <c r="TFM70" s="122"/>
      <c r="TFN70" s="122"/>
      <c r="TFO70" s="122"/>
      <c r="TFP70" s="122"/>
      <c r="TFQ70" s="122"/>
      <c r="TFR70" s="122"/>
      <c r="TFS70" s="122"/>
      <c r="TFT70" s="122"/>
      <c r="TFU70" s="122"/>
      <c r="TFV70" s="122"/>
      <c r="TFW70" s="122"/>
      <c r="TFX70" s="122"/>
      <c r="TFY70" s="122"/>
      <c r="TFZ70" s="122"/>
      <c r="TGA70" s="122"/>
      <c r="TGB70" s="122"/>
      <c r="TGC70" s="122"/>
      <c r="TGD70" s="122"/>
      <c r="TGE70" s="122"/>
      <c r="TGF70" s="122"/>
      <c r="TGG70" s="122"/>
      <c r="TGH70" s="122"/>
      <c r="TGI70" s="122"/>
      <c r="TGJ70" s="122"/>
      <c r="TGK70" s="122"/>
      <c r="TGL70" s="122"/>
      <c r="TGM70" s="122"/>
      <c r="TGN70" s="122"/>
      <c r="TGO70" s="122"/>
      <c r="TGP70" s="122"/>
      <c r="TGQ70" s="122"/>
      <c r="TGR70" s="122"/>
      <c r="TGS70" s="122"/>
      <c r="TGT70" s="122"/>
      <c r="TGU70" s="122"/>
      <c r="TGV70" s="122"/>
      <c r="TGW70" s="122"/>
      <c r="TGX70" s="122"/>
      <c r="TGY70" s="122"/>
      <c r="TGZ70" s="122"/>
      <c r="THA70" s="122"/>
      <c r="THB70" s="122"/>
      <c r="THC70" s="122"/>
      <c r="THD70" s="122"/>
      <c r="THE70" s="122"/>
      <c r="THF70" s="122"/>
      <c r="THG70" s="122"/>
      <c r="THH70" s="122"/>
      <c r="THI70" s="122"/>
      <c r="THJ70" s="122"/>
      <c r="THK70" s="122"/>
      <c r="THL70" s="122"/>
      <c r="THM70" s="122"/>
      <c r="THN70" s="122"/>
      <c r="THO70" s="122"/>
      <c r="THP70" s="122"/>
      <c r="THQ70" s="122"/>
      <c r="THR70" s="122"/>
      <c r="THS70" s="122"/>
      <c r="THT70" s="122"/>
      <c r="THU70" s="122"/>
      <c r="THV70" s="122"/>
      <c r="THW70" s="122"/>
      <c r="THX70" s="122"/>
      <c r="THY70" s="122"/>
      <c r="THZ70" s="122"/>
      <c r="TIA70" s="122"/>
      <c r="TIB70" s="122"/>
      <c r="TIC70" s="122"/>
      <c r="TID70" s="122"/>
      <c r="TIE70" s="122"/>
      <c r="TIF70" s="122"/>
      <c r="TIG70" s="122"/>
      <c r="TIH70" s="122"/>
      <c r="TII70" s="122"/>
      <c r="TIJ70" s="122"/>
      <c r="TIK70" s="122"/>
      <c r="TIL70" s="122"/>
      <c r="TIM70" s="122"/>
      <c r="TIN70" s="122"/>
      <c r="TIO70" s="122"/>
      <c r="TIP70" s="122"/>
      <c r="TIQ70" s="122"/>
      <c r="TIR70" s="122"/>
      <c r="TIS70" s="122"/>
      <c r="TIT70" s="122"/>
      <c r="TIU70" s="122"/>
      <c r="TIV70" s="122"/>
      <c r="TIW70" s="122"/>
      <c r="TIX70" s="122"/>
      <c r="TIY70" s="122"/>
      <c r="TIZ70" s="122"/>
      <c r="TJA70" s="122"/>
      <c r="TJB70" s="122"/>
      <c r="TJC70" s="122"/>
      <c r="TJD70" s="122"/>
      <c r="TJE70" s="122"/>
      <c r="TJF70" s="122"/>
      <c r="TJG70" s="122"/>
      <c r="TJH70" s="122"/>
      <c r="TJI70" s="122"/>
      <c r="TJJ70" s="122"/>
      <c r="TJK70" s="122"/>
      <c r="TJL70" s="122"/>
      <c r="TJM70" s="122"/>
      <c r="TJN70" s="122"/>
      <c r="TJO70" s="122"/>
      <c r="TJP70" s="122"/>
      <c r="TJQ70" s="122"/>
      <c r="TJR70" s="122"/>
      <c r="TJS70" s="122"/>
      <c r="TJT70" s="122"/>
      <c r="TJU70" s="122"/>
      <c r="TJV70" s="122"/>
      <c r="TJW70" s="122"/>
      <c r="TJX70" s="122"/>
      <c r="TJY70" s="122"/>
      <c r="TJZ70" s="122"/>
      <c r="TKA70" s="122"/>
      <c r="TKB70" s="122"/>
      <c r="TKC70" s="122"/>
      <c r="TKD70" s="122"/>
      <c r="TKE70" s="122"/>
      <c r="TKF70" s="122"/>
      <c r="TKG70" s="122"/>
      <c r="TKH70" s="122"/>
      <c r="TKI70" s="122"/>
      <c r="TKJ70" s="122"/>
      <c r="TKK70" s="122"/>
      <c r="TKL70" s="122"/>
      <c r="TKM70" s="122"/>
      <c r="TKN70" s="122"/>
      <c r="TKO70" s="122"/>
      <c r="TKP70" s="122"/>
      <c r="TKQ70" s="122"/>
      <c r="TKR70" s="122"/>
      <c r="TKS70" s="122"/>
      <c r="TKT70" s="122"/>
      <c r="TKU70" s="122"/>
      <c r="TKV70" s="122"/>
      <c r="TKW70" s="122"/>
      <c r="TKX70" s="122"/>
      <c r="TKY70" s="122"/>
      <c r="TKZ70" s="122"/>
      <c r="TLA70" s="122"/>
      <c r="TLB70" s="122"/>
      <c r="TLC70" s="122"/>
      <c r="TLD70" s="122"/>
      <c r="TLE70" s="122"/>
      <c r="TLF70" s="122"/>
      <c r="TLG70" s="122"/>
      <c r="TLH70" s="122"/>
      <c r="TLI70" s="122"/>
      <c r="TLJ70" s="122"/>
      <c r="TLK70" s="122"/>
      <c r="TLL70" s="122"/>
      <c r="TLM70" s="122"/>
      <c r="TLN70" s="122"/>
      <c r="TLO70" s="122"/>
      <c r="TLP70" s="122"/>
      <c r="TLQ70" s="122"/>
      <c r="TLR70" s="122"/>
      <c r="TLS70" s="122"/>
      <c r="TLT70" s="122"/>
      <c r="TLU70" s="122"/>
      <c r="TLV70" s="122"/>
      <c r="TLW70" s="122"/>
      <c r="TLX70" s="122"/>
      <c r="TLY70" s="122"/>
      <c r="TLZ70" s="122"/>
      <c r="TMA70" s="122"/>
      <c r="TMB70" s="122"/>
      <c r="TMC70" s="122"/>
      <c r="TMD70" s="122"/>
      <c r="TME70" s="122"/>
      <c r="TMF70" s="122"/>
      <c r="TMG70" s="122"/>
      <c r="TMH70" s="122"/>
      <c r="TMI70" s="122"/>
      <c r="TMJ70" s="122"/>
      <c r="TMK70" s="122"/>
      <c r="TML70" s="122"/>
      <c r="TMM70" s="122"/>
      <c r="TMN70" s="122"/>
      <c r="TMO70" s="122"/>
      <c r="TMP70" s="122"/>
      <c r="TMQ70" s="122"/>
      <c r="TMR70" s="122"/>
      <c r="TMS70" s="122"/>
      <c r="TMT70" s="122"/>
      <c r="TMU70" s="122"/>
      <c r="TMV70" s="122"/>
      <c r="TMW70" s="122"/>
      <c r="TMX70" s="122"/>
      <c r="TMY70" s="122"/>
      <c r="TMZ70" s="122"/>
      <c r="TNA70" s="122"/>
      <c r="TNB70" s="122"/>
      <c r="TNC70" s="122"/>
      <c r="TND70" s="122"/>
      <c r="TNE70" s="122"/>
      <c r="TNF70" s="122"/>
      <c r="TNG70" s="122"/>
      <c r="TNH70" s="122"/>
      <c r="TNI70" s="122"/>
      <c r="TNJ70" s="122"/>
      <c r="TNK70" s="122"/>
      <c r="TNL70" s="122"/>
      <c r="TNM70" s="122"/>
      <c r="TNN70" s="122"/>
      <c r="TNO70" s="122"/>
      <c r="TNP70" s="122"/>
      <c r="TNQ70" s="122"/>
      <c r="TNR70" s="122"/>
      <c r="TNS70" s="122"/>
      <c r="TNT70" s="122"/>
      <c r="TNU70" s="122"/>
      <c r="TNV70" s="122"/>
      <c r="TNW70" s="122"/>
      <c r="TNX70" s="122"/>
      <c r="TNY70" s="122"/>
      <c r="TNZ70" s="122"/>
      <c r="TOA70" s="122"/>
      <c r="TOB70" s="122"/>
      <c r="TOC70" s="122"/>
      <c r="TOD70" s="122"/>
      <c r="TOE70" s="122"/>
      <c r="TOF70" s="122"/>
      <c r="TOG70" s="122"/>
      <c r="TOH70" s="122"/>
      <c r="TOI70" s="122"/>
      <c r="TOJ70" s="122"/>
      <c r="TOK70" s="122"/>
      <c r="TOL70" s="122"/>
      <c r="TOM70" s="122"/>
      <c r="TON70" s="122"/>
      <c r="TOO70" s="122"/>
      <c r="TOP70" s="122"/>
      <c r="TOQ70" s="122"/>
      <c r="TOR70" s="122"/>
      <c r="TOS70" s="122"/>
      <c r="TOT70" s="122"/>
      <c r="TOU70" s="122"/>
      <c r="TOV70" s="122"/>
      <c r="TOW70" s="122"/>
      <c r="TOX70" s="122"/>
      <c r="TOY70" s="122"/>
      <c r="TOZ70" s="122"/>
      <c r="TPA70" s="122"/>
      <c r="TPB70" s="122"/>
      <c r="TPC70" s="122"/>
      <c r="TPD70" s="122"/>
      <c r="TPE70" s="122"/>
      <c r="TPF70" s="122"/>
      <c r="TPG70" s="122"/>
      <c r="TPH70" s="122"/>
      <c r="TPI70" s="122"/>
      <c r="TPJ70" s="122"/>
      <c r="TPK70" s="122"/>
      <c r="TPL70" s="122"/>
      <c r="TPM70" s="122"/>
      <c r="TPN70" s="122"/>
      <c r="TPO70" s="122"/>
      <c r="TPP70" s="122"/>
      <c r="TPQ70" s="122"/>
      <c r="TPR70" s="122"/>
      <c r="TPS70" s="122"/>
      <c r="TPT70" s="122"/>
      <c r="TPU70" s="122"/>
      <c r="TPV70" s="122"/>
      <c r="TPW70" s="122"/>
      <c r="TPX70" s="122"/>
      <c r="TPY70" s="122"/>
      <c r="TPZ70" s="122"/>
      <c r="TQA70" s="122"/>
      <c r="TQB70" s="122"/>
      <c r="TQC70" s="122"/>
      <c r="TQD70" s="122"/>
      <c r="TQE70" s="122"/>
      <c r="TQF70" s="122"/>
      <c r="TQG70" s="122"/>
      <c r="TQH70" s="122"/>
      <c r="TQI70" s="122"/>
      <c r="TQJ70" s="122"/>
      <c r="TQK70" s="122"/>
      <c r="TQL70" s="122"/>
      <c r="TQM70" s="122"/>
      <c r="TQN70" s="122"/>
      <c r="TQO70" s="122"/>
      <c r="TQP70" s="122"/>
      <c r="TQQ70" s="122"/>
      <c r="TQR70" s="122"/>
      <c r="TQS70" s="122"/>
      <c r="TQT70" s="122"/>
      <c r="TQU70" s="122"/>
      <c r="TQV70" s="122"/>
      <c r="TQW70" s="122"/>
      <c r="TQX70" s="122"/>
      <c r="TQY70" s="122"/>
      <c r="TQZ70" s="122"/>
      <c r="TRA70" s="122"/>
      <c r="TRB70" s="122"/>
      <c r="TRC70" s="122"/>
      <c r="TRD70" s="122"/>
      <c r="TRE70" s="122"/>
      <c r="TRF70" s="122"/>
      <c r="TRG70" s="122"/>
      <c r="TRH70" s="122"/>
      <c r="TRI70" s="122"/>
      <c r="TRJ70" s="122"/>
      <c r="TRK70" s="122"/>
      <c r="TRL70" s="122"/>
      <c r="TRM70" s="122"/>
      <c r="TRN70" s="122"/>
      <c r="TRO70" s="122"/>
      <c r="TRP70" s="122"/>
      <c r="TRQ70" s="122"/>
      <c r="TRR70" s="122"/>
      <c r="TRS70" s="122"/>
      <c r="TRT70" s="122"/>
      <c r="TRU70" s="122"/>
      <c r="TRV70" s="122"/>
      <c r="TRW70" s="122"/>
      <c r="TRX70" s="122"/>
      <c r="TRY70" s="122"/>
      <c r="TRZ70" s="122"/>
      <c r="TSA70" s="122"/>
      <c r="TSB70" s="122"/>
      <c r="TSC70" s="122"/>
      <c r="TSD70" s="122"/>
      <c r="TSE70" s="122"/>
      <c r="TSF70" s="122"/>
      <c r="TSG70" s="122"/>
      <c r="TSH70" s="122"/>
      <c r="TSI70" s="122"/>
      <c r="TSJ70" s="122"/>
      <c r="TSK70" s="122"/>
      <c r="TSL70" s="122"/>
      <c r="TSM70" s="122"/>
      <c r="TSN70" s="122"/>
      <c r="TSO70" s="122"/>
      <c r="TSP70" s="122"/>
      <c r="TSQ70" s="122"/>
      <c r="TSR70" s="122"/>
      <c r="TSS70" s="122"/>
      <c r="TST70" s="122"/>
      <c r="TSU70" s="122"/>
      <c r="TSV70" s="122"/>
      <c r="TSW70" s="122"/>
      <c r="TSX70" s="122"/>
      <c r="TSY70" s="122"/>
      <c r="TSZ70" s="122"/>
      <c r="TTA70" s="122"/>
      <c r="TTB70" s="122"/>
      <c r="TTC70" s="122"/>
      <c r="TTD70" s="122"/>
      <c r="TTE70" s="122"/>
      <c r="TTF70" s="122"/>
      <c r="TTG70" s="122"/>
      <c r="TTH70" s="122"/>
      <c r="TTI70" s="122"/>
      <c r="TTJ70" s="122"/>
      <c r="TTK70" s="122"/>
      <c r="TTL70" s="122"/>
      <c r="TTM70" s="122"/>
      <c r="TTN70" s="122"/>
      <c r="TTO70" s="122"/>
      <c r="TTP70" s="122"/>
      <c r="TTQ70" s="122"/>
      <c r="TTR70" s="122"/>
      <c r="TTS70" s="122"/>
      <c r="TTT70" s="122"/>
      <c r="TTU70" s="122"/>
      <c r="TTV70" s="122"/>
      <c r="TTW70" s="122"/>
      <c r="TTX70" s="122"/>
      <c r="TTY70" s="122"/>
      <c r="TTZ70" s="122"/>
      <c r="TUA70" s="122"/>
      <c r="TUB70" s="122"/>
      <c r="TUC70" s="122"/>
      <c r="TUD70" s="122"/>
      <c r="TUE70" s="122"/>
      <c r="TUF70" s="122"/>
      <c r="TUG70" s="122"/>
      <c r="TUH70" s="122"/>
      <c r="TUI70" s="122"/>
      <c r="TUJ70" s="122"/>
      <c r="TUK70" s="122"/>
      <c r="TUL70" s="122"/>
      <c r="TUM70" s="122"/>
      <c r="TUN70" s="122"/>
      <c r="TUO70" s="122"/>
      <c r="TUP70" s="122"/>
      <c r="TUQ70" s="122"/>
      <c r="TUR70" s="122"/>
      <c r="TUS70" s="122"/>
      <c r="TUT70" s="122"/>
      <c r="TUU70" s="122"/>
      <c r="TUV70" s="122"/>
      <c r="TUW70" s="122"/>
      <c r="TUX70" s="122"/>
      <c r="TUY70" s="122"/>
      <c r="TUZ70" s="122"/>
      <c r="TVA70" s="122"/>
      <c r="TVB70" s="122"/>
      <c r="TVC70" s="122"/>
      <c r="TVD70" s="122"/>
      <c r="TVE70" s="122"/>
      <c r="TVF70" s="122"/>
      <c r="TVG70" s="122"/>
      <c r="TVH70" s="122"/>
      <c r="TVI70" s="122"/>
      <c r="TVJ70" s="122"/>
      <c r="TVK70" s="122"/>
      <c r="TVL70" s="122"/>
      <c r="TVM70" s="122"/>
      <c r="TVN70" s="122"/>
      <c r="TVO70" s="122"/>
      <c r="TVP70" s="122"/>
      <c r="TVQ70" s="122"/>
      <c r="TVR70" s="122"/>
      <c r="TVS70" s="122"/>
      <c r="TVT70" s="122"/>
      <c r="TVU70" s="122"/>
      <c r="TVV70" s="122"/>
      <c r="TVW70" s="122"/>
      <c r="TVX70" s="122"/>
      <c r="TVY70" s="122"/>
      <c r="TVZ70" s="122"/>
      <c r="TWA70" s="122"/>
      <c r="TWB70" s="122"/>
      <c r="TWC70" s="122"/>
      <c r="TWD70" s="122"/>
      <c r="TWE70" s="122"/>
      <c r="TWF70" s="122"/>
      <c r="TWG70" s="122"/>
      <c r="TWH70" s="122"/>
      <c r="TWI70" s="122"/>
      <c r="TWJ70" s="122"/>
      <c r="TWK70" s="122"/>
      <c r="TWL70" s="122"/>
      <c r="TWM70" s="122"/>
      <c r="TWN70" s="122"/>
      <c r="TWO70" s="122"/>
      <c r="TWP70" s="122"/>
      <c r="TWQ70" s="122"/>
      <c r="TWR70" s="122"/>
      <c r="TWS70" s="122"/>
      <c r="TWT70" s="122"/>
      <c r="TWU70" s="122"/>
      <c r="TWV70" s="122"/>
      <c r="TWW70" s="122"/>
      <c r="TWX70" s="122"/>
      <c r="TWY70" s="122"/>
      <c r="TWZ70" s="122"/>
      <c r="TXA70" s="122"/>
      <c r="TXB70" s="122"/>
      <c r="TXC70" s="122"/>
      <c r="TXD70" s="122"/>
      <c r="TXE70" s="122"/>
      <c r="TXF70" s="122"/>
      <c r="TXG70" s="122"/>
      <c r="TXH70" s="122"/>
      <c r="TXI70" s="122"/>
      <c r="TXJ70" s="122"/>
      <c r="TXK70" s="122"/>
      <c r="TXL70" s="122"/>
      <c r="TXM70" s="122"/>
      <c r="TXN70" s="122"/>
      <c r="TXO70" s="122"/>
      <c r="TXP70" s="122"/>
      <c r="TXQ70" s="122"/>
      <c r="TXR70" s="122"/>
      <c r="TXS70" s="122"/>
      <c r="TXT70" s="122"/>
      <c r="TXU70" s="122"/>
      <c r="TXV70" s="122"/>
      <c r="TXW70" s="122"/>
      <c r="TXX70" s="122"/>
      <c r="TXY70" s="122"/>
      <c r="TXZ70" s="122"/>
      <c r="TYA70" s="122"/>
      <c r="TYB70" s="122"/>
      <c r="TYC70" s="122"/>
      <c r="TYD70" s="122"/>
      <c r="TYE70" s="122"/>
      <c r="TYF70" s="122"/>
      <c r="TYG70" s="122"/>
      <c r="TYH70" s="122"/>
      <c r="TYI70" s="122"/>
      <c r="TYJ70" s="122"/>
      <c r="TYK70" s="122"/>
      <c r="TYL70" s="122"/>
      <c r="TYM70" s="122"/>
      <c r="TYN70" s="122"/>
      <c r="TYO70" s="122"/>
      <c r="TYP70" s="122"/>
      <c r="TYQ70" s="122"/>
      <c r="TYR70" s="122"/>
      <c r="TYS70" s="122"/>
      <c r="TYT70" s="122"/>
      <c r="TYU70" s="122"/>
      <c r="TYV70" s="122"/>
      <c r="TYW70" s="122"/>
      <c r="TYX70" s="122"/>
      <c r="TYY70" s="122"/>
      <c r="TYZ70" s="122"/>
      <c r="TZA70" s="122"/>
      <c r="TZB70" s="122"/>
      <c r="TZC70" s="122"/>
      <c r="TZD70" s="122"/>
      <c r="TZE70" s="122"/>
      <c r="TZF70" s="122"/>
      <c r="TZG70" s="122"/>
      <c r="TZH70" s="122"/>
      <c r="TZI70" s="122"/>
      <c r="TZJ70" s="122"/>
      <c r="TZK70" s="122"/>
      <c r="TZL70" s="122"/>
      <c r="TZM70" s="122"/>
      <c r="TZN70" s="122"/>
      <c r="TZO70" s="122"/>
      <c r="TZP70" s="122"/>
      <c r="TZQ70" s="122"/>
      <c r="TZR70" s="122"/>
      <c r="TZS70" s="122"/>
      <c r="TZT70" s="122"/>
      <c r="TZU70" s="122"/>
      <c r="TZV70" s="122"/>
      <c r="TZW70" s="122"/>
      <c r="TZX70" s="122"/>
      <c r="TZY70" s="122"/>
      <c r="TZZ70" s="122"/>
      <c r="UAA70" s="122"/>
      <c r="UAB70" s="122"/>
      <c r="UAC70" s="122"/>
      <c r="UAD70" s="122"/>
      <c r="UAE70" s="122"/>
      <c r="UAF70" s="122"/>
      <c r="UAG70" s="122"/>
      <c r="UAH70" s="122"/>
      <c r="UAI70" s="122"/>
      <c r="UAJ70" s="122"/>
      <c r="UAK70" s="122"/>
      <c r="UAL70" s="122"/>
      <c r="UAM70" s="122"/>
      <c r="UAN70" s="122"/>
      <c r="UAO70" s="122"/>
      <c r="UAP70" s="122"/>
      <c r="UAQ70" s="122"/>
      <c r="UAR70" s="122"/>
      <c r="UAS70" s="122"/>
      <c r="UAT70" s="122"/>
      <c r="UAU70" s="122"/>
      <c r="UAV70" s="122"/>
      <c r="UAW70" s="122"/>
      <c r="UAX70" s="122"/>
      <c r="UAY70" s="122"/>
      <c r="UAZ70" s="122"/>
      <c r="UBA70" s="122"/>
      <c r="UBB70" s="122"/>
      <c r="UBC70" s="122"/>
      <c r="UBD70" s="122"/>
      <c r="UBE70" s="122"/>
      <c r="UBF70" s="122"/>
      <c r="UBG70" s="122"/>
      <c r="UBH70" s="122"/>
      <c r="UBI70" s="122"/>
      <c r="UBJ70" s="122"/>
      <c r="UBK70" s="122"/>
      <c r="UBL70" s="122"/>
      <c r="UBM70" s="122"/>
      <c r="UBN70" s="122"/>
      <c r="UBO70" s="122"/>
      <c r="UBP70" s="122"/>
      <c r="UBQ70" s="122"/>
      <c r="UBR70" s="122"/>
      <c r="UBS70" s="122"/>
      <c r="UBT70" s="122"/>
      <c r="UBU70" s="122"/>
      <c r="UBV70" s="122"/>
      <c r="UBW70" s="122"/>
      <c r="UBX70" s="122"/>
      <c r="UBY70" s="122"/>
      <c r="UBZ70" s="122"/>
      <c r="UCA70" s="122"/>
      <c r="UCB70" s="122"/>
      <c r="UCC70" s="122"/>
      <c r="UCD70" s="122"/>
      <c r="UCE70" s="122"/>
      <c r="UCF70" s="122"/>
      <c r="UCG70" s="122"/>
      <c r="UCH70" s="122"/>
      <c r="UCI70" s="122"/>
      <c r="UCJ70" s="122"/>
      <c r="UCK70" s="122"/>
      <c r="UCL70" s="122"/>
      <c r="UCM70" s="122"/>
      <c r="UCN70" s="122"/>
      <c r="UCO70" s="122"/>
      <c r="UCP70" s="122"/>
      <c r="UCQ70" s="122"/>
      <c r="UCR70" s="122"/>
      <c r="UCS70" s="122"/>
      <c r="UCT70" s="122"/>
      <c r="UCU70" s="122"/>
      <c r="UCV70" s="122"/>
      <c r="UCW70" s="122"/>
      <c r="UCX70" s="122"/>
      <c r="UCY70" s="122"/>
      <c r="UCZ70" s="122"/>
      <c r="UDA70" s="122"/>
      <c r="UDB70" s="122"/>
      <c r="UDC70" s="122"/>
      <c r="UDD70" s="122"/>
      <c r="UDE70" s="122"/>
      <c r="UDF70" s="122"/>
      <c r="UDG70" s="122"/>
      <c r="UDH70" s="122"/>
      <c r="UDI70" s="122"/>
      <c r="UDJ70" s="122"/>
      <c r="UDK70" s="122"/>
      <c r="UDL70" s="122"/>
      <c r="UDM70" s="122"/>
      <c r="UDN70" s="122"/>
      <c r="UDO70" s="122"/>
      <c r="UDP70" s="122"/>
      <c r="UDQ70" s="122"/>
      <c r="UDR70" s="122"/>
      <c r="UDS70" s="122"/>
      <c r="UDT70" s="122"/>
      <c r="UDU70" s="122"/>
      <c r="UDV70" s="122"/>
      <c r="UDW70" s="122"/>
      <c r="UDX70" s="122"/>
      <c r="UDY70" s="122"/>
      <c r="UDZ70" s="122"/>
      <c r="UEA70" s="122"/>
      <c r="UEB70" s="122"/>
      <c r="UEC70" s="122"/>
      <c r="UED70" s="122"/>
      <c r="UEE70" s="122"/>
      <c r="UEF70" s="122"/>
      <c r="UEG70" s="122"/>
      <c r="UEH70" s="122"/>
      <c r="UEI70" s="122"/>
      <c r="UEJ70" s="122"/>
      <c r="UEK70" s="122"/>
      <c r="UEL70" s="122"/>
      <c r="UEM70" s="122"/>
      <c r="UEN70" s="122"/>
      <c r="UEO70" s="122"/>
      <c r="UEP70" s="122"/>
      <c r="UEQ70" s="122"/>
      <c r="UER70" s="122"/>
      <c r="UES70" s="122"/>
      <c r="UET70" s="122"/>
      <c r="UEU70" s="122"/>
      <c r="UEV70" s="122"/>
      <c r="UEW70" s="122"/>
      <c r="UEX70" s="122"/>
      <c r="UEY70" s="122"/>
      <c r="UEZ70" s="122"/>
      <c r="UFA70" s="122"/>
      <c r="UFB70" s="122"/>
      <c r="UFC70" s="122"/>
      <c r="UFD70" s="122"/>
      <c r="UFE70" s="122"/>
      <c r="UFF70" s="122"/>
      <c r="UFG70" s="122"/>
      <c r="UFH70" s="122"/>
      <c r="UFI70" s="122"/>
      <c r="UFJ70" s="122"/>
      <c r="UFK70" s="122"/>
      <c r="UFL70" s="122"/>
      <c r="UFM70" s="122"/>
      <c r="UFN70" s="122"/>
      <c r="UFO70" s="122"/>
      <c r="UFP70" s="122"/>
      <c r="UFQ70" s="122"/>
      <c r="UFR70" s="122"/>
      <c r="UFS70" s="122"/>
      <c r="UFT70" s="122"/>
      <c r="UFU70" s="122"/>
      <c r="UFV70" s="122"/>
      <c r="UFW70" s="122"/>
      <c r="UFX70" s="122"/>
      <c r="UFY70" s="122"/>
      <c r="UFZ70" s="122"/>
      <c r="UGA70" s="122"/>
      <c r="UGB70" s="122"/>
      <c r="UGC70" s="122"/>
      <c r="UGD70" s="122"/>
      <c r="UGE70" s="122"/>
      <c r="UGF70" s="122"/>
      <c r="UGG70" s="122"/>
      <c r="UGH70" s="122"/>
      <c r="UGI70" s="122"/>
      <c r="UGJ70" s="122"/>
      <c r="UGK70" s="122"/>
      <c r="UGL70" s="122"/>
      <c r="UGM70" s="122"/>
      <c r="UGN70" s="122"/>
      <c r="UGO70" s="122"/>
      <c r="UGP70" s="122"/>
      <c r="UGQ70" s="122"/>
      <c r="UGR70" s="122"/>
      <c r="UGS70" s="122"/>
      <c r="UGT70" s="122"/>
      <c r="UGU70" s="122"/>
      <c r="UGV70" s="122"/>
      <c r="UGW70" s="122"/>
      <c r="UGX70" s="122"/>
      <c r="UGY70" s="122"/>
      <c r="UGZ70" s="122"/>
      <c r="UHA70" s="122"/>
      <c r="UHB70" s="122"/>
      <c r="UHC70" s="122"/>
      <c r="UHD70" s="122"/>
      <c r="UHE70" s="122"/>
      <c r="UHF70" s="122"/>
      <c r="UHG70" s="122"/>
      <c r="UHH70" s="122"/>
      <c r="UHI70" s="122"/>
      <c r="UHJ70" s="122"/>
      <c r="UHK70" s="122"/>
      <c r="UHL70" s="122"/>
      <c r="UHM70" s="122"/>
      <c r="UHN70" s="122"/>
      <c r="UHO70" s="122"/>
      <c r="UHP70" s="122"/>
      <c r="UHQ70" s="122"/>
      <c r="UHR70" s="122"/>
      <c r="UHS70" s="122"/>
      <c r="UHT70" s="122"/>
      <c r="UHU70" s="122"/>
      <c r="UHV70" s="122"/>
      <c r="UHW70" s="122"/>
      <c r="UHX70" s="122"/>
      <c r="UHY70" s="122"/>
      <c r="UHZ70" s="122"/>
      <c r="UIA70" s="122"/>
      <c r="UIB70" s="122"/>
      <c r="UIC70" s="122"/>
      <c r="UID70" s="122"/>
      <c r="UIE70" s="122"/>
      <c r="UIF70" s="122"/>
      <c r="UIG70" s="122"/>
      <c r="UIH70" s="122"/>
      <c r="UII70" s="122"/>
      <c r="UIJ70" s="122"/>
      <c r="UIK70" s="122"/>
      <c r="UIL70" s="122"/>
      <c r="UIM70" s="122"/>
      <c r="UIN70" s="122"/>
      <c r="UIO70" s="122"/>
      <c r="UIP70" s="122"/>
      <c r="UIQ70" s="122"/>
      <c r="UIR70" s="122"/>
      <c r="UIS70" s="122"/>
      <c r="UIT70" s="122"/>
      <c r="UIU70" s="122"/>
      <c r="UIV70" s="122"/>
      <c r="UIW70" s="122"/>
      <c r="UIX70" s="122"/>
      <c r="UIY70" s="122"/>
      <c r="UIZ70" s="122"/>
      <c r="UJA70" s="122"/>
      <c r="UJB70" s="122"/>
      <c r="UJC70" s="122"/>
      <c r="UJD70" s="122"/>
      <c r="UJE70" s="122"/>
      <c r="UJF70" s="122"/>
      <c r="UJG70" s="122"/>
      <c r="UJH70" s="122"/>
      <c r="UJI70" s="122"/>
      <c r="UJJ70" s="122"/>
      <c r="UJK70" s="122"/>
      <c r="UJL70" s="122"/>
      <c r="UJM70" s="122"/>
      <c r="UJN70" s="122"/>
      <c r="UJO70" s="122"/>
      <c r="UJP70" s="122"/>
      <c r="UJQ70" s="122"/>
      <c r="UJR70" s="122"/>
      <c r="UJS70" s="122"/>
      <c r="UJT70" s="122"/>
      <c r="UJU70" s="122"/>
      <c r="UJV70" s="122"/>
      <c r="UJW70" s="122"/>
      <c r="UJX70" s="122"/>
      <c r="UJY70" s="122"/>
      <c r="UJZ70" s="122"/>
      <c r="UKA70" s="122"/>
      <c r="UKB70" s="122"/>
      <c r="UKC70" s="122"/>
      <c r="UKD70" s="122"/>
      <c r="UKE70" s="122"/>
      <c r="UKF70" s="122"/>
      <c r="UKG70" s="122"/>
      <c r="UKH70" s="122"/>
      <c r="UKI70" s="122"/>
      <c r="UKJ70" s="122"/>
      <c r="UKK70" s="122"/>
      <c r="UKL70" s="122"/>
      <c r="UKM70" s="122"/>
      <c r="UKN70" s="122"/>
      <c r="UKO70" s="122"/>
      <c r="UKP70" s="122"/>
      <c r="UKQ70" s="122"/>
      <c r="UKR70" s="122"/>
      <c r="UKS70" s="122"/>
      <c r="UKT70" s="122"/>
      <c r="UKU70" s="122"/>
      <c r="UKV70" s="122"/>
      <c r="UKW70" s="122"/>
      <c r="UKX70" s="122"/>
      <c r="UKY70" s="122"/>
      <c r="UKZ70" s="122"/>
      <c r="ULA70" s="122"/>
      <c r="ULB70" s="122"/>
      <c r="ULC70" s="122"/>
      <c r="ULD70" s="122"/>
      <c r="ULE70" s="122"/>
      <c r="ULF70" s="122"/>
      <c r="ULG70" s="122"/>
      <c r="ULH70" s="122"/>
      <c r="ULI70" s="122"/>
      <c r="ULJ70" s="122"/>
      <c r="ULK70" s="122"/>
      <c r="ULL70" s="122"/>
      <c r="ULM70" s="122"/>
      <c r="ULN70" s="122"/>
      <c r="ULO70" s="122"/>
      <c r="ULP70" s="122"/>
      <c r="ULQ70" s="122"/>
      <c r="ULR70" s="122"/>
      <c r="ULS70" s="122"/>
      <c r="ULT70" s="122"/>
      <c r="ULU70" s="122"/>
      <c r="ULV70" s="122"/>
      <c r="ULW70" s="122"/>
      <c r="ULX70" s="122"/>
      <c r="ULY70" s="122"/>
      <c r="ULZ70" s="122"/>
      <c r="UMA70" s="122"/>
      <c r="UMB70" s="122"/>
      <c r="UMC70" s="122"/>
      <c r="UMD70" s="122"/>
      <c r="UME70" s="122"/>
      <c r="UMF70" s="122"/>
      <c r="UMG70" s="122"/>
      <c r="UMH70" s="122"/>
      <c r="UMI70" s="122"/>
      <c r="UMJ70" s="122"/>
      <c r="UMK70" s="122"/>
      <c r="UML70" s="122"/>
      <c r="UMM70" s="122"/>
      <c r="UMN70" s="122"/>
      <c r="UMO70" s="122"/>
      <c r="UMP70" s="122"/>
      <c r="UMQ70" s="122"/>
      <c r="UMR70" s="122"/>
      <c r="UMS70" s="122"/>
      <c r="UMT70" s="122"/>
      <c r="UMU70" s="122"/>
      <c r="UMV70" s="122"/>
      <c r="UMW70" s="122"/>
      <c r="UMX70" s="122"/>
      <c r="UMY70" s="122"/>
      <c r="UMZ70" s="122"/>
      <c r="UNA70" s="122"/>
      <c r="UNB70" s="122"/>
      <c r="UNC70" s="122"/>
      <c r="UND70" s="122"/>
      <c r="UNE70" s="122"/>
      <c r="UNF70" s="122"/>
      <c r="UNG70" s="122"/>
      <c r="UNH70" s="122"/>
      <c r="UNI70" s="122"/>
      <c r="UNJ70" s="122"/>
      <c r="UNK70" s="122"/>
      <c r="UNL70" s="122"/>
      <c r="UNM70" s="122"/>
      <c r="UNN70" s="122"/>
      <c r="UNO70" s="122"/>
      <c r="UNP70" s="122"/>
      <c r="UNQ70" s="122"/>
      <c r="UNR70" s="122"/>
      <c r="UNS70" s="122"/>
      <c r="UNT70" s="122"/>
      <c r="UNU70" s="122"/>
      <c r="UNV70" s="122"/>
      <c r="UNW70" s="122"/>
      <c r="UNX70" s="122"/>
      <c r="UNY70" s="122"/>
      <c r="UNZ70" s="122"/>
      <c r="UOA70" s="122"/>
      <c r="UOB70" s="122"/>
      <c r="UOC70" s="122"/>
      <c r="UOD70" s="122"/>
      <c r="UOE70" s="122"/>
      <c r="UOF70" s="122"/>
      <c r="UOG70" s="122"/>
      <c r="UOH70" s="122"/>
      <c r="UOI70" s="122"/>
      <c r="UOJ70" s="122"/>
      <c r="UOK70" s="122"/>
      <c r="UOL70" s="122"/>
      <c r="UOM70" s="122"/>
      <c r="UON70" s="122"/>
      <c r="UOO70" s="122"/>
      <c r="UOP70" s="122"/>
      <c r="UOQ70" s="122"/>
      <c r="UOR70" s="122"/>
      <c r="UOS70" s="122"/>
      <c r="UOT70" s="122"/>
      <c r="UOU70" s="122"/>
      <c r="UOV70" s="122"/>
      <c r="UOW70" s="122"/>
      <c r="UOX70" s="122"/>
      <c r="UOY70" s="122"/>
      <c r="UOZ70" s="122"/>
      <c r="UPA70" s="122"/>
      <c r="UPB70" s="122"/>
      <c r="UPC70" s="122"/>
      <c r="UPD70" s="122"/>
      <c r="UPE70" s="122"/>
      <c r="UPF70" s="122"/>
      <c r="UPG70" s="122"/>
      <c r="UPH70" s="122"/>
      <c r="UPI70" s="122"/>
      <c r="UPJ70" s="122"/>
      <c r="UPK70" s="122"/>
      <c r="UPL70" s="122"/>
      <c r="UPM70" s="122"/>
      <c r="UPN70" s="122"/>
      <c r="UPO70" s="122"/>
      <c r="UPP70" s="122"/>
      <c r="UPQ70" s="122"/>
      <c r="UPR70" s="122"/>
      <c r="UPS70" s="122"/>
      <c r="UPT70" s="122"/>
      <c r="UPU70" s="122"/>
      <c r="UPV70" s="122"/>
      <c r="UPW70" s="122"/>
      <c r="UPX70" s="122"/>
      <c r="UPY70" s="122"/>
      <c r="UPZ70" s="122"/>
      <c r="UQA70" s="122"/>
      <c r="UQB70" s="122"/>
      <c r="UQC70" s="122"/>
      <c r="UQD70" s="122"/>
      <c r="UQE70" s="122"/>
      <c r="UQF70" s="122"/>
      <c r="UQG70" s="122"/>
      <c r="UQH70" s="122"/>
      <c r="UQI70" s="122"/>
      <c r="UQJ70" s="122"/>
      <c r="UQK70" s="122"/>
      <c r="UQL70" s="122"/>
      <c r="UQM70" s="122"/>
      <c r="UQN70" s="122"/>
      <c r="UQO70" s="122"/>
      <c r="UQP70" s="122"/>
      <c r="UQQ70" s="122"/>
      <c r="UQR70" s="122"/>
      <c r="UQS70" s="122"/>
      <c r="UQT70" s="122"/>
      <c r="UQU70" s="122"/>
      <c r="UQV70" s="122"/>
      <c r="UQW70" s="122"/>
      <c r="UQX70" s="122"/>
      <c r="UQY70" s="122"/>
      <c r="UQZ70" s="122"/>
      <c r="URA70" s="122"/>
      <c r="URB70" s="122"/>
      <c r="URC70" s="122"/>
      <c r="URD70" s="122"/>
      <c r="URE70" s="122"/>
      <c r="URF70" s="122"/>
      <c r="URG70" s="122"/>
      <c r="URH70" s="122"/>
      <c r="URI70" s="122"/>
      <c r="URJ70" s="122"/>
      <c r="URK70" s="122"/>
      <c r="URL70" s="122"/>
      <c r="URM70" s="122"/>
      <c r="URN70" s="122"/>
      <c r="URO70" s="122"/>
      <c r="URP70" s="122"/>
      <c r="URQ70" s="122"/>
      <c r="URR70" s="122"/>
      <c r="URS70" s="122"/>
      <c r="URT70" s="122"/>
      <c r="URU70" s="122"/>
      <c r="URV70" s="122"/>
      <c r="URW70" s="122"/>
      <c r="URX70" s="122"/>
      <c r="URY70" s="122"/>
      <c r="URZ70" s="122"/>
      <c r="USA70" s="122"/>
      <c r="USB70" s="122"/>
      <c r="USC70" s="122"/>
      <c r="USD70" s="122"/>
      <c r="USE70" s="122"/>
      <c r="USF70" s="122"/>
      <c r="USG70" s="122"/>
      <c r="USH70" s="122"/>
      <c r="USI70" s="122"/>
      <c r="USJ70" s="122"/>
      <c r="USK70" s="122"/>
      <c r="USL70" s="122"/>
      <c r="USM70" s="122"/>
      <c r="USN70" s="122"/>
      <c r="USO70" s="122"/>
      <c r="USP70" s="122"/>
      <c r="USQ70" s="122"/>
      <c r="USR70" s="122"/>
      <c r="USS70" s="122"/>
      <c r="UST70" s="122"/>
      <c r="USU70" s="122"/>
      <c r="USV70" s="122"/>
      <c r="USW70" s="122"/>
      <c r="USX70" s="122"/>
      <c r="USY70" s="122"/>
      <c r="USZ70" s="122"/>
      <c r="UTA70" s="122"/>
      <c r="UTB70" s="122"/>
      <c r="UTC70" s="122"/>
      <c r="UTD70" s="122"/>
      <c r="UTE70" s="122"/>
      <c r="UTF70" s="122"/>
      <c r="UTG70" s="122"/>
      <c r="UTH70" s="122"/>
      <c r="UTI70" s="122"/>
      <c r="UTJ70" s="122"/>
      <c r="UTK70" s="122"/>
      <c r="UTL70" s="122"/>
      <c r="UTM70" s="122"/>
      <c r="UTN70" s="122"/>
      <c r="UTO70" s="122"/>
      <c r="UTP70" s="122"/>
      <c r="UTQ70" s="122"/>
      <c r="UTR70" s="122"/>
      <c r="UTS70" s="122"/>
      <c r="UTT70" s="122"/>
      <c r="UTU70" s="122"/>
      <c r="UTV70" s="122"/>
      <c r="UTW70" s="122"/>
      <c r="UTX70" s="122"/>
      <c r="UTY70" s="122"/>
      <c r="UTZ70" s="122"/>
      <c r="UUA70" s="122"/>
      <c r="UUB70" s="122"/>
      <c r="UUC70" s="122"/>
      <c r="UUD70" s="122"/>
      <c r="UUE70" s="122"/>
      <c r="UUF70" s="122"/>
      <c r="UUG70" s="122"/>
      <c r="UUH70" s="122"/>
      <c r="UUI70" s="122"/>
      <c r="UUJ70" s="122"/>
      <c r="UUK70" s="122"/>
      <c r="UUL70" s="122"/>
      <c r="UUM70" s="122"/>
      <c r="UUN70" s="122"/>
      <c r="UUO70" s="122"/>
      <c r="UUP70" s="122"/>
      <c r="UUQ70" s="122"/>
      <c r="UUR70" s="122"/>
      <c r="UUS70" s="122"/>
      <c r="UUT70" s="122"/>
      <c r="UUU70" s="122"/>
      <c r="UUV70" s="122"/>
      <c r="UUW70" s="122"/>
      <c r="UUX70" s="122"/>
      <c r="UUY70" s="122"/>
      <c r="UUZ70" s="122"/>
      <c r="UVA70" s="122"/>
      <c r="UVB70" s="122"/>
      <c r="UVC70" s="122"/>
      <c r="UVD70" s="122"/>
      <c r="UVE70" s="122"/>
      <c r="UVF70" s="122"/>
      <c r="UVG70" s="122"/>
      <c r="UVH70" s="122"/>
      <c r="UVI70" s="122"/>
      <c r="UVJ70" s="122"/>
      <c r="UVK70" s="122"/>
      <c r="UVL70" s="122"/>
      <c r="UVM70" s="122"/>
      <c r="UVN70" s="122"/>
      <c r="UVO70" s="122"/>
      <c r="UVP70" s="122"/>
      <c r="UVQ70" s="122"/>
      <c r="UVR70" s="122"/>
      <c r="UVS70" s="122"/>
      <c r="UVT70" s="122"/>
      <c r="UVU70" s="122"/>
      <c r="UVV70" s="122"/>
      <c r="UVW70" s="122"/>
      <c r="UVX70" s="122"/>
      <c r="UVY70" s="122"/>
      <c r="UVZ70" s="122"/>
      <c r="UWA70" s="122"/>
      <c r="UWB70" s="122"/>
      <c r="UWC70" s="122"/>
      <c r="UWD70" s="122"/>
      <c r="UWE70" s="122"/>
      <c r="UWF70" s="122"/>
      <c r="UWG70" s="122"/>
      <c r="UWH70" s="122"/>
      <c r="UWI70" s="122"/>
      <c r="UWJ70" s="122"/>
      <c r="UWK70" s="122"/>
      <c r="UWL70" s="122"/>
      <c r="UWM70" s="122"/>
      <c r="UWN70" s="122"/>
      <c r="UWO70" s="122"/>
      <c r="UWP70" s="122"/>
      <c r="UWQ70" s="122"/>
      <c r="UWR70" s="122"/>
      <c r="UWS70" s="122"/>
      <c r="UWT70" s="122"/>
      <c r="UWU70" s="122"/>
      <c r="UWV70" s="122"/>
      <c r="UWW70" s="122"/>
      <c r="UWX70" s="122"/>
      <c r="UWY70" s="122"/>
      <c r="UWZ70" s="122"/>
      <c r="UXA70" s="122"/>
      <c r="UXB70" s="122"/>
      <c r="UXC70" s="122"/>
      <c r="UXD70" s="122"/>
      <c r="UXE70" s="122"/>
      <c r="UXF70" s="122"/>
      <c r="UXG70" s="122"/>
      <c r="UXH70" s="122"/>
      <c r="UXI70" s="122"/>
      <c r="UXJ70" s="122"/>
      <c r="UXK70" s="122"/>
      <c r="UXL70" s="122"/>
      <c r="UXM70" s="122"/>
      <c r="UXN70" s="122"/>
      <c r="UXO70" s="122"/>
      <c r="UXP70" s="122"/>
      <c r="UXQ70" s="122"/>
      <c r="UXR70" s="122"/>
      <c r="UXS70" s="122"/>
      <c r="UXT70" s="122"/>
      <c r="UXU70" s="122"/>
      <c r="UXV70" s="122"/>
      <c r="UXW70" s="122"/>
      <c r="UXX70" s="122"/>
      <c r="UXY70" s="122"/>
      <c r="UXZ70" s="122"/>
      <c r="UYA70" s="122"/>
      <c r="UYB70" s="122"/>
      <c r="UYC70" s="122"/>
      <c r="UYD70" s="122"/>
      <c r="UYE70" s="122"/>
      <c r="UYF70" s="122"/>
      <c r="UYG70" s="122"/>
      <c r="UYH70" s="122"/>
      <c r="UYI70" s="122"/>
      <c r="UYJ70" s="122"/>
      <c r="UYK70" s="122"/>
      <c r="UYL70" s="122"/>
      <c r="UYM70" s="122"/>
      <c r="UYN70" s="122"/>
      <c r="UYO70" s="122"/>
      <c r="UYP70" s="122"/>
      <c r="UYQ70" s="122"/>
      <c r="UYR70" s="122"/>
      <c r="UYS70" s="122"/>
      <c r="UYT70" s="122"/>
      <c r="UYU70" s="122"/>
      <c r="UYV70" s="122"/>
      <c r="UYW70" s="122"/>
      <c r="UYX70" s="122"/>
      <c r="UYY70" s="122"/>
      <c r="UYZ70" s="122"/>
      <c r="UZA70" s="122"/>
      <c r="UZB70" s="122"/>
      <c r="UZC70" s="122"/>
      <c r="UZD70" s="122"/>
      <c r="UZE70" s="122"/>
      <c r="UZF70" s="122"/>
      <c r="UZG70" s="122"/>
      <c r="UZH70" s="122"/>
      <c r="UZI70" s="122"/>
      <c r="UZJ70" s="122"/>
      <c r="UZK70" s="122"/>
      <c r="UZL70" s="122"/>
      <c r="UZM70" s="122"/>
      <c r="UZN70" s="122"/>
      <c r="UZO70" s="122"/>
      <c r="UZP70" s="122"/>
      <c r="UZQ70" s="122"/>
      <c r="UZR70" s="122"/>
      <c r="UZS70" s="122"/>
      <c r="UZT70" s="122"/>
      <c r="UZU70" s="122"/>
      <c r="UZV70" s="122"/>
      <c r="UZW70" s="122"/>
      <c r="UZX70" s="122"/>
      <c r="UZY70" s="122"/>
      <c r="UZZ70" s="122"/>
      <c r="VAA70" s="122"/>
      <c r="VAB70" s="122"/>
      <c r="VAC70" s="122"/>
      <c r="VAD70" s="122"/>
      <c r="VAE70" s="122"/>
      <c r="VAF70" s="122"/>
      <c r="VAG70" s="122"/>
      <c r="VAH70" s="122"/>
      <c r="VAI70" s="122"/>
      <c r="VAJ70" s="122"/>
      <c r="VAK70" s="122"/>
      <c r="VAL70" s="122"/>
      <c r="VAM70" s="122"/>
      <c r="VAN70" s="122"/>
      <c r="VAO70" s="122"/>
      <c r="VAP70" s="122"/>
      <c r="VAQ70" s="122"/>
      <c r="VAR70" s="122"/>
      <c r="VAS70" s="122"/>
      <c r="VAT70" s="122"/>
      <c r="VAU70" s="122"/>
      <c r="VAV70" s="122"/>
      <c r="VAW70" s="122"/>
      <c r="VAX70" s="122"/>
      <c r="VAY70" s="122"/>
      <c r="VAZ70" s="122"/>
      <c r="VBA70" s="122"/>
      <c r="VBB70" s="122"/>
      <c r="VBC70" s="122"/>
      <c r="VBD70" s="122"/>
      <c r="VBE70" s="122"/>
      <c r="VBF70" s="122"/>
      <c r="VBG70" s="122"/>
      <c r="VBH70" s="122"/>
      <c r="VBI70" s="122"/>
      <c r="VBJ70" s="122"/>
      <c r="VBK70" s="122"/>
      <c r="VBL70" s="122"/>
      <c r="VBM70" s="122"/>
      <c r="VBN70" s="122"/>
      <c r="VBO70" s="122"/>
      <c r="VBP70" s="122"/>
      <c r="VBQ70" s="122"/>
      <c r="VBR70" s="122"/>
      <c r="VBS70" s="122"/>
      <c r="VBT70" s="122"/>
      <c r="VBU70" s="122"/>
      <c r="VBV70" s="122"/>
      <c r="VBW70" s="122"/>
      <c r="VBX70" s="122"/>
      <c r="VBY70" s="122"/>
      <c r="VBZ70" s="122"/>
      <c r="VCA70" s="122"/>
      <c r="VCB70" s="122"/>
      <c r="VCC70" s="122"/>
      <c r="VCD70" s="122"/>
      <c r="VCE70" s="122"/>
      <c r="VCF70" s="122"/>
      <c r="VCG70" s="122"/>
      <c r="VCH70" s="122"/>
      <c r="VCI70" s="122"/>
      <c r="VCJ70" s="122"/>
      <c r="VCK70" s="122"/>
      <c r="VCL70" s="122"/>
      <c r="VCM70" s="122"/>
      <c r="VCN70" s="122"/>
      <c r="VCO70" s="122"/>
      <c r="VCP70" s="122"/>
      <c r="VCQ70" s="122"/>
      <c r="VCR70" s="122"/>
      <c r="VCS70" s="122"/>
      <c r="VCT70" s="122"/>
      <c r="VCU70" s="122"/>
      <c r="VCV70" s="122"/>
      <c r="VCW70" s="122"/>
      <c r="VCX70" s="122"/>
      <c r="VCY70" s="122"/>
      <c r="VCZ70" s="122"/>
      <c r="VDA70" s="122"/>
      <c r="VDB70" s="122"/>
      <c r="VDC70" s="122"/>
      <c r="VDD70" s="122"/>
      <c r="VDE70" s="122"/>
      <c r="VDF70" s="122"/>
      <c r="VDG70" s="122"/>
      <c r="VDH70" s="122"/>
      <c r="VDI70" s="122"/>
      <c r="VDJ70" s="122"/>
      <c r="VDK70" s="122"/>
      <c r="VDL70" s="122"/>
      <c r="VDM70" s="122"/>
      <c r="VDN70" s="122"/>
      <c r="VDO70" s="122"/>
      <c r="VDP70" s="122"/>
      <c r="VDQ70" s="122"/>
      <c r="VDR70" s="122"/>
      <c r="VDS70" s="122"/>
      <c r="VDT70" s="122"/>
      <c r="VDU70" s="122"/>
      <c r="VDV70" s="122"/>
      <c r="VDW70" s="122"/>
      <c r="VDX70" s="122"/>
      <c r="VDY70" s="122"/>
      <c r="VDZ70" s="122"/>
      <c r="VEA70" s="122"/>
      <c r="VEB70" s="122"/>
      <c r="VEC70" s="122"/>
      <c r="VED70" s="122"/>
      <c r="VEE70" s="122"/>
      <c r="VEF70" s="122"/>
      <c r="VEG70" s="122"/>
      <c r="VEH70" s="122"/>
      <c r="VEI70" s="122"/>
      <c r="VEJ70" s="122"/>
      <c r="VEK70" s="122"/>
      <c r="VEL70" s="122"/>
      <c r="VEM70" s="122"/>
      <c r="VEN70" s="122"/>
      <c r="VEO70" s="122"/>
      <c r="VEP70" s="122"/>
      <c r="VEQ70" s="122"/>
      <c r="VER70" s="122"/>
      <c r="VES70" s="122"/>
      <c r="VET70" s="122"/>
      <c r="VEU70" s="122"/>
      <c r="VEV70" s="122"/>
      <c r="VEW70" s="122"/>
      <c r="VEX70" s="122"/>
      <c r="VEY70" s="122"/>
      <c r="VEZ70" s="122"/>
      <c r="VFA70" s="122"/>
      <c r="VFB70" s="122"/>
      <c r="VFC70" s="122"/>
      <c r="VFD70" s="122"/>
      <c r="VFE70" s="122"/>
      <c r="VFF70" s="122"/>
      <c r="VFG70" s="122"/>
      <c r="VFH70" s="122"/>
      <c r="VFI70" s="122"/>
      <c r="VFJ70" s="122"/>
      <c r="VFK70" s="122"/>
      <c r="VFL70" s="122"/>
      <c r="VFM70" s="122"/>
      <c r="VFN70" s="122"/>
      <c r="VFO70" s="122"/>
      <c r="VFP70" s="122"/>
      <c r="VFQ70" s="122"/>
      <c r="VFR70" s="122"/>
      <c r="VFS70" s="122"/>
      <c r="VFT70" s="122"/>
      <c r="VFU70" s="122"/>
      <c r="VFV70" s="122"/>
      <c r="VFW70" s="122"/>
      <c r="VFX70" s="122"/>
      <c r="VFY70" s="122"/>
      <c r="VFZ70" s="122"/>
      <c r="VGA70" s="122"/>
      <c r="VGB70" s="122"/>
      <c r="VGC70" s="122"/>
      <c r="VGD70" s="122"/>
      <c r="VGE70" s="122"/>
      <c r="VGF70" s="122"/>
      <c r="VGG70" s="122"/>
      <c r="VGH70" s="122"/>
      <c r="VGI70" s="122"/>
      <c r="VGJ70" s="122"/>
      <c r="VGK70" s="122"/>
      <c r="VGL70" s="122"/>
      <c r="VGM70" s="122"/>
      <c r="VGN70" s="122"/>
      <c r="VGO70" s="122"/>
      <c r="VGP70" s="122"/>
      <c r="VGQ70" s="122"/>
      <c r="VGR70" s="122"/>
      <c r="VGS70" s="122"/>
      <c r="VGT70" s="122"/>
      <c r="VGU70" s="122"/>
      <c r="VGV70" s="122"/>
      <c r="VGW70" s="122"/>
      <c r="VGX70" s="122"/>
      <c r="VGY70" s="122"/>
      <c r="VGZ70" s="122"/>
      <c r="VHA70" s="122"/>
      <c r="VHB70" s="122"/>
      <c r="VHC70" s="122"/>
      <c r="VHD70" s="122"/>
      <c r="VHE70" s="122"/>
      <c r="VHF70" s="122"/>
      <c r="VHG70" s="122"/>
      <c r="VHH70" s="122"/>
      <c r="VHI70" s="122"/>
      <c r="VHJ70" s="122"/>
      <c r="VHK70" s="122"/>
      <c r="VHL70" s="122"/>
      <c r="VHM70" s="122"/>
      <c r="VHN70" s="122"/>
      <c r="VHO70" s="122"/>
      <c r="VHP70" s="122"/>
      <c r="VHQ70" s="122"/>
      <c r="VHR70" s="122"/>
      <c r="VHS70" s="122"/>
      <c r="VHT70" s="122"/>
      <c r="VHU70" s="122"/>
      <c r="VHV70" s="122"/>
      <c r="VHW70" s="122"/>
      <c r="VHX70" s="122"/>
      <c r="VHY70" s="122"/>
      <c r="VHZ70" s="122"/>
      <c r="VIA70" s="122"/>
      <c r="VIB70" s="122"/>
      <c r="VIC70" s="122"/>
      <c r="VID70" s="122"/>
      <c r="VIE70" s="122"/>
      <c r="VIF70" s="122"/>
      <c r="VIG70" s="122"/>
      <c r="VIH70" s="122"/>
      <c r="VII70" s="122"/>
      <c r="VIJ70" s="122"/>
      <c r="VIK70" s="122"/>
      <c r="VIL70" s="122"/>
      <c r="VIM70" s="122"/>
      <c r="VIN70" s="122"/>
      <c r="VIO70" s="122"/>
      <c r="VIP70" s="122"/>
      <c r="VIQ70" s="122"/>
      <c r="VIR70" s="122"/>
      <c r="VIS70" s="122"/>
      <c r="VIT70" s="122"/>
      <c r="VIU70" s="122"/>
      <c r="VIV70" s="122"/>
      <c r="VIW70" s="122"/>
      <c r="VIX70" s="122"/>
      <c r="VIY70" s="122"/>
      <c r="VIZ70" s="122"/>
      <c r="VJA70" s="122"/>
      <c r="VJB70" s="122"/>
      <c r="VJC70" s="122"/>
      <c r="VJD70" s="122"/>
      <c r="VJE70" s="122"/>
      <c r="VJF70" s="122"/>
      <c r="VJG70" s="122"/>
      <c r="VJH70" s="122"/>
      <c r="VJI70" s="122"/>
      <c r="VJJ70" s="122"/>
      <c r="VJK70" s="122"/>
      <c r="VJL70" s="122"/>
      <c r="VJM70" s="122"/>
      <c r="VJN70" s="122"/>
      <c r="VJO70" s="122"/>
      <c r="VJP70" s="122"/>
      <c r="VJQ70" s="122"/>
      <c r="VJR70" s="122"/>
      <c r="VJS70" s="122"/>
      <c r="VJT70" s="122"/>
      <c r="VJU70" s="122"/>
      <c r="VJV70" s="122"/>
      <c r="VJW70" s="122"/>
      <c r="VJX70" s="122"/>
      <c r="VJY70" s="122"/>
      <c r="VJZ70" s="122"/>
      <c r="VKA70" s="122"/>
      <c r="VKB70" s="122"/>
      <c r="VKC70" s="122"/>
      <c r="VKD70" s="122"/>
      <c r="VKE70" s="122"/>
      <c r="VKF70" s="122"/>
      <c r="VKG70" s="122"/>
      <c r="VKH70" s="122"/>
      <c r="VKI70" s="122"/>
      <c r="VKJ70" s="122"/>
      <c r="VKK70" s="122"/>
      <c r="VKL70" s="122"/>
      <c r="VKM70" s="122"/>
      <c r="VKN70" s="122"/>
      <c r="VKO70" s="122"/>
      <c r="VKP70" s="122"/>
      <c r="VKQ70" s="122"/>
      <c r="VKR70" s="122"/>
      <c r="VKS70" s="122"/>
      <c r="VKT70" s="122"/>
      <c r="VKU70" s="122"/>
      <c r="VKV70" s="122"/>
      <c r="VKW70" s="122"/>
      <c r="VKX70" s="122"/>
      <c r="VKY70" s="122"/>
      <c r="VKZ70" s="122"/>
      <c r="VLA70" s="122"/>
      <c r="VLB70" s="122"/>
      <c r="VLC70" s="122"/>
      <c r="VLD70" s="122"/>
      <c r="VLE70" s="122"/>
      <c r="VLF70" s="122"/>
      <c r="VLG70" s="122"/>
      <c r="VLH70" s="122"/>
      <c r="VLI70" s="122"/>
      <c r="VLJ70" s="122"/>
      <c r="VLK70" s="122"/>
      <c r="VLL70" s="122"/>
      <c r="VLM70" s="122"/>
      <c r="VLN70" s="122"/>
      <c r="VLO70" s="122"/>
      <c r="VLP70" s="122"/>
      <c r="VLQ70" s="122"/>
      <c r="VLR70" s="122"/>
      <c r="VLS70" s="122"/>
      <c r="VLT70" s="122"/>
      <c r="VLU70" s="122"/>
      <c r="VLV70" s="122"/>
      <c r="VLW70" s="122"/>
      <c r="VLX70" s="122"/>
      <c r="VLY70" s="122"/>
      <c r="VLZ70" s="122"/>
      <c r="VMA70" s="122"/>
      <c r="VMB70" s="122"/>
      <c r="VMC70" s="122"/>
      <c r="VMD70" s="122"/>
      <c r="VME70" s="122"/>
      <c r="VMF70" s="122"/>
      <c r="VMG70" s="122"/>
      <c r="VMH70" s="122"/>
      <c r="VMI70" s="122"/>
      <c r="VMJ70" s="122"/>
      <c r="VMK70" s="122"/>
      <c r="VML70" s="122"/>
      <c r="VMM70" s="122"/>
      <c r="VMN70" s="122"/>
      <c r="VMO70" s="122"/>
      <c r="VMP70" s="122"/>
      <c r="VMQ70" s="122"/>
      <c r="VMR70" s="122"/>
      <c r="VMS70" s="122"/>
      <c r="VMT70" s="122"/>
      <c r="VMU70" s="122"/>
      <c r="VMV70" s="122"/>
      <c r="VMW70" s="122"/>
      <c r="VMX70" s="122"/>
      <c r="VMY70" s="122"/>
      <c r="VMZ70" s="122"/>
      <c r="VNA70" s="122"/>
      <c r="VNB70" s="122"/>
      <c r="VNC70" s="122"/>
      <c r="VND70" s="122"/>
      <c r="VNE70" s="122"/>
      <c r="VNF70" s="122"/>
      <c r="VNG70" s="122"/>
      <c r="VNH70" s="122"/>
      <c r="VNI70" s="122"/>
      <c r="VNJ70" s="122"/>
      <c r="VNK70" s="122"/>
      <c r="VNL70" s="122"/>
      <c r="VNM70" s="122"/>
      <c r="VNN70" s="122"/>
      <c r="VNO70" s="122"/>
      <c r="VNP70" s="122"/>
      <c r="VNQ70" s="122"/>
      <c r="VNR70" s="122"/>
      <c r="VNS70" s="122"/>
      <c r="VNT70" s="122"/>
      <c r="VNU70" s="122"/>
      <c r="VNV70" s="122"/>
      <c r="VNW70" s="122"/>
      <c r="VNX70" s="122"/>
      <c r="VNY70" s="122"/>
      <c r="VNZ70" s="122"/>
      <c r="VOA70" s="122"/>
      <c r="VOB70" s="122"/>
      <c r="VOC70" s="122"/>
      <c r="VOD70" s="122"/>
      <c r="VOE70" s="122"/>
      <c r="VOF70" s="122"/>
      <c r="VOG70" s="122"/>
      <c r="VOH70" s="122"/>
      <c r="VOI70" s="122"/>
      <c r="VOJ70" s="122"/>
      <c r="VOK70" s="122"/>
      <c r="VOL70" s="122"/>
      <c r="VOM70" s="122"/>
      <c r="VON70" s="122"/>
      <c r="VOO70" s="122"/>
      <c r="VOP70" s="122"/>
      <c r="VOQ70" s="122"/>
      <c r="VOR70" s="122"/>
      <c r="VOS70" s="122"/>
      <c r="VOT70" s="122"/>
      <c r="VOU70" s="122"/>
      <c r="VOV70" s="122"/>
      <c r="VOW70" s="122"/>
      <c r="VOX70" s="122"/>
      <c r="VOY70" s="122"/>
      <c r="VOZ70" s="122"/>
      <c r="VPA70" s="122"/>
      <c r="VPB70" s="122"/>
      <c r="VPC70" s="122"/>
      <c r="VPD70" s="122"/>
      <c r="VPE70" s="122"/>
      <c r="VPF70" s="122"/>
      <c r="VPG70" s="122"/>
      <c r="VPH70" s="122"/>
      <c r="VPI70" s="122"/>
      <c r="VPJ70" s="122"/>
      <c r="VPK70" s="122"/>
      <c r="VPL70" s="122"/>
      <c r="VPM70" s="122"/>
      <c r="VPN70" s="122"/>
      <c r="VPO70" s="122"/>
      <c r="VPP70" s="122"/>
      <c r="VPQ70" s="122"/>
      <c r="VPR70" s="122"/>
      <c r="VPS70" s="122"/>
      <c r="VPT70" s="122"/>
      <c r="VPU70" s="122"/>
      <c r="VPV70" s="122"/>
      <c r="VPW70" s="122"/>
      <c r="VPX70" s="122"/>
      <c r="VPY70" s="122"/>
      <c r="VPZ70" s="122"/>
      <c r="VQA70" s="122"/>
      <c r="VQB70" s="122"/>
      <c r="VQC70" s="122"/>
      <c r="VQD70" s="122"/>
      <c r="VQE70" s="122"/>
      <c r="VQF70" s="122"/>
      <c r="VQG70" s="122"/>
      <c r="VQH70" s="122"/>
      <c r="VQI70" s="122"/>
      <c r="VQJ70" s="122"/>
      <c r="VQK70" s="122"/>
      <c r="VQL70" s="122"/>
      <c r="VQM70" s="122"/>
      <c r="VQN70" s="122"/>
      <c r="VQO70" s="122"/>
      <c r="VQP70" s="122"/>
      <c r="VQQ70" s="122"/>
      <c r="VQR70" s="122"/>
      <c r="VQS70" s="122"/>
      <c r="VQT70" s="122"/>
      <c r="VQU70" s="122"/>
      <c r="VQV70" s="122"/>
      <c r="VQW70" s="122"/>
      <c r="VQX70" s="122"/>
      <c r="VQY70" s="122"/>
      <c r="VQZ70" s="122"/>
      <c r="VRA70" s="122"/>
      <c r="VRB70" s="122"/>
      <c r="VRC70" s="122"/>
      <c r="VRD70" s="122"/>
      <c r="VRE70" s="122"/>
      <c r="VRF70" s="122"/>
      <c r="VRG70" s="122"/>
      <c r="VRH70" s="122"/>
      <c r="VRI70" s="122"/>
      <c r="VRJ70" s="122"/>
      <c r="VRK70" s="122"/>
      <c r="VRL70" s="122"/>
      <c r="VRM70" s="122"/>
      <c r="VRN70" s="122"/>
      <c r="VRO70" s="122"/>
      <c r="VRP70" s="122"/>
      <c r="VRQ70" s="122"/>
      <c r="VRR70" s="122"/>
      <c r="VRS70" s="122"/>
      <c r="VRT70" s="122"/>
      <c r="VRU70" s="122"/>
      <c r="VRV70" s="122"/>
      <c r="VRW70" s="122"/>
      <c r="VRX70" s="122"/>
      <c r="VRY70" s="122"/>
      <c r="VRZ70" s="122"/>
      <c r="VSA70" s="122"/>
      <c r="VSB70" s="122"/>
      <c r="VSC70" s="122"/>
      <c r="VSD70" s="122"/>
      <c r="VSE70" s="122"/>
      <c r="VSF70" s="122"/>
      <c r="VSG70" s="122"/>
      <c r="VSH70" s="122"/>
      <c r="VSI70" s="122"/>
      <c r="VSJ70" s="122"/>
      <c r="VSK70" s="122"/>
      <c r="VSL70" s="122"/>
      <c r="VSM70" s="122"/>
      <c r="VSN70" s="122"/>
      <c r="VSO70" s="122"/>
      <c r="VSP70" s="122"/>
      <c r="VSQ70" s="122"/>
      <c r="VSR70" s="122"/>
      <c r="VSS70" s="122"/>
      <c r="VST70" s="122"/>
      <c r="VSU70" s="122"/>
      <c r="VSV70" s="122"/>
      <c r="VSW70" s="122"/>
      <c r="VSX70" s="122"/>
      <c r="VSY70" s="122"/>
      <c r="VSZ70" s="122"/>
      <c r="VTA70" s="122"/>
      <c r="VTB70" s="122"/>
      <c r="VTC70" s="122"/>
      <c r="VTD70" s="122"/>
      <c r="VTE70" s="122"/>
      <c r="VTF70" s="122"/>
      <c r="VTG70" s="122"/>
      <c r="VTH70" s="122"/>
      <c r="VTI70" s="122"/>
      <c r="VTJ70" s="122"/>
      <c r="VTK70" s="122"/>
      <c r="VTL70" s="122"/>
      <c r="VTM70" s="122"/>
      <c r="VTN70" s="122"/>
      <c r="VTO70" s="122"/>
      <c r="VTP70" s="122"/>
      <c r="VTQ70" s="122"/>
      <c r="VTR70" s="122"/>
      <c r="VTS70" s="122"/>
      <c r="VTT70" s="122"/>
      <c r="VTU70" s="122"/>
      <c r="VTV70" s="122"/>
      <c r="VTW70" s="122"/>
      <c r="VTX70" s="122"/>
      <c r="VTY70" s="122"/>
      <c r="VTZ70" s="122"/>
      <c r="VUA70" s="122"/>
      <c r="VUB70" s="122"/>
      <c r="VUC70" s="122"/>
      <c r="VUD70" s="122"/>
      <c r="VUE70" s="122"/>
      <c r="VUF70" s="122"/>
      <c r="VUG70" s="122"/>
      <c r="VUH70" s="122"/>
      <c r="VUI70" s="122"/>
      <c r="VUJ70" s="122"/>
      <c r="VUK70" s="122"/>
      <c r="VUL70" s="122"/>
      <c r="VUM70" s="122"/>
      <c r="VUN70" s="122"/>
      <c r="VUO70" s="122"/>
      <c r="VUP70" s="122"/>
      <c r="VUQ70" s="122"/>
      <c r="VUR70" s="122"/>
      <c r="VUS70" s="122"/>
      <c r="VUT70" s="122"/>
      <c r="VUU70" s="122"/>
      <c r="VUV70" s="122"/>
      <c r="VUW70" s="122"/>
      <c r="VUX70" s="122"/>
      <c r="VUY70" s="122"/>
      <c r="VUZ70" s="122"/>
      <c r="VVA70" s="122"/>
      <c r="VVB70" s="122"/>
      <c r="VVC70" s="122"/>
      <c r="VVD70" s="122"/>
      <c r="VVE70" s="122"/>
      <c r="VVF70" s="122"/>
      <c r="VVG70" s="122"/>
      <c r="VVH70" s="122"/>
      <c r="VVI70" s="122"/>
      <c r="VVJ70" s="122"/>
      <c r="VVK70" s="122"/>
      <c r="VVL70" s="122"/>
      <c r="VVM70" s="122"/>
      <c r="VVN70" s="122"/>
      <c r="VVO70" s="122"/>
      <c r="VVP70" s="122"/>
      <c r="VVQ70" s="122"/>
      <c r="VVR70" s="122"/>
      <c r="VVS70" s="122"/>
      <c r="VVT70" s="122"/>
      <c r="VVU70" s="122"/>
      <c r="VVV70" s="122"/>
      <c r="VVW70" s="122"/>
      <c r="VVX70" s="122"/>
      <c r="VVY70" s="122"/>
      <c r="VVZ70" s="122"/>
      <c r="VWA70" s="122"/>
      <c r="VWB70" s="122"/>
      <c r="VWC70" s="122"/>
      <c r="VWD70" s="122"/>
      <c r="VWE70" s="122"/>
      <c r="VWF70" s="122"/>
      <c r="VWG70" s="122"/>
      <c r="VWH70" s="122"/>
      <c r="VWI70" s="122"/>
      <c r="VWJ70" s="122"/>
      <c r="VWK70" s="122"/>
      <c r="VWL70" s="122"/>
      <c r="VWM70" s="122"/>
      <c r="VWN70" s="122"/>
      <c r="VWO70" s="122"/>
      <c r="VWP70" s="122"/>
      <c r="VWQ70" s="122"/>
      <c r="VWR70" s="122"/>
      <c r="VWS70" s="122"/>
      <c r="VWT70" s="122"/>
      <c r="VWU70" s="122"/>
      <c r="VWV70" s="122"/>
      <c r="VWW70" s="122"/>
      <c r="VWX70" s="122"/>
      <c r="VWY70" s="122"/>
      <c r="VWZ70" s="122"/>
      <c r="VXA70" s="122"/>
      <c r="VXB70" s="122"/>
      <c r="VXC70" s="122"/>
      <c r="VXD70" s="122"/>
      <c r="VXE70" s="122"/>
      <c r="VXF70" s="122"/>
      <c r="VXG70" s="122"/>
      <c r="VXH70" s="122"/>
      <c r="VXI70" s="122"/>
      <c r="VXJ70" s="122"/>
      <c r="VXK70" s="122"/>
      <c r="VXL70" s="122"/>
      <c r="VXM70" s="122"/>
      <c r="VXN70" s="122"/>
      <c r="VXO70" s="122"/>
      <c r="VXP70" s="122"/>
      <c r="VXQ70" s="122"/>
      <c r="VXR70" s="122"/>
      <c r="VXS70" s="122"/>
      <c r="VXT70" s="122"/>
      <c r="VXU70" s="122"/>
      <c r="VXV70" s="122"/>
      <c r="VXW70" s="122"/>
      <c r="VXX70" s="122"/>
      <c r="VXY70" s="122"/>
      <c r="VXZ70" s="122"/>
      <c r="VYA70" s="122"/>
      <c r="VYB70" s="122"/>
      <c r="VYC70" s="122"/>
      <c r="VYD70" s="122"/>
      <c r="VYE70" s="122"/>
      <c r="VYF70" s="122"/>
      <c r="VYG70" s="122"/>
      <c r="VYH70" s="122"/>
      <c r="VYI70" s="122"/>
      <c r="VYJ70" s="122"/>
      <c r="VYK70" s="122"/>
      <c r="VYL70" s="122"/>
      <c r="VYM70" s="122"/>
      <c r="VYN70" s="122"/>
      <c r="VYO70" s="122"/>
      <c r="VYP70" s="122"/>
      <c r="VYQ70" s="122"/>
      <c r="VYR70" s="122"/>
      <c r="VYS70" s="122"/>
      <c r="VYT70" s="122"/>
      <c r="VYU70" s="122"/>
      <c r="VYV70" s="122"/>
      <c r="VYW70" s="122"/>
      <c r="VYX70" s="122"/>
      <c r="VYY70" s="122"/>
      <c r="VYZ70" s="122"/>
      <c r="VZA70" s="122"/>
      <c r="VZB70" s="122"/>
      <c r="VZC70" s="122"/>
      <c r="VZD70" s="122"/>
      <c r="VZE70" s="122"/>
      <c r="VZF70" s="122"/>
      <c r="VZG70" s="122"/>
      <c r="VZH70" s="122"/>
      <c r="VZI70" s="122"/>
      <c r="VZJ70" s="122"/>
      <c r="VZK70" s="122"/>
      <c r="VZL70" s="122"/>
      <c r="VZM70" s="122"/>
      <c r="VZN70" s="122"/>
      <c r="VZO70" s="122"/>
      <c r="VZP70" s="122"/>
      <c r="VZQ70" s="122"/>
      <c r="VZR70" s="122"/>
      <c r="VZS70" s="122"/>
      <c r="VZT70" s="122"/>
      <c r="VZU70" s="122"/>
      <c r="VZV70" s="122"/>
      <c r="VZW70" s="122"/>
      <c r="VZX70" s="122"/>
      <c r="VZY70" s="122"/>
      <c r="VZZ70" s="122"/>
      <c r="WAA70" s="122"/>
      <c r="WAB70" s="122"/>
      <c r="WAC70" s="122"/>
      <c r="WAD70" s="122"/>
      <c r="WAE70" s="122"/>
      <c r="WAF70" s="122"/>
      <c r="WAG70" s="122"/>
      <c r="WAH70" s="122"/>
      <c r="WAI70" s="122"/>
      <c r="WAJ70" s="122"/>
      <c r="WAK70" s="122"/>
      <c r="WAL70" s="122"/>
      <c r="WAM70" s="122"/>
      <c r="WAN70" s="122"/>
      <c r="WAO70" s="122"/>
      <c r="WAP70" s="122"/>
      <c r="WAQ70" s="122"/>
      <c r="WAR70" s="122"/>
      <c r="WAS70" s="122"/>
      <c r="WAT70" s="122"/>
      <c r="WAU70" s="122"/>
      <c r="WAV70" s="122"/>
      <c r="WAW70" s="122"/>
      <c r="WAX70" s="122"/>
      <c r="WAY70" s="122"/>
      <c r="WAZ70" s="122"/>
      <c r="WBA70" s="122"/>
      <c r="WBB70" s="122"/>
      <c r="WBC70" s="122"/>
      <c r="WBD70" s="122"/>
      <c r="WBE70" s="122"/>
      <c r="WBF70" s="122"/>
      <c r="WBG70" s="122"/>
      <c r="WBH70" s="122"/>
      <c r="WBI70" s="122"/>
      <c r="WBJ70" s="122"/>
      <c r="WBK70" s="122"/>
      <c r="WBL70" s="122"/>
      <c r="WBM70" s="122"/>
      <c r="WBN70" s="122"/>
      <c r="WBO70" s="122"/>
      <c r="WBP70" s="122"/>
      <c r="WBQ70" s="122"/>
      <c r="WBR70" s="122"/>
      <c r="WBS70" s="122"/>
      <c r="WBT70" s="122"/>
      <c r="WBU70" s="122"/>
      <c r="WBV70" s="122"/>
      <c r="WBW70" s="122"/>
      <c r="WBX70" s="122"/>
      <c r="WBY70" s="122"/>
      <c r="WBZ70" s="122"/>
      <c r="WCA70" s="122"/>
      <c r="WCB70" s="122"/>
      <c r="WCC70" s="122"/>
      <c r="WCD70" s="122"/>
      <c r="WCE70" s="122"/>
      <c r="WCF70" s="122"/>
      <c r="WCG70" s="122"/>
      <c r="WCH70" s="122"/>
      <c r="WCI70" s="122"/>
      <c r="WCJ70" s="122"/>
      <c r="WCK70" s="122"/>
      <c r="WCL70" s="122"/>
      <c r="WCM70" s="122"/>
      <c r="WCN70" s="122"/>
      <c r="WCO70" s="122"/>
      <c r="WCP70" s="122"/>
      <c r="WCQ70" s="122"/>
      <c r="WCR70" s="122"/>
      <c r="WCS70" s="122"/>
      <c r="WCT70" s="122"/>
      <c r="WCU70" s="122"/>
      <c r="WCV70" s="122"/>
      <c r="WCW70" s="122"/>
      <c r="WCX70" s="122"/>
      <c r="WCY70" s="122"/>
      <c r="WCZ70" s="122"/>
      <c r="WDA70" s="122"/>
      <c r="WDB70" s="122"/>
      <c r="WDC70" s="122"/>
      <c r="WDD70" s="122"/>
      <c r="WDE70" s="122"/>
      <c r="WDF70" s="122"/>
      <c r="WDG70" s="122"/>
      <c r="WDH70" s="122"/>
      <c r="WDI70" s="122"/>
      <c r="WDJ70" s="122"/>
      <c r="WDK70" s="122"/>
      <c r="WDL70" s="122"/>
      <c r="WDM70" s="122"/>
      <c r="WDN70" s="122"/>
      <c r="WDO70" s="122"/>
      <c r="WDP70" s="122"/>
      <c r="WDQ70" s="122"/>
      <c r="WDR70" s="122"/>
      <c r="WDS70" s="122"/>
      <c r="WDT70" s="122"/>
      <c r="WDU70" s="122"/>
      <c r="WDV70" s="122"/>
      <c r="WDW70" s="122"/>
      <c r="WDX70" s="122"/>
      <c r="WDY70" s="122"/>
      <c r="WDZ70" s="122"/>
      <c r="WEA70" s="122"/>
      <c r="WEB70" s="122"/>
      <c r="WEC70" s="122"/>
      <c r="WED70" s="122"/>
      <c r="WEE70" s="122"/>
      <c r="WEF70" s="122"/>
      <c r="WEG70" s="122"/>
      <c r="WEH70" s="122"/>
      <c r="WEI70" s="122"/>
      <c r="WEJ70" s="122"/>
      <c r="WEK70" s="122"/>
      <c r="WEL70" s="122"/>
      <c r="WEM70" s="122"/>
      <c r="WEN70" s="122"/>
      <c r="WEO70" s="122"/>
      <c r="WEP70" s="122"/>
      <c r="WEQ70" s="122"/>
      <c r="WER70" s="122"/>
      <c r="WES70" s="122"/>
      <c r="WET70" s="122"/>
      <c r="WEU70" s="122"/>
      <c r="WEV70" s="122"/>
      <c r="WEW70" s="122"/>
      <c r="WEX70" s="122"/>
      <c r="WEY70" s="122"/>
      <c r="WEZ70" s="122"/>
      <c r="WFA70" s="122"/>
      <c r="WFB70" s="122"/>
      <c r="WFC70" s="122"/>
      <c r="WFD70" s="122"/>
      <c r="WFE70" s="122"/>
      <c r="WFF70" s="122"/>
      <c r="WFG70" s="122"/>
      <c r="WFH70" s="122"/>
      <c r="WFI70" s="122"/>
      <c r="WFJ70" s="122"/>
      <c r="WFK70" s="122"/>
      <c r="WFL70" s="122"/>
      <c r="WFM70" s="122"/>
      <c r="WFN70" s="122"/>
      <c r="WFO70" s="122"/>
      <c r="WFP70" s="122"/>
      <c r="WFQ70" s="122"/>
      <c r="WFR70" s="122"/>
      <c r="WFS70" s="122"/>
      <c r="WFT70" s="122"/>
      <c r="WFU70" s="122"/>
      <c r="WFV70" s="122"/>
      <c r="WFW70" s="122"/>
      <c r="WFX70" s="122"/>
      <c r="WFY70" s="122"/>
      <c r="WFZ70" s="122"/>
      <c r="WGA70" s="122"/>
      <c r="WGB70" s="122"/>
      <c r="WGC70" s="122"/>
      <c r="WGD70" s="122"/>
      <c r="WGE70" s="122"/>
      <c r="WGF70" s="122"/>
      <c r="WGG70" s="122"/>
      <c r="WGH70" s="122"/>
      <c r="WGI70" s="122"/>
      <c r="WGJ70" s="122"/>
      <c r="WGK70" s="122"/>
      <c r="WGL70" s="122"/>
      <c r="WGM70" s="122"/>
      <c r="WGN70" s="122"/>
      <c r="WGO70" s="122"/>
      <c r="WGP70" s="122"/>
      <c r="WGQ70" s="122"/>
      <c r="WGR70" s="122"/>
      <c r="WGS70" s="122"/>
      <c r="WGT70" s="122"/>
      <c r="WGU70" s="122"/>
      <c r="WGV70" s="122"/>
      <c r="WGW70" s="122"/>
      <c r="WGX70" s="122"/>
      <c r="WGY70" s="122"/>
      <c r="WGZ70" s="122"/>
      <c r="WHA70" s="122"/>
      <c r="WHB70" s="122"/>
      <c r="WHC70" s="122"/>
      <c r="WHD70" s="122"/>
      <c r="WHE70" s="122"/>
      <c r="WHF70" s="122"/>
      <c r="WHG70" s="122"/>
      <c r="WHH70" s="122"/>
      <c r="WHI70" s="122"/>
      <c r="WHJ70" s="122"/>
      <c r="WHK70" s="122"/>
      <c r="WHL70" s="122"/>
      <c r="WHM70" s="122"/>
      <c r="WHN70" s="122"/>
      <c r="WHO70" s="122"/>
      <c r="WHP70" s="122"/>
      <c r="WHQ70" s="122"/>
      <c r="WHR70" s="122"/>
      <c r="WHS70" s="122"/>
      <c r="WHT70" s="122"/>
      <c r="WHU70" s="122"/>
      <c r="WHV70" s="122"/>
      <c r="WHW70" s="122"/>
      <c r="WHX70" s="122"/>
      <c r="WHY70" s="122"/>
      <c r="WHZ70" s="122"/>
      <c r="WIA70" s="122"/>
      <c r="WIB70" s="122"/>
      <c r="WIC70" s="122"/>
      <c r="WID70" s="122"/>
      <c r="WIE70" s="122"/>
      <c r="WIF70" s="122"/>
      <c r="WIG70" s="122"/>
      <c r="WIH70" s="122"/>
      <c r="WII70" s="122"/>
      <c r="WIJ70" s="122"/>
      <c r="WIK70" s="122"/>
      <c r="WIL70" s="122"/>
      <c r="WIM70" s="122"/>
      <c r="WIN70" s="122"/>
      <c r="WIO70" s="122"/>
      <c r="WIP70" s="122"/>
      <c r="WIQ70" s="122"/>
      <c r="WIR70" s="122"/>
      <c r="WIS70" s="122"/>
      <c r="WIT70" s="122"/>
      <c r="WIU70" s="122"/>
      <c r="WIV70" s="122"/>
      <c r="WIW70" s="122"/>
      <c r="WIX70" s="122"/>
      <c r="WIY70" s="122"/>
      <c r="WIZ70" s="122"/>
      <c r="WJA70" s="122"/>
      <c r="WJB70" s="122"/>
      <c r="WJC70" s="122"/>
      <c r="WJD70" s="122"/>
      <c r="WJE70" s="122"/>
      <c r="WJF70" s="122"/>
      <c r="WJG70" s="122"/>
      <c r="WJH70" s="122"/>
      <c r="WJI70" s="122"/>
      <c r="WJJ70" s="122"/>
      <c r="WJK70" s="122"/>
      <c r="WJL70" s="122"/>
      <c r="WJM70" s="122"/>
      <c r="WJN70" s="122"/>
      <c r="WJO70" s="122"/>
      <c r="WJP70" s="122"/>
      <c r="WJQ70" s="122"/>
      <c r="WJR70" s="122"/>
      <c r="WJS70" s="122"/>
      <c r="WJT70" s="122"/>
      <c r="WJU70" s="122"/>
      <c r="WJV70" s="122"/>
      <c r="WJW70" s="122"/>
      <c r="WJX70" s="122"/>
      <c r="WJY70" s="122"/>
      <c r="WJZ70" s="122"/>
      <c r="WKA70" s="122"/>
      <c r="WKB70" s="122"/>
      <c r="WKC70" s="122"/>
      <c r="WKD70" s="122"/>
      <c r="WKE70" s="122"/>
      <c r="WKF70" s="122"/>
      <c r="WKG70" s="122"/>
      <c r="WKH70" s="122"/>
      <c r="WKI70" s="122"/>
      <c r="WKJ70" s="122"/>
      <c r="WKK70" s="122"/>
      <c r="WKL70" s="122"/>
      <c r="WKM70" s="122"/>
      <c r="WKN70" s="122"/>
      <c r="WKO70" s="122"/>
      <c r="WKP70" s="122"/>
      <c r="WKQ70" s="122"/>
      <c r="WKR70" s="122"/>
      <c r="WKS70" s="122"/>
      <c r="WKT70" s="122"/>
      <c r="WKU70" s="122"/>
      <c r="WKV70" s="122"/>
      <c r="WKW70" s="122"/>
      <c r="WKX70" s="122"/>
      <c r="WKY70" s="122"/>
      <c r="WKZ70" s="122"/>
      <c r="WLA70" s="122"/>
      <c r="WLB70" s="122"/>
      <c r="WLC70" s="122"/>
      <c r="WLD70" s="122"/>
      <c r="WLE70" s="122"/>
      <c r="WLF70" s="122"/>
      <c r="WLG70" s="122"/>
      <c r="WLH70" s="122"/>
      <c r="WLI70" s="122"/>
      <c r="WLJ70" s="122"/>
      <c r="WLK70" s="122"/>
      <c r="WLL70" s="122"/>
      <c r="WLM70" s="122"/>
      <c r="WLN70" s="122"/>
      <c r="WLO70" s="122"/>
      <c r="WLP70" s="122"/>
      <c r="WLQ70" s="122"/>
      <c r="WLR70" s="122"/>
      <c r="WLS70" s="122"/>
      <c r="WLT70" s="122"/>
      <c r="WLU70" s="122"/>
      <c r="WLV70" s="122"/>
      <c r="WLW70" s="122"/>
      <c r="WLX70" s="122"/>
      <c r="WLY70" s="122"/>
      <c r="WLZ70" s="122"/>
      <c r="WMA70" s="122"/>
      <c r="WMB70" s="122"/>
      <c r="WMC70" s="122"/>
      <c r="WMD70" s="122"/>
      <c r="WME70" s="122"/>
      <c r="WMF70" s="122"/>
      <c r="WMG70" s="122"/>
      <c r="WMH70" s="122"/>
      <c r="WMI70" s="122"/>
      <c r="WMJ70" s="122"/>
      <c r="WMK70" s="122"/>
      <c r="WML70" s="122"/>
      <c r="WMM70" s="122"/>
      <c r="WMN70" s="122"/>
      <c r="WMO70" s="122"/>
      <c r="WMP70" s="122"/>
      <c r="WMQ70" s="122"/>
      <c r="WMR70" s="122"/>
      <c r="WMS70" s="122"/>
      <c r="WMT70" s="122"/>
      <c r="WMU70" s="122"/>
      <c r="WMV70" s="122"/>
      <c r="WMW70" s="122"/>
      <c r="WMX70" s="122"/>
      <c r="WMY70" s="122"/>
      <c r="WMZ70" s="122"/>
      <c r="WNA70" s="122"/>
      <c r="WNB70" s="122"/>
      <c r="WNC70" s="122"/>
      <c r="WND70" s="122"/>
      <c r="WNE70" s="122"/>
      <c r="WNF70" s="122"/>
      <c r="WNG70" s="122"/>
      <c r="WNH70" s="122"/>
      <c r="WNI70" s="122"/>
      <c r="WNJ70" s="122"/>
      <c r="WNK70" s="122"/>
      <c r="WNL70" s="122"/>
      <c r="WNM70" s="122"/>
      <c r="WNN70" s="122"/>
      <c r="WNO70" s="122"/>
      <c r="WNP70" s="122"/>
      <c r="WNQ70" s="122"/>
      <c r="WNR70" s="122"/>
      <c r="WNS70" s="122"/>
      <c r="WNT70" s="122"/>
      <c r="WNU70" s="122"/>
      <c r="WNV70" s="122"/>
      <c r="WNW70" s="122"/>
      <c r="WNX70" s="122"/>
      <c r="WNY70" s="122"/>
      <c r="WNZ70" s="122"/>
      <c r="WOA70" s="122"/>
      <c r="WOB70" s="122"/>
      <c r="WOC70" s="122"/>
      <c r="WOD70" s="122"/>
      <c r="WOE70" s="122"/>
      <c r="WOF70" s="122"/>
      <c r="WOG70" s="122"/>
      <c r="WOH70" s="122"/>
      <c r="WOI70" s="122"/>
      <c r="WOJ70" s="122"/>
      <c r="WOK70" s="122"/>
      <c r="WOL70" s="122"/>
      <c r="WOM70" s="122"/>
      <c r="WON70" s="122"/>
      <c r="WOO70" s="122"/>
      <c r="WOP70" s="122"/>
      <c r="WOQ70" s="122"/>
      <c r="WOR70" s="122"/>
      <c r="WOS70" s="122"/>
      <c r="WOT70" s="122"/>
      <c r="WOU70" s="122"/>
      <c r="WOV70" s="122"/>
      <c r="WOW70" s="122"/>
      <c r="WOX70" s="122"/>
      <c r="WOY70" s="122"/>
      <c r="WOZ70" s="122"/>
      <c r="WPA70" s="122"/>
      <c r="WPB70" s="122"/>
      <c r="WPC70" s="122"/>
      <c r="WPD70" s="122"/>
      <c r="WPE70" s="122"/>
      <c r="WPF70" s="122"/>
      <c r="WPG70" s="122"/>
      <c r="WPH70" s="122"/>
      <c r="WPI70" s="122"/>
      <c r="WPJ70" s="122"/>
      <c r="WPK70" s="122"/>
      <c r="WPL70" s="122"/>
      <c r="WPM70" s="122"/>
      <c r="WPN70" s="122"/>
      <c r="WPO70" s="122"/>
      <c r="WPP70" s="122"/>
      <c r="WPQ70" s="122"/>
      <c r="WPR70" s="122"/>
      <c r="WPS70" s="122"/>
      <c r="WPT70" s="122"/>
      <c r="WPU70" s="122"/>
      <c r="WPV70" s="122"/>
      <c r="WPW70" s="122"/>
      <c r="WPX70" s="122"/>
      <c r="WPY70" s="122"/>
      <c r="WPZ70" s="122"/>
      <c r="WQA70" s="122"/>
      <c r="WQB70" s="122"/>
      <c r="WQC70" s="122"/>
      <c r="WQD70" s="122"/>
      <c r="WQE70" s="122"/>
      <c r="WQF70" s="122"/>
      <c r="WQG70" s="122"/>
      <c r="WQH70" s="122"/>
      <c r="WQI70" s="122"/>
      <c r="WQJ70" s="122"/>
      <c r="WQK70" s="122"/>
      <c r="WQL70" s="122"/>
      <c r="WQM70" s="122"/>
      <c r="WQN70" s="122"/>
      <c r="WQO70" s="122"/>
      <c r="WQP70" s="122"/>
      <c r="WQQ70" s="122"/>
      <c r="WQR70" s="122"/>
      <c r="WQS70" s="122"/>
      <c r="WQT70" s="122"/>
      <c r="WQU70" s="122"/>
      <c r="WQV70" s="122"/>
      <c r="WQW70" s="122"/>
      <c r="WQX70" s="122"/>
      <c r="WQY70" s="122"/>
      <c r="WQZ70" s="122"/>
      <c r="WRA70" s="122"/>
      <c r="WRB70" s="122"/>
      <c r="WRC70" s="122"/>
      <c r="WRD70" s="122"/>
      <c r="WRE70" s="122"/>
      <c r="WRF70" s="122"/>
      <c r="WRG70" s="122"/>
      <c r="WRH70" s="122"/>
      <c r="WRI70" s="122"/>
      <c r="WRJ70" s="122"/>
      <c r="WRK70" s="122"/>
      <c r="WRL70" s="122"/>
      <c r="WRM70" s="122"/>
      <c r="WRN70" s="122"/>
      <c r="WRO70" s="122"/>
      <c r="WRP70" s="122"/>
      <c r="WRQ70" s="122"/>
      <c r="WRR70" s="122"/>
      <c r="WRS70" s="122"/>
      <c r="WRT70" s="122"/>
      <c r="WRU70" s="122"/>
      <c r="WRV70" s="122"/>
      <c r="WRW70" s="122"/>
      <c r="WRX70" s="122"/>
      <c r="WRY70" s="122"/>
      <c r="WRZ70" s="122"/>
      <c r="WSA70" s="122"/>
      <c r="WSB70" s="122"/>
      <c r="WSC70" s="122"/>
      <c r="WSD70" s="122"/>
      <c r="WSE70" s="122"/>
      <c r="WSF70" s="122"/>
      <c r="WSG70" s="122"/>
      <c r="WSH70" s="122"/>
      <c r="WSI70" s="122"/>
      <c r="WSJ70" s="122"/>
      <c r="WSK70" s="122"/>
      <c r="WSL70" s="122"/>
      <c r="WSM70" s="122"/>
      <c r="WSN70" s="122"/>
      <c r="WSO70" s="122"/>
      <c r="WSP70" s="122"/>
      <c r="WSQ70" s="122"/>
      <c r="WSR70" s="122"/>
      <c r="WSS70" s="122"/>
      <c r="WST70" s="122"/>
      <c r="WSU70" s="122"/>
      <c r="WSV70" s="122"/>
      <c r="WSW70" s="122"/>
      <c r="WSX70" s="122"/>
      <c r="WSY70" s="122"/>
      <c r="WSZ70" s="122"/>
      <c r="WTA70" s="122"/>
      <c r="WTB70" s="122"/>
      <c r="WTC70" s="122"/>
      <c r="WTD70" s="122"/>
      <c r="WTE70" s="122"/>
      <c r="WTF70" s="122"/>
      <c r="WTG70" s="122"/>
      <c r="WTH70" s="122"/>
      <c r="WTI70" s="122"/>
      <c r="WTJ70" s="122"/>
      <c r="WTK70" s="122"/>
      <c r="WTL70" s="122"/>
      <c r="WTM70" s="122"/>
      <c r="WTN70" s="122"/>
      <c r="WTO70" s="122"/>
      <c r="WTP70" s="122"/>
      <c r="WTQ70" s="122"/>
      <c r="WTR70" s="122"/>
      <c r="WTS70" s="122"/>
      <c r="WTT70" s="122"/>
      <c r="WTU70" s="122"/>
      <c r="WTV70" s="122"/>
      <c r="WTW70" s="122"/>
      <c r="WTX70" s="122"/>
      <c r="WTY70" s="122"/>
      <c r="WTZ70" s="122"/>
      <c r="WUA70" s="122"/>
      <c r="WUB70" s="122"/>
      <c r="WUC70" s="122"/>
      <c r="WUD70" s="122"/>
      <c r="WUE70" s="122"/>
      <c r="WUF70" s="122"/>
      <c r="WUG70" s="122"/>
      <c r="WUH70" s="122"/>
      <c r="WUI70" s="122"/>
      <c r="WUJ70" s="122"/>
      <c r="WUK70" s="122"/>
      <c r="WUL70" s="122"/>
      <c r="WUM70" s="122"/>
      <c r="WUN70" s="122"/>
      <c r="WUO70" s="122"/>
      <c r="WUP70" s="122"/>
      <c r="WUQ70" s="122"/>
      <c r="WUR70" s="122"/>
      <c r="WUS70" s="122"/>
      <c r="WUT70" s="122"/>
      <c r="WUU70" s="122"/>
      <c r="WUV70" s="122"/>
      <c r="WUW70" s="122"/>
      <c r="WUX70" s="122"/>
      <c r="WUY70" s="122"/>
      <c r="WUZ70" s="122"/>
      <c r="WVA70" s="122"/>
      <c r="WVB70" s="122"/>
      <c r="WVC70" s="122"/>
      <c r="WVD70" s="122"/>
      <c r="WVE70" s="122"/>
      <c r="WVF70" s="122"/>
      <c r="WVG70" s="122"/>
      <c r="WVH70" s="122"/>
      <c r="WVI70" s="122"/>
      <c r="WVJ70" s="122"/>
      <c r="WVK70" s="122"/>
      <c r="WVL70" s="122"/>
      <c r="WVM70" s="122"/>
      <c r="WVN70" s="122"/>
      <c r="WVO70" s="122"/>
      <c r="WVP70" s="122"/>
      <c r="WVQ70" s="122"/>
      <c r="WVR70" s="122"/>
      <c r="WVS70" s="122"/>
      <c r="WVT70" s="122"/>
      <c r="WVU70" s="122"/>
      <c r="WVV70" s="122"/>
      <c r="WVW70" s="122"/>
      <c r="WVX70" s="122"/>
      <c r="WVY70" s="122"/>
      <c r="WVZ70" s="122"/>
      <c r="WWA70" s="122"/>
      <c r="WWB70" s="122"/>
      <c r="WWC70" s="122"/>
      <c r="WWD70" s="122"/>
      <c r="WWE70" s="122"/>
      <c r="WWF70" s="122"/>
      <c r="WWG70" s="122"/>
      <c r="WWH70" s="122"/>
      <c r="WWI70" s="122"/>
      <c r="WWJ70" s="122"/>
      <c r="WWK70" s="122"/>
      <c r="WWL70" s="122"/>
      <c r="WWM70" s="122"/>
      <c r="WWN70" s="122"/>
      <c r="WWO70" s="122"/>
      <c r="WWP70" s="122"/>
      <c r="WWQ70" s="122"/>
      <c r="WWR70" s="122"/>
      <c r="WWS70" s="122"/>
      <c r="WWT70" s="122"/>
      <c r="WWU70" s="122"/>
      <c r="WWV70" s="122"/>
      <c r="WWW70" s="122"/>
      <c r="WWX70" s="122"/>
      <c r="WWY70" s="122"/>
      <c r="WWZ70" s="122"/>
      <c r="WXA70" s="122"/>
      <c r="WXB70" s="122"/>
      <c r="WXC70" s="122"/>
      <c r="WXD70" s="122"/>
      <c r="WXE70" s="122"/>
      <c r="WXF70" s="122"/>
      <c r="WXG70" s="122"/>
      <c r="WXH70" s="122"/>
      <c r="WXI70" s="122"/>
      <c r="WXJ70" s="122"/>
      <c r="WXK70" s="122"/>
      <c r="WXL70" s="122"/>
      <c r="WXM70" s="122"/>
      <c r="WXN70" s="122"/>
      <c r="WXO70" s="122"/>
      <c r="WXP70" s="122"/>
      <c r="WXQ70" s="122"/>
      <c r="WXR70" s="122"/>
      <c r="WXS70" s="122"/>
      <c r="WXT70" s="122"/>
      <c r="WXU70" s="122"/>
      <c r="WXV70" s="122"/>
      <c r="WXW70" s="122"/>
      <c r="WXX70" s="122"/>
      <c r="WXY70" s="122"/>
      <c r="WXZ70" s="122"/>
      <c r="WYA70" s="122"/>
      <c r="WYB70" s="122"/>
      <c r="WYC70" s="122"/>
      <c r="WYD70" s="122"/>
      <c r="WYE70" s="122"/>
      <c r="WYF70" s="122"/>
      <c r="WYG70" s="122"/>
      <c r="WYH70" s="122"/>
      <c r="WYI70" s="122"/>
      <c r="WYJ70" s="122"/>
      <c r="WYK70" s="122"/>
      <c r="WYL70" s="122"/>
      <c r="WYM70" s="122"/>
      <c r="WYN70" s="122"/>
      <c r="WYO70" s="122"/>
      <c r="WYP70" s="122"/>
      <c r="WYQ70" s="122"/>
      <c r="WYR70" s="122"/>
      <c r="WYS70" s="122"/>
      <c r="WYT70" s="122"/>
      <c r="WYU70" s="122"/>
      <c r="WYV70" s="122"/>
      <c r="WYW70" s="122"/>
      <c r="WYX70" s="122"/>
      <c r="WYY70" s="122"/>
      <c r="WYZ70" s="122"/>
      <c r="WZA70" s="122"/>
      <c r="WZB70" s="122"/>
      <c r="WZC70" s="122"/>
      <c r="WZD70" s="122"/>
      <c r="WZE70" s="122"/>
      <c r="WZF70" s="122"/>
      <c r="WZG70" s="122"/>
      <c r="WZH70" s="122"/>
      <c r="WZI70" s="122"/>
      <c r="WZJ70" s="122"/>
      <c r="WZK70" s="122"/>
      <c r="WZL70" s="122"/>
      <c r="WZM70" s="122"/>
      <c r="WZN70" s="122"/>
      <c r="WZO70" s="122"/>
      <c r="WZP70" s="122"/>
      <c r="WZQ70" s="122"/>
      <c r="WZR70" s="122"/>
      <c r="WZS70" s="122"/>
      <c r="WZT70" s="122"/>
      <c r="WZU70" s="122"/>
      <c r="WZV70" s="122"/>
      <c r="WZW70" s="122"/>
      <c r="WZX70" s="122"/>
      <c r="WZY70" s="122"/>
      <c r="WZZ70" s="122"/>
      <c r="XAA70" s="122"/>
      <c r="XAB70" s="122"/>
      <c r="XAC70" s="122"/>
      <c r="XAD70" s="122"/>
      <c r="XAE70" s="122"/>
      <c r="XAF70" s="122"/>
      <c r="XAG70" s="122"/>
      <c r="XAH70" s="122"/>
      <c r="XAI70" s="122"/>
      <c r="XAJ70" s="122"/>
      <c r="XAK70" s="122"/>
      <c r="XAL70" s="122"/>
      <c r="XAM70" s="122"/>
      <c r="XAN70" s="122"/>
      <c r="XAO70" s="122"/>
      <c r="XAP70" s="122"/>
      <c r="XAQ70" s="122"/>
      <c r="XAR70" s="122"/>
      <c r="XAS70" s="122"/>
      <c r="XAT70" s="122"/>
      <c r="XAU70" s="122"/>
      <c r="XAV70" s="122"/>
      <c r="XAW70" s="122"/>
      <c r="XAX70" s="122"/>
      <c r="XAY70" s="122"/>
      <c r="XAZ70" s="122"/>
      <c r="XBA70" s="122"/>
      <c r="XBB70" s="122"/>
      <c r="XBC70" s="122"/>
      <c r="XBD70" s="122"/>
      <c r="XBE70" s="122"/>
      <c r="XBF70" s="122"/>
      <c r="XBG70" s="122"/>
      <c r="XBH70" s="122"/>
      <c r="XBI70" s="122"/>
      <c r="XBJ70" s="122"/>
      <c r="XBK70" s="122"/>
      <c r="XBL70" s="122"/>
      <c r="XBM70" s="122"/>
      <c r="XBN70" s="122"/>
      <c r="XBO70" s="122"/>
      <c r="XBP70" s="122"/>
      <c r="XBQ70" s="122"/>
      <c r="XBR70" s="122"/>
      <c r="XBS70" s="122"/>
      <c r="XBT70" s="122"/>
      <c r="XBU70" s="122"/>
      <c r="XBV70" s="122"/>
      <c r="XBW70" s="122"/>
      <c r="XBX70" s="122"/>
      <c r="XBY70" s="122"/>
      <c r="XBZ70" s="122"/>
      <c r="XCA70" s="122"/>
      <c r="XCB70" s="122"/>
      <c r="XCC70" s="122"/>
      <c r="XCD70" s="122"/>
      <c r="XCE70" s="122"/>
      <c r="XCF70" s="122"/>
      <c r="XCG70" s="122"/>
      <c r="XCH70" s="122"/>
      <c r="XCI70" s="122"/>
      <c r="XCJ70" s="122"/>
      <c r="XCK70" s="122"/>
      <c r="XCL70" s="122"/>
      <c r="XCM70" s="122"/>
      <c r="XCN70" s="122"/>
      <c r="XCO70" s="122"/>
      <c r="XCP70" s="122"/>
      <c r="XCQ70" s="122"/>
      <c r="XCR70" s="122"/>
      <c r="XCS70" s="122"/>
      <c r="XCT70" s="122"/>
      <c r="XCU70" s="122"/>
      <c r="XCV70" s="122"/>
      <c r="XCW70" s="122"/>
      <c r="XCX70" s="122"/>
      <c r="XCY70" s="122"/>
      <c r="XCZ70" s="122"/>
      <c r="XDA70" s="122"/>
      <c r="XDB70" s="122"/>
      <c r="XDC70" s="122"/>
      <c r="XDD70" s="122"/>
      <c r="XDE70" s="122"/>
      <c r="XDF70" s="122"/>
      <c r="XDG70" s="122"/>
      <c r="XDH70" s="122"/>
      <c r="XDI70" s="122"/>
      <c r="XDJ70" s="122"/>
      <c r="XDK70" s="122"/>
      <c r="XDL70" s="122"/>
      <c r="XDM70" s="122"/>
      <c r="XDN70" s="122"/>
      <c r="XDO70" s="122"/>
      <c r="XDP70" s="122"/>
      <c r="XDQ70" s="122"/>
      <c r="XDR70" s="122"/>
      <c r="XDS70" s="122"/>
      <c r="XDT70" s="122"/>
      <c r="XDU70" s="122"/>
      <c r="XDV70" s="122"/>
      <c r="XDW70" s="122"/>
      <c r="XDX70" s="122"/>
      <c r="XDY70" s="122"/>
      <c r="XDZ70" s="122"/>
      <c r="XEA70" s="122"/>
      <c r="XEB70" s="122"/>
      <c r="XEC70" s="122"/>
      <c r="XED70" s="122"/>
      <c r="XEE70" s="122"/>
      <c r="XEF70" s="122"/>
      <c r="XEG70" s="122"/>
      <c r="XEH70" s="122"/>
      <c r="XEI70" s="122"/>
      <c r="XEJ70" s="122"/>
      <c r="XEK70" s="122"/>
      <c r="XEL70" s="122"/>
      <c r="XEM70" s="122"/>
      <c r="XEN70" s="122"/>
      <c r="XEO70" s="122"/>
      <c r="XEP70" s="122"/>
      <c r="XEQ70" s="122"/>
      <c r="XER70" s="122"/>
      <c r="XES70" s="122"/>
      <c r="XET70" s="122"/>
      <c r="XEU70" s="122"/>
      <c r="XEV70" s="122"/>
      <c r="XEW70" s="122"/>
      <c r="XEX70" s="122"/>
      <c r="XEY70" s="122"/>
      <c r="XEZ70" s="122"/>
      <c r="XFA70" s="122"/>
      <c r="XFB70" s="122"/>
      <c r="XFC70" s="122"/>
      <c r="XFD70" s="122"/>
    </row>
    <row r="71" spans="2:16384" s="210" customFormat="1">
      <c r="B71" s="122"/>
      <c r="C71" s="122"/>
      <c r="D71" s="122"/>
      <c r="E71" s="122"/>
      <c r="F71" s="122"/>
      <c r="G71" s="122"/>
      <c r="H71" s="273"/>
      <c r="I71" s="273"/>
      <c r="J71" s="273"/>
      <c r="K71" s="273"/>
      <c r="L71" s="273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/>
      <c r="BU71" s="122"/>
      <c r="BV71" s="122"/>
      <c r="BW71" s="122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  <c r="HC71" s="122"/>
      <c r="HD71" s="122"/>
      <c r="HE71" s="122"/>
      <c r="HF71" s="122"/>
      <c r="HG71" s="122"/>
      <c r="HH71" s="122"/>
      <c r="HI71" s="122"/>
      <c r="HJ71" s="122"/>
      <c r="HK71" s="122"/>
      <c r="HL71" s="122"/>
      <c r="HM71" s="122"/>
      <c r="HN71" s="122"/>
      <c r="HO71" s="122"/>
      <c r="HP71" s="122"/>
      <c r="HQ71" s="122"/>
      <c r="HR71" s="122"/>
      <c r="HS71" s="122"/>
      <c r="HT71" s="122"/>
      <c r="HU71" s="122"/>
      <c r="HV71" s="122"/>
      <c r="HW71" s="122"/>
      <c r="HX71" s="122"/>
      <c r="HY71" s="122"/>
      <c r="HZ71" s="122"/>
      <c r="IA71" s="122"/>
      <c r="IB71" s="122"/>
      <c r="IC71" s="122"/>
      <c r="ID71" s="122"/>
      <c r="IE71" s="122"/>
      <c r="IF71" s="122"/>
      <c r="IG71" s="122"/>
      <c r="IH71" s="122"/>
      <c r="II71" s="122"/>
      <c r="IJ71" s="122"/>
      <c r="IK71" s="122"/>
      <c r="IL71" s="122"/>
      <c r="IM71" s="122"/>
      <c r="IN71" s="122"/>
      <c r="IO71" s="122"/>
      <c r="IP71" s="122"/>
      <c r="IQ71" s="122"/>
      <c r="IR71" s="122"/>
      <c r="IS71" s="122"/>
      <c r="IT71" s="122"/>
      <c r="IU71" s="122"/>
      <c r="IV71" s="122"/>
      <c r="IW71" s="122"/>
      <c r="IX71" s="122"/>
      <c r="IY71" s="122"/>
      <c r="IZ71" s="122"/>
      <c r="JA71" s="122"/>
      <c r="JB71" s="122"/>
      <c r="JC71" s="122"/>
      <c r="JD71" s="122"/>
      <c r="JE71" s="122"/>
      <c r="JF71" s="122"/>
      <c r="JG71" s="122"/>
      <c r="JH71" s="122"/>
      <c r="JI71" s="122"/>
      <c r="JJ71" s="122"/>
      <c r="JK71" s="122"/>
      <c r="JL71" s="122"/>
      <c r="JM71" s="122"/>
      <c r="JN71" s="122"/>
      <c r="JO71" s="122"/>
      <c r="JP71" s="122"/>
      <c r="JQ71" s="122"/>
      <c r="JR71" s="122"/>
      <c r="JS71" s="122"/>
      <c r="JT71" s="122"/>
      <c r="JU71" s="122"/>
      <c r="JV71" s="122"/>
      <c r="JW71" s="122"/>
      <c r="JX71" s="122"/>
      <c r="JY71" s="122"/>
      <c r="JZ71" s="122"/>
      <c r="KA71" s="122"/>
      <c r="KB71" s="122"/>
      <c r="KC71" s="122"/>
      <c r="KD71" s="122"/>
      <c r="KE71" s="122"/>
      <c r="KF71" s="122"/>
      <c r="KG71" s="122"/>
      <c r="KH71" s="122"/>
      <c r="KI71" s="122"/>
      <c r="KJ71" s="122"/>
      <c r="KK71" s="122"/>
      <c r="KL71" s="122"/>
      <c r="KM71" s="122"/>
      <c r="KN71" s="122"/>
      <c r="KO71" s="122"/>
      <c r="KP71" s="122"/>
      <c r="KQ71" s="122"/>
      <c r="KR71" s="122"/>
      <c r="KS71" s="122"/>
      <c r="KT71" s="122"/>
      <c r="KU71" s="122"/>
      <c r="KV71" s="122"/>
      <c r="KW71" s="122"/>
      <c r="KX71" s="122"/>
      <c r="KY71" s="122"/>
      <c r="KZ71" s="122"/>
      <c r="LA71" s="122"/>
      <c r="LB71" s="122"/>
      <c r="LC71" s="122"/>
      <c r="LD71" s="122"/>
      <c r="LE71" s="122"/>
      <c r="LF71" s="122"/>
      <c r="LG71" s="122"/>
      <c r="LH71" s="122"/>
      <c r="LI71" s="122"/>
      <c r="LJ71" s="122"/>
      <c r="LK71" s="122"/>
      <c r="LL71" s="122"/>
      <c r="LM71" s="122"/>
      <c r="LN71" s="122"/>
      <c r="LO71" s="122"/>
      <c r="LP71" s="122"/>
      <c r="LQ71" s="122"/>
      <c r="LR71" s="122"/>
      <c r="LS71" s="122"/>
      <c r="LT71" s="122"/>
      <c r="LU71" s="122"/>
      <c r="LV71" s="122"/>
      <c r="LW71" s="122"/>
      <c r="LX71" s="122"/>
      <c r="LY71" s="122"/>
      <c r="LZ71" s="122"/>
      <c r="MA71" s="122"/>
      <c r="MB71" s="122"/>
      <c r="MC71" s="122"/>
      <c r="MD71" s="122"/>
      <c r="ME71" s="122"/>
      <c r="MF71" s="122"/>
      <c r="MG71" s="122"/>
      <c r="MH71" s="122"/>
      <c r="MI71" s="122"/>
      <c r="MJ71" s="122"/>
      <c r="MK71" s="122"/>
      <c r="ML71" s="122"/>
      <c r="MM71" s="122"/>
      <c r="MN71" s="122"/>
      <c r="MO71" s="122"/>
      <c r="MP71" s="122"/>
      <c r="MQ71" s="122"/>
      <c r="MR71" s="122"/>
      <c r="MS71" s="122"/>
      <c r="MT71" s="122"/>
      <c r="MU71" s="122"/>
      <c r="MV71" s="122"/>
      <c r="MW71" s="122"/>
      <c r="MX71" s="122"/>
      <c r="MY71" s="122"/>
      <c r="MZ71" s="122"/>
      <c r="NA71" s="122"/>
      <c r="NB71" s="122"/>
      <c r="NC71" s="122"/>
      <c r="ND71" s="122"/>
      <c r="NE71" s="122"/>
      <c r="NF71" s="122"/>
      <c r="NG71" s="122"/>
      <c r="NH71" s="122"/>
      <c r="NI71" s="122"/>
      <c r="NJ71" s="122"/>
      <c r="NK71" s="122"/>
      <c r="NL71" s="122"/>
      <c r="NM71" s="122"/>
      <c r="NN71" s="122"/>
      <c r="NO71" s="122"/>
      <c r="NP71" s="122"/>
      <c r="NQ71" s="122"/>
      <c r="NR71" s="122"/>
      <c r="NS71" s="122"/>
      <c r="NT71" s="122"/>
      <c r="NU71" s="122"/>
      <c r="NV71" s="122"/>
      <c r="NW71" s="122"/>
      <c r="NX71" s="122"/>
      <c r="NY71" s="122"/>
      <c r="NZ71" s="122"/>
      <c r="OA71" s="122"/>
      <c r="OB71" s="122"/>
      <c r="OC71" s="122"/>
      <c r="OD71" s="122"/>
      <c r="OE71" s="122"/>
      <c r="OF71" s="122"/>
      <c r="OG71" s="122"/>
      <c r="OH71" s="122"/>
      <c r="OI71" s="122"/>
      <c r="OJ71" s="122"/>
      <c r="OK71" s="122"/>
      <c r="OL71" s="122"/>
      <c r="OM71" s="122"/>
      <c r="ON71" s="122"/>
      <c r="OO71" s="122"/>
      <c r="OP71" s="122"/>
      <c r="OQ71" s="122"/>
      <c r="OR71" s="122"/>
      <c r="OS71" s="122"/>
      <c r="OT71" s="122"/>
      <c r="OU71" s="122"/>
      <c r="OV71" s="122"/>
      <c r="OW71" s="122"/>
      <c r="OX71" s="122"/>
      <c r="OY71" s="122"/>
      <c r="OZ71" s="122"/>
      <c r="PA71" s="122"/>
      <c r="PB71" s="122"/>
      <c r="PC71" s="122"/>
      <c r="PD71" s="122"/>
      <c r="PE71" s="122"/>
      <c r="PF71" s="122"/>
      <c r="PG71" s="122"/>
      <c r="PH71" s="122"/>
      <c r="PI71" s="122"/>
      <c r="PJ71" s="122"/>
      <c r="PK71" s="122"/>
      <c r="PL71" s="122"/>
      <c r="PM71" s="122"/>
      <c r="PN71" s="122"/>
      <c r="PO71" s="122"/>
      <c r="PP71" s="122"/>
      <c r="PQ71" s="122"/>
      <c r="PR71" s="122"/>
      <c r="PS71" s="122"/>
      <c r="PT71" s="122"/>
      <c r="PU71" s="122"/>
      <c r="PV71" s="122"/>
      <c r="PW71" s="122"/>
      <c r="PX71" s="122"/>
      <c r="PY71" s="122"/>
      <c r="PZ71" s="122"/>
      <c r="QA71" s="122"/>
      <c r="QB71" s="122"/>
      <c r="QC71" s="122"/>
      <c r="QD71" s="122"/>
      <c r="QE71" s="122"/>
      <c r="QF71" s="122"/>
      <c r="QG71" s="122"/>
      <c r="QH71" s="122"/>
      <c r="QI71" s="122"/>
      <c r="QJ71" s="122"/>
      <c r="QK71" s="122"/>
      <c r="QL71" s="122"/>
      <c r="QM71" s="122"/>
      <c r="QN71" s="122"/>
      <c r="QO71" s="122"/>
      <c r="QP71" s="122"/>
      <c r="QQ71" s="122"/>
      <c r="QR71" s="122"/>
      <c r="QS71" s="122"/>
      <c r="QT71" s="122"/>
      <c r="QU71" s="122"/>
      <c r="QV71" s="122"/>
      <c r="QW71" s="122"/>
      <c r="QX71" s="122"/>
      <c r="QY71" s="122"/>
      <c r="QZ71" s="122"/>
      <c r="RA71" s="122"/>
      <c r="RB71" s="122"/>
      <c r="RC71" s="122"/>
      <c r="RD71" s="122"/>
      <c r="RE71" s="122"/>
      <c r="RF71" s="122"/>
      <c r="RG71" s="122"/>
      <c r="RH71" s="122"/>
      <c r="RI71" s="122"/>
      <c r="RJ71" s="122"/>
      <c r="RK71" s="122"/>
      <c r="RL71" s="122"/>
      <c r="RM71" s="122"/>
      <c r="RN71" s="122"/>
      <c r="RO71" s="122"/>
      <c r="RP71" s="122"/>
      <c r="RQ71" s="122"/>
      <c r="RR71" s="122"/>
      <c r="RS71" s="122"/>
      <c r="RT71" s="122"/>
      <c r="RU71" s="122"/>
      <c r="RV71" s="122"/>
      <c r="RW71" s="122"/>
      <c r="RX71" s="122"/>
      <c r="RY71" s="122"/>
      <c r="RZ71" s="122"/>
      <c r="SA71" s="122"/>
      <c r="SB71" s="122"/>
      <c r="SC71" s="122"/>
      <c r="SD71" s="122"/>
      <c r="SE71" s="122"/>
      <c r="SF71" s="122"/>
      <c r="SG71" s="122"/>
      <c r="SH71" s="122"/>
      <c r="SI71" s="122"/>
      <c r="SJ71" s="122"/>
      <c r="SK71" s="122"/>
      <c r="SL71" s="122"/>
      <c r="SM71" s="122"/>
      <c r="SN71" s="122"/>
      <c r="SO71" s="122"/>
      <c r="SP71" s="122"/>
      <c r="SQ71" s="122"/>
      <c r="SR71" s="122"/>
      <c r="SS71" s="122"/>
      <c r="ST71" s="122"/>
      <c r="SU71" s="122"/>
      <c r="SV71" s="122"/>
      <c r="SW71" s="122"/>
      <c r="SX71" s="122"/>
      <c r="SY71" s="122"/>
      <c r="SZ71" s="122"/>
      <c r="TA71" s="122"/>
      <c r="TB71" s="122"/>
      <c r="TC71" s="122"/>
      <c r="TD71" s="122"/>
      <c r="TE71" s="122"/>
      <c r="TF71" s="122"/>
      <c r="TG71" s="122"/>
      <c r="TH71" s="122"/>
      <c r="TI71" s="122"/>
      <c r="TJ71" s="122"/>
      <c r="TK71" s="122"/>
      <c r="TL71" s="122"/>
      <c r="TM71" s="122"/>
      <c r="TN71" s="122"/>
      <c r="TO71" s="122"/>
      <c r="TP71" s="122"/>
      <c r="TQ71" s="122"/>
      <c r="TR71" s="122"/>
      <c r="TS71" s="122"/>
      <c r="TT71" s="122"/>
      <c r="TU71" s="122"/>
      <c r="TV71" s="122"/>
      <c r="TW71" s="122"/>
      <c r="TX71" s="122"/>
      <c r="TY71" s="122"/>
      <c r="TZ71" s="122"/>
      <c r="UA71" s="122"/>
      <c r="UB71" s="122"/>
      <c r="UC71" s="122"/>
      <c r="UD71" s="122"/>
      <c r="UE71" s="122"/>
      <c r="UF71" s="122"/>
      <c r="UG71" s="122"/>
      <c r="UH71" s="122"/>
      <c r="UI71" s="122"/>
      <c r="UJ71" s="122"/>
      <c r="UK71" s="122"/>
      <c r="UL71" s="122"/>
      <c r="UM71" s="122"/>
      <c r="UN71" s="122"/>
      <c r="UO71" s="122"/>
      <c r="UP71" s="122"/>
      <c r="UQ71" s="122"/>
      <c r="UR71" s="122"/>
      <c r="US71" s="122"/>
      <c r="UT71" s="122"/>
      <c r="UU71" s="122"/>
      <c r="UV71" s="122"/>
      <c r="UW71" s="122"/>
      <c r="UX71" s="122"/>
      <c r="UY71" s="122"/>
      <c r="UZ71" s="122"/>
      <c r="VA71" s="122"/>
      <c r="VB71" s="122"/>
      <c r="VC71" s="122"/>
      <c r="VD71" s="122"/>
      <c r="VE71" s="122"/>
      <c r="VF71" s="122"/>
      <c r="VG71" s="122"/>
      <c r="VH71" s="122"/>
      <c r="VI71" s="122"/>
      <c r="VJ71" s="122"/>
      <c r="VK71" s="122"/>
      <c r="VL71" s="122"/>
      <c r="VM71" s="122"/>
      <c r="VN71" s="122"/>
      <c r="VO71" s="122"/>
      <c r="VP71" s="122"/>
      <c r="VQ71" s="122"/>
      <c r="VR71" s="122"/>
      <c r="VS71" s="122"/>
      <c r="VT71" s="122"/>
      <c r="VU71" s="122"/>
      <c r="VV71" s="122"/>
      <c r="VW71" s="122"/>
      <c r="VX71" s="122"/>
      <c r="VY71" s="122"/>
      <c r="VZ71" s="122"/>
      <c r="WA71" s="122"/>
      <c r="WB71" s="122"/>
      <c r="WC71" s="122"/>
      <c r="WD71" s="122"/>
      <c r="WE71" s="122"/>
      <c r="WF71" s="122"/>
      <c r="WG71" s="122"/>
      <c r="WH71" s="122"/>
      <c r="WI71" s="122"/>
      <c r="WJ71" s="122"/>
      <c r="WK71" s="122"/>
      <c r="WL71" s="122"/>
      <c r="WM71" s="122"/>
      <c r="WN71" s="122"/>
      <c r="WO71" s="122"/>
      <c r="WP71" s="122"/>
      <c r="WQ71" s="122"/>
      <c r="WR71" s="122"/>
      <c r="WS71" s="122"/>
      <c r="WT71" s="122"/>
      <c r="WU71" s="122"/>
      <c r="WV71" s="122"/>
      <c r="WW71" s="122"/>
      <c r="WX71" s="122"/>
      <c r="WY71" s="122"/>
      <c r="WZ71" s="122"/>
      <c r="XA71" s="122"/>
      <c r="XB71" s="122"/>
      <c r="XC71" s="122"/>
      <c r="XD71" s="122"/>
      <c r="XE71" s="122"/>
      <c r="XF71" s="122"/>
      <c r="XG71" s="122"/>
      <c r="XH71" s="122"/>
      <c r="XI71" s="122"/>
      <c r="XJ71" s="122"/>
      <c r="XK71" s="122"/>
      <c r="XL71" s="122"/>
      <c r="XM71" s="122"/>
      <c r="XN71" s="122"/>
      <c r="XO71" s="122"/>
      <c r="XP71" s="122"/>
      <c r="XQ71" s="122"/>
      <c r="XR71" s="122"/>
      <c r="XS71" s="122"/>
      <c r="XT71" s="122"/>
      <c r="XU71" s="122"/>
      <c r="XV71" s="122"/>
      <c r="XW71" s="122"/>
      <c r="XX71" s="122"/>
      <c r="XY71" s="122"/>
      <c r="XZ71" s="122"/>
      <c r="YA71" s="122"/>
      <c r="YB71" s="122"/>
      <c r="YC71" s="122"/>
      <c r="YD71" s="122"/>
      <c r="YE71" s="122"/>
      <c r="YF71" s="122"/>
      <c r="YG71" s="122"/>
      <c r="YH71" s="122"/>
      <c r="YI71" s="122"/>
      <c r="YJ71" s="122"/>
      <c r="YK71" s="122"/>
      <c r="YL71" s="122"/>
      <c r="YM71" s="122"/>
      <c r="YN71" s="122"/>
      <c r="YO71" s="122"/>
      <c r="YP71" s="122"/>
      <c r="YQ71" s="122"/>
      <c r="YR71" s="122"/>
      <c r="YS71" s="122"/>
      <c r="YT71" s="122"/>
      <c r="YU71" s="122"/>
      <c r="YV71" s="122"/>
      <c r="YW71" s="122"/>
      <c r="YX71" s="122"/>
      <c r="YY71" s="122"/>
      <c r="YZ71" s="122"/>
      <c r="ZA71" s="122"/>
      <c r="ZB71" s="122"/>
      <c r="ZC71" s="122"/>
      <c r="ZD71" s="122"/>
      <c r="ZE71" s="122"/>
      <c r="ZF71" s="122"/>
      <c r="ZG71" s="122"/>
      <c r="ZH71" s="122"/>
      <c r="ZI71" s="122"/>
      <c r="ZJ71" s="122"/>
      <c r="ZK71" s="122"/>
      <c r="ZL71" s="122"/>
      <c r="ZM71" s="122"/>
      <c r="ZN71" s="122"/>
      <c r="ZO71" s="122"/>
      <c r="ZP71" s="122"/>
      <c r="ZQ71" s="122"/>
      <c r="ZR71" s="122"/>
      <c r="ZS71" s="122"/>
      <c r="ZT71" s="122"/>
      <c r="ZU71" s="122"/>
      <c r="ZV71" s="122"/>
      <c r="ZW71" s="122"/>
      <c r="ZX71" s="122"/>
      <c r="ZY71" s="122"/>
      <c r="ZZ71" s="122"/>
      <c r="AAA71" s="122"/>
      <c r="AAB71" s="122"/>
      <c r="AAC71" s="122"/>
      <c r="AAD71" s="122"/>
      <c r="AAE71" s="122"/>
      <c r="AAF71" s="122"/>
      <c r="AAG71" s="122"/>
      <c r="AAH71" s="122"/>
      <c r="AAI71" s="122"/>
      <c r="AAJ71" s="122"/>
      <c r="AAK71" s="122"/>
      <c r="AAL71" s="122"/>
      <c r="AAM71" s="122"/>
      <c r="AAN71" s="122"/>
      <c r="AAO71" s="122"/>
      <c r="AAP71" s="122"/>
      <c r="AAQ71" s="122"/>
      <c r="AAR71" s="122"/>
      <c r="AAS71" s="122"/>
      <c r="AAT71" s="122"/>
      <c r="AAU71" s="122"/>
      <c r="AAV71" s="122"/>
      <c r="AAW71" s="122"/>
      <c r="AAX71" s="122"/>
      <c r="AAY71" s="122"/>
      <c r="AAZ71" s="122"/>
      <c r="ABA71" s="122"/>
      <c r="ABB71" s="122"/>
      <c r="ABC71" s="122"/>
      <c r="ABD71" s="122"/>
      <c r="ABE71" s="122"/>
      <c r="ABF71" s="122"/>
      <c r="ABG71" s="122"/>
      <c r="ABH71" s="122"/>
      <c r="ABI71" s="122"/>
      <c r="ABJ71" s="122"/>
      <c r="ABK71" s="122"/>
      <c r="ABL71" s="122"/>
      <c r="ABM71" s="122"/>
      <c r="ABN71" s="122"/>
      <c r="ABO71" s="122"/>
      <c r="ABP71" s="122"/>
      <c r="ABQ71" s="122"/>
      <c r="ABR71" s="122"/>
      <c r="ABS71" s="122"/>
      <c r="ABT71" s="122"/>
      <c r="ABU71" s="122"/>
      <c r="ABV71" s="122"/>
      <c r="ABW71" s="122"/>
      <c r="ABX71" s="122"/>
      <c r="ABY71" s="122"/>
      <c r="ABZ71" s="122"/>
      <c r="ACA71" s="122"/>
      <c r="ACB71" s="122"/>
      <c r="ACC71" s="122"/>
      <c r="ACD71" s="122"/>
      <c r="ACE71" s="122"/>
      <c r="ACF71" s="122"/>
      <c r="ACG71" s="122"/>
      <c r="ACH71" s="122"/>
      <c r="ACI71" s="122"/>
      <c r="ACJ71" s="122"/>
      <c r="ACK71" s="122"/>
      <c r="ACL71" s="122"/>
      <c r="ACM71" s="122"/>
      <c r="ACN71" s="122"/>
      <c r="ACO71" s="122"/>
      <c r="ACP71" s="122"/>
      <c r="ACQ71" s="122"/>
      <c r="ACR71" s="122"/>
      <c r="ACS71" s="122"/>
      <c r="ACT71" s="122"/>
      <c r="ACU71" s="122"/>
      <c r="ACV71" s="122"/>
      <c r="ACW71" s="122"/>
      <c r="ACX71" s="122"/>
      <c r="ACY71" s="122"/>
      <c r="ACZ71" s="122"/>
      <c r="ADA71" s="122"/>
      <c r="ADB71" s="122"/>
      <c r="ADC71" s="122"/>
      <c r="ADD71" s="122"/>
      <c r="ADE71" s="122"/>
      <c r="ADF71" s="122"/>
      <c r="ADG71" s="122"/>
      <c r="ADH71" s="122"/>
      <c r="ADI71" s="122"/>
      <c r="ADJ71" s="122"/>
      <c r="ADK71" s="122"/>
      <c r="ADL71" s="122"/>
      <c r="ADM71" s="122"/>
      <c r="ADN71" s="122"/>
      <c r="ADO71" s="122"/>
      <c r="ADP71" s="122"/>
      <c r="ADQ71" s="122"/>
      <c r="ADR71" s="122"/>
      <c r="ADS71" s="122"/>
      <c r="ADT71" s="122"/>
      <c r="ADU71" s="122"/>
      <c r="ADV71" s="122"/>
      <c r="ADW71" s="122"/>
      <c r="ADX71" s="122"/>
      <c r="ADY71" s="122"/>
      <c r="ADZ71" s="122"/>
      <c r="AEA71" s="122"/>
      <c r="AEB71" s="122"/>
      <c r="AEC71" s="122"/>
      <c r="AED71" s="122"/>
      <c r="AEE71" s="122"/>
      <c r="AEF71" s="122"/>
      <c r="AEG71" s="122"/>
      <c r="AEH71" s="122"/>
      <c r="AEI71" s="122"/>
      <c r="AEJ71" s="122"/>
      <c r="AEK71" s="122"/>
      <c r="AEL71" s="122"/>
      <c r="AEM71" s="122"/>
      <c r="AEN71" s="122"/>
      <c r="AEO71" s="122"/>
      <c r="AEP71" s="122"/>
      <c r="AEQ71" s="122"/>
      <c r="AER71" s="122"/>
      <c r="AES71" s="122"/>
      <c r="AET71" s="122"/>
      <c r="AEU71" s="122"/>
      <c r="AEV71" s="122"/>
      <c r="AEW71" s="122"/>
      <c r="AEX71" s="122"/>
      <c r="AEY71" s="122"/>
      <c r="AEZ71" s="122"/>
      <c r="AFA71" s="122"/>
      <c r="AFB71" s="122"/>
      <c r="AFC71" s="122"/>
      <c r="AFD71" s="122"/>
      <c r="AFE71" s="122"/>
      <c r="AFF71" s="122"/>
      <c r="AFG71" s="122"/>
      <c r="AFH71" s="122"/>
      <c r="AFI71" s="122"/>
      <c r="AFJ71" s="122"/>
      <c r="AFK71" s="122"/>
      <c r="AFL71" s="122"/>
      <c r="AFM71" s="122"/>
      <c r="AFN71" s="122"/>
      <c r="AFO71" s="122"/>
      <c r="AFP71" s="122"/>
      <c r="AFQ71" s="122"/>
      <c r="AFR71" s="122"/>
      <c r="AFS71" s="122"/>
      <c r="AFT71" s="122"/>
      <c r="AFU71" s="122"/>
      <c r="AFV71" s="122"/>
      <c r="AFW71" s="122"/>
      <c r="AFX71" s="122"/>
      <c r="AFY71" s="122"/>
      <c r="AFZ71" s="122"/>
      <c r="AGA71" s="122"/>
      <c r="AGB71" s="122"/>
      <c r="AGC71" s="122"/>
      <c r="AGD71" s="122"/>
      <c r="AGE71" s="122"/>
      <c r="AGF71" s="122"/>
      <c r="AGG71" s="122"/>
      <c r="AGH71" s="122"/>
      <c r="AGI71" s="122"/>
      <c r="AGJ71" s="122"/>
      <c r="AGK71" s="122"/>
      <c r="AGL71" s="122"/>
      <c r="AGM71" s="122"/>
      <c r="AGN71" s="122"/>
      <c r="AGO71" s="122"/>
      <c r="AGP71" s="122"/>
      <c r="AGQ71" s="122"/>
      <c r="AGR71" s="122"/>
      <c r="AGS71" s="122"/>
      <c r="AGT71" s="122"/>
      <c r="AGU71" s="122"/>
      <c r="AGV71" s="122"/>
      <c r="AGW71" s="122"/>
      <c r="AGX71" s="122"/>
      <c r="AGY71" s="122"/>
      <c r="AGZ71" s="122"/>
      <c r="AHA71" s="122"/>
      <c r="AHB71" s="122"/>
      <c r="AHC71" s="122"/>
      <c r="AHD71" s="122"/>
      <c r="AHE71" s="122"/>
      <c r="AHF71" s="122"/>
      <c r="AHG71" s="122"/>
      <c r="AHH71" s="122"/>
      <c r="AHI71" s="122"/>
      <c r="AHJ71" s="122"/>
      <c r="AHK71" s="122"/>
      <c r="AHL71" s="122"/>
      <c r="AHM71" s="122"/>
      <c r="AHN71" s="122"/>
      <c r="AHO71" s="122"/>
      <c r="AHP71" s="122"/>
      <c r="AHQ71" s="122"/>
      <c r="AHR71" s="122"/>
      <c r="AHS71" s="122"/>
      <c r="AHT71" s="122"/>
      <c r="AHU71" s="122"/>
      <c r="AHV71" s="122"/>
      <c r="AHW71" s="122"/>
      <c r="AHX71" s="122"/>
      <c r="AHY71" s="122"/>
      <c r="AHZ71" s="122"/>
      <c r="AIA71" s="122"/>
      <c r="AIB71" s="122"/>
      <c r="AIC71" s="122"/>
      <c r="AID71" s="122"/>
      <c r="AIE71" s="122"/>
      <c r="AIF71" s="122"/>
      <c r="AIG71" s="122"/>
      <c r="AIH71" s="122"/>
      <c r="AII71" s="122"/>
      <c r="AIJ71" s="122"/>
      <c r="AIK71" s="122"/>
      <c r="AIL71" s="122"/>
      <c r="AIM71" s="122"/>
      <c r="AIN71" s="122"/>
      <c r="AIO71" s="122"/>
      <c r="AIP71" s="122"/>
      <c r="AIQ71" s="122"/>
      <c r="AIR71" s="122"/>
      <c r="AIS71" s="122"/>
      <c r="AIT71" s="122"/>
      <c r="AIU71" s="122"/>
      <c r="AIV71" s="122"/>
      <c r="AIW71" s="122"/>
      <c r="AIX71" s="122"/>
      <c r="AIY71" s="122"/>
      <c r="AIZ71" s="122"/>
      <c r="AJA71" s="122"/>
      <c r="AJB71" s="122"/>
      <c r="AJC71" s="122"/>
      <c r="AJD71" s="122"/>
      <c r="AJE71" s="122"/>
      <c r="AJF71" s="122"/>
      <c r="AJG71" s="122"/>
      <c r="AJH71" s="122"/>
      <c r="AJI71" s="122"/>
      <c r="AJJ71" s="122"/>
      <c r="AJK71" s="122"/>
      <c r="AJL71" s="122"/>
      <c r="AJM71" s="122"/>
      <c r="AJN71" s="122"/>
      <c r="AJO71" s="122"/>
      <c r="AJP71" s="122"/>
      <c r="AJQ71" s="122"/>
      <c r="AJR71" s="122"/>
      <c r="AJS71" s="122"/>
      <c r="AJT71" s="122"/>
      <c r="AJU71" s="122"/>
      <c r="AJV71" s="122"/>
      <c r="AJW71" s="122"/>
      <c r="AJX71" s="122"/>
      <c r="AJY71" s="122"/>
      <c r="AJZ71" s="122"/>
      <c r="AKA71" s="122"/>
      <c r="AKB71" s="122"/>
      <c r="AKC71" s="122"/>
      <c r="AKD71" s="122"/>
      <c r="AKE71" s="122"/>
      <c r="AKF71" s="122"/>
      <c r="AKG71" s="122"/>
      <c r="AKH71" s="122"/>
      <c r="AKI71" s="122"/>
      <c r="AKJ71" s="122"/>
      <c r="AKK71" s="122"/>
      <c r="AKL71" s="122"/>
      <c r="AKM71" s="122"/>
      <c r="AKN71" s="122"/>
      <c r="AKO71" s="122"/>
      <c r="AKP71" s="122"/>
      <c r="AKQ71" s="122"/>
      <c r="AKR71" s="122"/>
      <c r="AKS71" s="122"/>
      <c r="AKT71" s="122"/>
      <c r="AKU71" s="122"/>
      <c r="AKV71" s="122"/>
      <c r="AKW71" s="122"/>
      <c r="AKX71" s="122"/>
      <c r="AKY71" s="122"/>
      <c r="AKZ71" s="122"/>
      <c r="ALA71" s="122"/>
      <c r="ALB71" s="122"/>
      <c r="ALC71" s="122"/>
      <c r="ALD71" s="122"/>
      <c r="ALE71" s="122"/>
      <c r="ALF71" s="122"/>
      <c r="ALG71" s="122"/>
      <c r="ALH71" s="122"/>
      <c r="ALI71" s="122"/>
      <c r="ALJ71" s="122"/>
      <c r="ALK71" s="122"/>
      <c r="ALL71" s="122"/>
      <c r="ALM71" s="122"/>
      <c r="ALN71" s="122"/>
      <c r="ALO71" s="122"/>
      <c r="ALP71" s="122"/>
      <c r="ALQ71" s="122"/>
      <c r="ALR71" s="122"/>
      <c r="ALS71" s="122"/>
      <c r="ALT71" s="122"/>
      <c r="ALU71" s="122"/>
      <c r="ALV71" s="122"/>
      <c r="ALW71" s="122"/>
      <c r="ALX71" s="122"/>
      <c r="ALY71" s="122"/>
      <c r="ALZ71" s="122"/>
      <c r="AMA71" s="122"/>
      <c r="AMB71" s="122"/>
      <c r="AMC71" s="122"/>
      <c r="AMD71" s="122"/>
      <c r="AME71" s="122"/>
      <c r="AMF71" s="122"/>
      <c r="AMG71" s="122"/>
      <c r="AMH71" s="122"/>
      <c r="AMI71" s="122"/>
      <c r="AMJ71" s="122"/>
      <c r="AMK71" s="122"/>
      <c r="AML71" s="122"/>
      <c r="AMM71" s="122"/>
      <c r="AMN71" s="122"/>
      <c r="AMO71" s="122"/>
      <c r="AMP71" s="122"/>
      <c r="AMQ71" s="122"/>
      <c r="AMR71" s="122"/>
      <c r="AMS71" s="122"/>
      <c r="AMT71" s="122"/>
      <c r="AMU71" s="122"/>
      <c r="AMV71" s="122"/>
      <c r="AMW71" s="122"/>
      <c r="AMX71" s="122"/>
      <c r="AMY71" s="122"/>
      <c r="AMZ71" s="122"/>
      <c r="ANA71" s="122"/>
      <c r="ANB71" s="122"/>
      <c r="ANC71" s="122"/>
      <c r="AND71" s="122"/>
      <c r="ANE71" s="122"/>
      <c r="ANF71" s="122"/>
      <c r="ANG71" s="122"/>
      <c r="ANH71" s="122"/>
      <c r="ANI71" s="122"/>
      <c r="ANJ71" s="122"/>
      <c r="ANK71" s="122"/>
      <c r="ANL71" s="122"/>
      <c r="ANM71" s="122"/>
      <c r="ANN71" s="122"/>
      <c r="ANO71" s="122"/>
      <c r="ANP71" s="122"/>
      <c r="ANQ71" s="122"/>
      <c r="ANR71" s="122"/>
      <c r="ANS71" s="122"/>
      <c r="ANT71" s="122"/>
      <c r="ANU71" s="122"/>
      <c r="ANV71" s="122"/>
      <c r="ANW71" s="122"/>
      <c r="ANX71" s="122"/>
      <c r="ANY71" s="122"/>
      <c r="ANZ71" s="122"/>
      <c r="AOA71" s="122"/>
      <c r="AOB71" s="122"/>
      <c r="AOC71" s="122"/>
      <c r="AOD71" s="122"/>
      <c r="AOE71" s="122"/>
      <c r="AOF71" s="122"/>
      <c r="AOG71" s="122"/>
      <c r="AOH71" s="122"/>
      <c r="AOI71" s="122"/>
      <c r="AOJ71" s="122"/>
      <c r="AOK71" s="122"/>
      <c r="AOL71" s="122"/>
      <c r="AOM71" s="122"/>
      <c r="AON71" s="122"/>
      <c r="AOO71" s="122"/>
      <c r="AOP71" s="122"/>
      <c r="AOQ71" s="122"/>
      <c r="AOR71" s="122"/>
      <c r="AOS71" s="122"/>
      <c r="AOT71" s="122"/>
      <c r="AOU71" s="122"/>
      <c r="AOV71" s="122"/>
      <c r="AOW71" s="122"/>
      <c r="AOX71" s="122"/>
      <c r="AOY71" s="122"/>
      <c r="AOZ71" s="122"/>
      <c r="APA71" s="122"/>
      <c r="APB71" s="122"/>
      <c r="APC71" s="122"/>
      <c r="APD71" s="122"/>
      <c r="APE71" s="122"/>
      <c r="APF71" s="122"/>
      <c r="APG71" s="122"/>
      <c r="APH71" s="122"/>
      <c r="API71" s="122"/>
      <c r="APJ71" s="122"/>
      <c r="APK71" s="122"/>
      <c r="APL71" s="122"/>
      <c r="APM71" s="122"/>
      <c r="APN71" s="122"/>
      <c r="APO71" s="122"/>
      <c r="APP71" s="122"/>
      <c r="APQ71" s="122"/>
      <c r="APR71" s="122"/>
      <c r="APS71" s="122"/>
      <c r="APT71" s="122"/>
      <c r="APU71" s="122"/>
      <c r="APV71" s="122"/>
      <c r="APW71" s="122"/>
      <c r="APX71" s="122"/>
      <c r="APY71" s="122"/>
      <c r="APZ71" s="122"/>
      <c r="AQA71" s="122"/>
      <c r="AQB71" s="122"/>
      <c r="AQC71" s="122"/>
      <c r="AQD71" s="122"/>
      <c r="AQE71" s="122"/>
      <c r="AQF71" s="122"/>
      <c r="AQG71" s="122"/>
      <c r="AQH71" s="122"/>
      <c r="AQI71" s="122"/>
      <c r="AQJ71" s="122"/>
      <c r="AQK71" s="122"/>
      <c r="AQL71" s="122"/>
      <c r="AQM71" s="122"/>
      <c r="AQN71" s="122"/>
      <c r="AQO71" s="122"/>
      <c r="AQP71" s="122"/>
      <c r="AQQ71" s="122"/>
      <c r="AQR71" s="122"/>
      <c r="AQS71" s="122"/>
      <c r="AQT71" s="122"/>
      <c r="AQU71" s="122"/>
      <c r="AQV71" s="122"/>
      <c r="AQW71" s="122"/>
      <c r="AQX71" s="122"/>
      <c r="AQY71" s="122"/>
      <c r="AQZ71" s="122"/>
      <c r="ARA71" s="122"/>
      <c r="ARB71" s="122"/>
      <c r="ARC71" s="122"/>
      <c r="ARD71" s="122"/>
      <c r="ARE71" s="122"/>
      <c r="ARF71" s="122"/>
      <c r="ARG71" s="122"/>
      <c r="ARH71" s="122"/>
      <c r="ARI71" s="122"/>
      <c r="ARJ71" s="122"/>
      <c r="ARK71" s="122"/>
      <c r="ARL71" s="122"/>
      <c r="ARM71" s="122"/>
      <c r="ARN71" s="122"/>
      <c r="ARO71" s="122"/>
      <c r="ARP71" s="122"/>
      <c r="ARQ71" s="122"/>
      <c r="ARR71" s="122"/>
      <c r="ARS71" s="122"/>
      <c r="ART71" s="122"/>
      <c r="ARU71" s="122"/>
      <c r="ARV71" s="122"/>
      <c r="ARW71" s="122"/>
      <c r="ARX71" s="122"/>
      <c r="ARY71" s="122"/>
      <c r="ARZ71" s="122"/>
      <c r="ASA71" s="122"/>
      <c r="ASB71" s="122"/>
      <c r="ASC71" s="122"/>
      <c r="ASD71" s="122"/>
      <c r="ASE71" s="122"/>
      <c r="ASF71" s="122"/>
      <c r="ASG71" s="122"/>
      <c r="ASH71" s="122"/>
      <c r="ASI71" s="122"/>
      <c r="ASJ71" s="122"/>
      <c r="ASK71" s="122"/>
      <c r="ASL71" s="122"/>
      <c r="ASM71" s="122"/>
      <c r="ASN71" s="122"/>
      <c r="ASO71" s="122"/>
      <c r="ASP71" s="122"/>
      <c r="ASQ71" s="122"/>
      <c r="ASR71" s="122"/>
      <c r="ASS71" s="122"/>
      <c r="AST71" s="122"/>
      <c r="ASU71" s="122"/>
      <c r="ASV71" s="122"/>
      <c r="ASW71" s="122"/>
      <c r="ASX71" s="122"/>
      <c r="ASY71" s="122"/>
      <c r="ASZ71" s="122"/>
      <c r="ATA71" s="122"/>
      <c r="ATB71" s="122"/>
      <c r="ATC71" s="122"/>
      <c r="ATD71" s="122"/>
      <c r="ATE71" s="122"/>
      <c r="ATF71" s="122"/>
      <c r="ATG71" s="122"/>
      <c r="ATH71" s="122"/>
      <c r="ATI71" s="122"/>
      <c r="ATJ71" s="122"/>
      <c r="ATK71" s="122"/>
      <c r="ATL71" s="122"/>
      <c r="ATM71" s="122"/>
      <c r="ATN71" s="122"/>
      <c r="ATO71" s="122"/>
      <c r="ATP71" s="122"/>
      <c r="ATQ71" s="122"/>
      <c r="ATR71" s="122"/>
      <c r="ATS71" s="122"/>
      <c r="ATT71" s="122"/>
      <c r="ATU71" s="122"/>
      <c r="ATV71" s="122"/>
      <c r="ATW71" s="122"/>
      <c r="ATX71" s="122"/>
      <c r="ATY71" s="122"/>
      <c r="ATZ71" s="122"/>
      <c r="AUA71" s="122"/>
      <c r="AUB71" s="122"/>
      <c r="AUC71" s="122"/>
      <c r="AUD71" s="122"/>
      <c r="AUE71" s="122"/>
      <c r="AUF71" s="122"/>
      <c r="AUG71" s="122"/>
      <c r="AUH71" s="122"/>
      <c r="AUI71" s="122"/>
      <c r="AUJ71" s="122"/>
      <c r="AUK71" s="122"/>
      <c r="AUL71" s="122"/>
      <c r="AUM71" s="122"/>
      <c r="AUN71" s="122"/>
      <c r="AUO71" s="122"/>
      <c r="AUP71" s="122"/>
      <c r="AUQ71" s="122"/>
      <c r="AUR71" s="122"/>
      <c r="AUS71" s="122"/>
      <c r="AUT71" s="122"/>
      <c r="AUU71" s="122"/>
      <c r="AUV71" s="122"/>
      <c r="AUW71" s="122"/>
      <c r="AUX71" s="122"/>
      <c r="AUY71" s="122"/>
      <c r="AUZ71" s="122"/>
      <c r="AVA71" s="122"/>
      <c r="AVB71" s="122"/>
      <c r="AVC71" s="122"/>
      <c r="AVD71" s="122"/>
      <c r="AVE71" s="122"/>
      <c r="AVF71" s="122"/>
      <c r="AVG71" s="122"/>
      <c r="AVH71" s="122"/>
      <c r="AVI71" s="122"/>
      <c r="AVJ71" s="122"/>
      <c r="AVK71" s="122"/>
      <c r="AVL71" s="122"/>
      <c r="AVM71" s="122"/>
      <c r="AVN71" s="122"/>
      <c r="AVO71" s="122"/>
      <c r="AVP71" s="122"/>
      <c r="AVQ71" s="122"/>
      <c r="AVR71" s="122"/>
      <c r="AVS71" s="122"/>
      <c r="AVT71" s="122"/>
      <c r="AVU71" s="122"/>
      <c r="AVV71" s="122"/>
      <c r="AVW71" s="122"/>
      <c r="AVX71" s="122"/>
      <c r="AVY71" s="122"/>
      <c r="AVZ71" s="122"/>
      <c r="AWA71" s="122"/>
      <c r="AWB71" s="122"/>
      <c r="AWC71" s="122"/>
      <c r="AWD71" s="122"/>
      <c r="AWE71" s="122"/>
      <c r="AWF71" s="122"/>
      <c r="AWG71" s="122"/>
      <c r="AWH71" s="122"/>
      <c r="AWI71" s="122"/>
      <c r="AWJ71" s="122"/>
      <c r="AWK71" s="122"/>
      <c r="AWL71" s="122"/>
      <c r="AWM71" s="122"/>
      <c r="AWN71" s="122"/>
      <c r="AWO71" s="122"/>
      <c r="AWP71" s="122"/>
      <c r="AWQ71" s="122"/>
      <c r="AWR71" s="122"/>
      <c r="AWS71" s="122"/>
      <c r="AWT71" s="122"/>
      <c r="AWU71" s="122"/>
      <c r="AWV71" s="122"/>
      <c r="AWW71" s="122"/>
      <c r="AWX71" s="122"/>
      <c r="AWY71" s="122"/>
      <c r="AWZ71" s="122"/>
      <c r="AXA71" s="122"/>
      <c r="AXB71" s="122"/>
      <c r="AXC71" s="122"/>
      <c r="AXD71" s="122"/>
      <c r="AXE71" s="122"/>
      <c r="AXF71" s="122"/>
      <c r="AXG71" s="122"/>
      <c r="AXH71" s="122"/>
      <c r="AXI71" s="122"/>
      <c r="AXJ71" s="122"/>
      <c r="AXK71" s="122"/>
      <c r="AXL71" s="122"/>
      <c r="AXM71" s="122"/>
      <c r="AXN71" s="122"/>
      <c r="AXO71" s="122"/>
      <c r="AXP71" s="122"/>
      <c r="AXQ71" s="122"/>
      <c r="AXR71" s="122"/>
      <c r="AXS71" s="122"/>
      <c r="AXT71" s="122"/>
      <c r="AXU71" s="122"/>
      <c r="AXV71" s="122"/>
      <c r="AXW71" s="122"/>
      <c r="AXX71" s="122"/>
      <c r="AXY71" s="122"/>
      <c r="AXZ71" s="122"/>
      <c r="AYA71" s="122"/>
      <c r="AYB71" s="122"/>
      <c r="AYC71" s="122"/>
      <c r="AYD71" s="122"/>
      <c r="AYE71" s="122"/>
      <c r="AYF71" s="122"/>
      <c r="AYG71" s="122"/>
      <c r="AYH71" s="122"/>
      <c r="AYI71" s="122"/>
      <c r="AYJ71" s="122"/>
      <c r="AYK71" s="122"/>
      <c r="AYL71" s="122"/>
      <c r="AYM71" s="122"/>
      <c r="AYN71" s="122"/>
      <c r="AYO71" s="122"/>
      <c r="AYP71" s="122"/>
      <c r="AYQ71" s="122"/>
      <c r="AYR71" s="122"/>
      <c r="AYS71" s="122"/>
      <c r="AYT71" s="122"/>
      <c r="AYU71" s="122"/>
      <c r="AYV71" s="122"/>
      <c r="AYW71" s="122"/>
      <c r="AYX71" s="122"/>
      <c r="AYY71" s="122"/>
      <c r="AYZ71" s="122"/>
      <c r="AZA71" s="122"/>
      <c r="AZB71" s="122"/>
      <c r="AZC71" s="122"/>
      <c r="AZD71" s="122"/>
      <c r="AZE71" s="122"/>
      <c r="AZF71" s="122"/>
      <c r="AZG71" s="122"/>
      <c r="AZH71" s="122"/>
      <c r="AZI71" s="122"/>
      <c r="AZJ71" s="122"/>
      <c r="AZK71" s="122"/>
      <c r="AZL71" s="122"/>
      <c r="AZM71" s="122"/>
      <c r="AZN71" s="122"/>
      <c r="AZO71" s="122"/>
      <c r="AZP71" s="122"/>
      <c r="AZQ71" s="122"/>
      <c r="AZR71" s="122"/>
      <c r="AZS71" s="122"/>
      <c r="AZT71" s="122"/>
      <c r="AZU71" s="122"/>
      <c r="AZV71" s="122"/>
      <c r="AZW71" s="122"/>
      <c r="AZX71" s="122"/>
      <c r="AZY71" s="122"/>
      <c r="AZZ71" s="122"/>
      <c r="BAA71" s="122"/>
      <c r="BAB71" s="122"/>
      <c r="BAC71" s="122"/>
      <c r="BAD71" s="122"/>
      <c r="BAE71" s="122"/>
      <c r="BAF71" s="122"/>
      <c r="BAG71" s="122"/>
      <c r="BAH71" s="122"/>
      <c r="BAI71" s="122"/>
      <c r="BAJ71" s="122"/>
      <c r="BAK71" s="122"/>
      <c r="BAL71" s="122"/>
      <c r="BAM71" s="122"/>
      <c r="BAN71" s="122"/>
      <c r="BAO71" s="122"/>
      <c r="BAP71" s="122"/>
      <c r="BAQ71" s="122"/>
      <c r="BAR71" s="122"/>
      <c r="BAS71" s="122"/>
      <c r="BAT71" s="122"/>
      <c r="BAU71" s="122"/>
      <c r="BAV71" s="122"/>
      <c r="BAW71" s="122"/>
      <c r="BAX71" s="122"/>
      <c r="BAY71" s="122"/>
      <c r="BAZ71" s="122"/>
      <c r="BBA71" s="122"/>
      <c r="BBB71" s="122"/>
      <c r="BBC71" s="122"/>
      <c r="BBD71" s="122"/>
      <c r="BBE71" s="122"/>
      <c r="BBF71" s="122"/>
      <c r="BBG71" s="122"/>
      <c r="BBH71" s="122"/>
      <c r="BBI71" s="122"/>
      <c r="BBJ71" s="122"/>
      <c r="BBK71" s="122"/>
      <c r="BBL71" s="122"/>
      <c r="BBM71" s="122"/>
      <c r="BBN71" s="122"/>
      <c r="BBO71" s="122"/>
      <c r="BBP71" s="122"/>
      <c r="BBQ71" s="122"/>
      <c r="BBR71" s="122"/>
      <c r="BBS71" s="122"/>
      <c r="BBT71" s="122"/>
      <c r="BBU71" s="122"/>
      <c r="BBV71" s="122"/>
      <c r="BBW71" s="122"/>
      <c r="BBX71" s="122"/>
      <c r="BBY71" s="122"/>
      <c r="BBZ71" s="122"/>
      <c r="BCA71" s="122"/>
      <c r="BCB71" s="122"/>
      <c r="BCC71" s="122"/>
      <c r="BCD71" s="122"/>
      <c r="BCE71" s="122"/>
      <c r="BCF71" s="122"/>
      <c r="BCG71" s="122"/>
      <c r="BCH71" s="122"/>
      <c r="BCI71" s="122"/>
      <c r="BCJ71" s="122"/>
      <c r="BCK71" s="122"/>
      <c r="BCL71" s="122"/>
      <c r="BCM71" s="122"/>
      <c r="BCN71" s="122"/>
      <c r="BCO71" s="122"/>
      <c r="BCP71" s="122"/>
      <c r="BCQ71" s="122"/>
      <c r="BCR71" s="122"/>
      <c r="BCS71" s="122"/>
      <c r="BCT71" s="122"/>
      <c r="BCU71" s="122"/>
      <c r="BCV71" s="122"/>
      <c r="BCW71" s="122"/>
      <c r="BCX71" s="122"/>
      <c r="BCY71" s="122"/>
      <c r="BCZ71" s="122"/>
      <c r="BDA71" s="122"/>
      <c r="BDB71" s="122"/>
      <c r="BDC71" s="122"/>
      <c r="BDD71" s="122"/>
      <c r="BDE71" s="122"/>
      <c r="BDF71" s="122"/>
      <c r="BDG71" s="122"/>
      <c r="BDH71" s="122"/>
      <c r="BDI71" s="122"/>
      <c r="BDJ71" s="122"/>
      <c r="BDK71" s="122"/>
      <c r="BDL71" s="122"/>
      <c r="BDM71" s="122"/>
      <c r="BDN71" s="122"/>
      <c r="BDO71" s="122"/>
      <c r="BDP71" s="122"/>
      <c r="BDQ71" s="122"/>
      <c r="BDR71" s="122"/>
      <c r="BDS71" s="122"/>
      <c r="BDT71" s="122"/>
      <c r="BDU71" s="122"/>
      <c r="BDV71" s="122"/>
      <c r="BDW71" s="122"/>
      <c r="BDX71" s="122"/>
      <c r="BDY71" s="122"/>
      <c r="BDZ71" s="122"/>
      <c r="BEA71" s="122"/>
      <c r="BEB71" s="122"/>
      <c r="BEC71" s="122"/>
      <c r="BED71" s="122"/>
      <c r="BEE71" s="122"/>
      <c r="BEF71" s="122"/>
      <c r="BEG71" s="122"/>
      <c r="BEH71" s="122"/>
      <c r="BEI71" s="122"/>
      <c r="BEJ71" s="122"/>
      <c r="BEK71" s="122"/>
      <c r="BEL71" s="122"/>
      <c r="BEM71" s="122"/>
      <c r="BEN71" s="122"/>
      <c r="BEO71" s="122"/>
      <c r="BEP71" s="122"/>
      <c r="BEQ71" s="122"/>
      <c r="BER71" s="122"/>
      <c r="BES71" s="122"/>
      <c r="BET71" s="122"/>
      <c r="BEU71" s="122"/>
      <c r="BEV71" s="122"/>
      <c r="BEW71" s="122"/>
      <c r="BEX71" s="122"/>
      <c r="BEY71" s="122"/>
      <c r="BEZ71" s="122"/>
      <c r="BFA71" s="122"/>
      <c r="BFB71" s="122"/>
      <c r="BFC71" s="122"/>
      <c r="BFD71" s="122"/>
      <c r="BFE71" s="122"/>
      <c r="BFF71" s="122"/>
      <c r="BFG71" s="122"/>
      <c r="BFH71" s="122"/>
      <c r="BFI71" s="122"/>
      <c r="BFJ71" s="122"/>
      <c r="BFK71" s="122"/>
      <c r="BFL71" s="122"/>
      <c r="BFM71" s="122"/>
      <c r="BFN71" s="122"/>
      <c r="BFO71" s="122"/>
      <c r="BFP71" s="122"/>
      <c r="BFQ71" s="122"/>
      <c r="BFR71" s="122"/>
      <c r="BFS71" s="122"/>
      <c r="BFT71" s="122"/>
      <c r="BFU71" s="122"/>
      <c r="BFV71" s="122"/>
      <c r="BFW71" s="122"/>
      <c r="BFX71" s="122"/>
      <c r="BFY71" s="122"/>
      <c r="BFZ71" s="122"/>
      <c r="BGA71" s="122"/>
      <c r="BGB71" s="122"/>
      <c r="BGC71" s="122"/>
      <c r="BGD71" s="122"/>
      <c r="BGE71" s="122"/>
      <c r="BGF71" s="122"/>
      <c r="BGG71" s="122"/>
      <c r="BGH71" s="122"/>
      <c r="BGI71" s="122"/>
      <c r="BGJ71" s="122"/>
      <c r="BGK71" s="122"/>
      <c r="BGL71" s="122"/>
      <c r="BGM71" s="122"/>
      <c r="BGN71" s="122"/>
      <c r="BGO71" s="122"/>
      <c r="BGP71" s="122"/>
      <c r="BGQ71" s="122"/>
      <c r="BGR71" s="122"/>
      <c r="BGS71" s="122"/>
      <c r="BGT71" s="122"/>
      <c r="BGU71" s="122"/>
      <c r="BGV71" s="122"/>
      <c r="BGW71" s="122"/>
      <c r="BGX71" s="122"/>
      <c r="BGY71" s="122"/>
      <c r="BGZ71" s="122"/>
      <c r="BHA71" s="122"/>
      <c r="BHB71" s="122"/>
      <c r="BHC71" s="122"/>
      <c r="BHD71" s="122"/>
      <c r="BHE71" s="122"/>
      <c r="BHF71" s="122"/>
      <c r="BHG71" s="122"/>
      <c r="BHH71" s="122"/>
      <c r="BHI71" s="122"/>
      <c r="BHJ71" s="122"/>
      <c r="BHK71" s="122"/>
      <c r="BHL71" s="122"/>
      <c r="BHM71" s="122"/>
      <c r="BHN71" s="122"/>
      <c r="BHO71" s="122"/>
      <c r="BHP71" s="122"/>
      <c r="BHQ71" s="122"/>
      <c r="BHR71" s="122"/>
      <c r="BHS71" s="122"/>
      <c r="BHT71" s="122"/>
      <c r="BHU71" s="122"/>
      <c r="BHV71" s="122"/>
      <c r="BHW71" s="122"/>
      <c r="BHX71" s="122"/>
      <c r="BHY71" s="122"/>
      <c r="BHZ71" s="122"/>
      <c r="BIA71" s="122"/>
      <c r="BIB71" s="122"/>
      <c r="BIC71" s="122"/>
      <c r="BID71" s="122"/>
      <c r="BIE71" s="122"/>
      <c r="BIF71" s="122"/>
      <c r="BIG71" s="122"/>
      <c r="BIH71" s="122"/>
      <c r="BII71" s="122"/>
      <c r="BIJ71" s="122"/>
      <c r="BIK71" s="122"/>
      <c r="BIL71" s="122"/>
      <c r="BIM71" s="122"/>
      <c r="BIN71" s="122"/>
      <c r="BIO71" s="122"/>
      <c r="BIP71" s="122"/>
      <c r="BIQ71" s="122"/>
      <c r="BIR71" s="122"/>
      <c r="BIS71" s="122"/>
      <c r="BIT71" s="122"/>
      <c r="BIU71" s="122"/>
      <c r="BIV71" s="122"/>
      <c r="BIW71" s="122"/>
      <c r="BIX71" s="122"/>
      <c r="BIY71" s="122"/>
      <c r="BIZ71" s="122"/>
      <c r="BJA71" s="122"/>
      <c r="BJB71" s="122"/>
      <c r="BJC71" s="122"/>
      <c r="BJD71" s="122"/>
      <c r="BJE71" s="122"/>
      <c r="BJF71" s="122"/>
      <c r="BJG71" s="122"/>
      <c r="BJH71" s="122"/>
      <c r="BJI71" s="122"/>
      <c r="BJJ71" s="122"/>
      <c r="BJK71" s="122"/>
      <c r="BJL71" s="122"/>
      <c r="BJM71" s="122"/>
      <c r="BJN71" s="122"/>
      <c r="BJO71" s="122"/>
      <c r="BJP71" s="122"/>
      <c r="BJQ71" s="122"/>
      <c r="BJR71" s="122"/>
      <c r="BJS71" s="122"/>
      <c r="BJT71" s="122"/>
      <c r="BJU71" s="122"/>
      <c r="BJV71" s="122"/>
      <c r="BJW71" s="122"/>
      <c r="BJX71" s="122"/>
      <c r="BJY71" s="122"/>
      <c r="BJZ71" s="122"/>
      <c r="BKA71" s="122"/>
      <c r="BKB71" s="122"/>
      <c r="BKC71" s="122"/>
      <c r="BKD71" s="122"/>
      <c r="BKE71" s="122"/>
      <c r="BKF71" s="122"/>
      <c r="BKG71" s="122"/>
      <c r="BKH71" s="122"/>
      <c r="BKI71" s="122"/>
      <c r="BKJ71" s="122"/>
      <c r="BKK71" s="122"/>
      <c r="BKL71" s="122"/>
      <c r="BKM71" s="122"/>
      <c r="BKN71" s="122"/>
      <c r="BKO71" s="122"/>
      <c r="BKP71" s="122"/>
      <c r="BKQ71" s="122"/>
      <c r="BKR71" s="122"/>
      <c r="BKS71" s="122"/>
      <c r="BKT71" s="122"/>
      <c r="BKU71" s="122"/>
      <c r="BKV71" s="122"/>
      <c r="BKW71" s="122"/>
      <c r="BKX71" s="122"/>
      <c r="BKY71" s="122"/>
      <c r="BKZ71" s="122"/>
      <c r="BLA71" s="122"/>
      <c r="BLB71" s="122"/>
      <c r="BLC71" s="122"/>
      <c r="BLD71" s="122"/>
      <c r="BLE71" s="122"/>
      <c r="BLF71" s="122"/>
      <c r="BLG71" s="122"/>
      <c r="BLH71" s="122"/>
      <c r="BLI71" s="122"/>
      <c r="BLJ71" s="122"/>
      <c r="BLK71" s="122"/>
      <c r="BLL71" s="122"/>
      <c r="BLM71" s="122"/>
      <c r="BLN71" s="122"/>
      <c r="BLO71" s="122"/>
      <c r="BLP71" s="122"/>
      <c r="BLQ71" s="122"/>
      <c r="BLR71" s="122"/>
      <c r="BLS71" s="122"/>
      <c r="BLT71" s="122"/>
      <c r="BLU71" s="122"/>
      <c r="BLV71" s="122"/>
      <c r="BLW71" s="122"/>
      <c r="BLX71" s="122"/>
      <c r="BLY71" s="122"/>
      <c r="BLZ71" s="122"/>
      <c r="BMA71" s="122"/>
      <c r="BMB71" s="122"/>
      <c r="BMC71" s="122"/>
      <c r="BMD71" s="122"/>
      <c r="BME71" s="122"/>
      <c r="BMF71" s="122"/>
      <c r="BMG71" s="122"/>
      <c r="BMH71" s="122"/>
      <c r="BMI71" s="122"/>
      <c r="BMJ71" s="122"/>
      <c r="BMK71" s="122"/>
      <c r="BML71" s="122"/>
      <c r="BMM71" s="122"/>
      <c r="BMN71" s="122"/>
      <c r="BMO71" s="122"/>
      <c r="BMP71" s="122"/>
      <c r="BMQ71" s="122"/>
      <c r="BMR71" s="122"/>
      <c r="BMS71" s="122"/>
      <c r="BMT71" s="122"/>
      <c r="BMU71" s="122"/>
      <c r="BMV71" s="122"/>
      <c r="BMW71" s="122"/>
      <c r="BMX71" s="122"/>
      <c r="BMY71" s="122"/>
      <c r="BMZ71" s="122"/>
      <c r="BNA71" s="122"/>
      <c r="BNB71" s="122"/>
      <c r="BNC71" s="122"/>
      <c r="BND71" s="122"/>
      <c r="BNE71" s="122"/>
      <c r="BNF71" s="122"/>
      <c r="BNG71" s="122"/>
      <c r="BNH71" s="122"/>
      <c r="BNI71" s="122"/>
      <c r="BNJ71" s="122"/>
      <c r="BNK71" s="122"/>
      <c r="BNL71" s="122"/>
      <c r="BNM71" s="122"/>
      <c r="BNN71" s="122"/>
      <c r="BNO71" s="122"/>
      <c r="BNP71" s="122"/>
      <c r="BNQ71" s="122"/>
      <c r="BNR71" s="122"/>
      <c r="BNS71" s="122"/>
      <c r="BNT71" s="122"/>
      <c r="BNU71" s="122"/>
      <c r="BNV71" s="122"/>
      <c r="BNW71" s="122"/>
      <c r="BNX71" s="122"/>
      <c r="BNY71" s="122"/>
      <c r="BNZ71" s="122"/>
      <c r="BOA71" s="122"/>
      <c r="BOB71" s="122"/>
      <c r="BOC71" s="122"/>
      <c r="BOD71" s="122"/>
      <c r="BOE71" s="122"/>
      <c r="BOF71" s="122"/>
      <c r="BOG71" s="122"/>
      <c r="BOH71" s="122"/>
      <c r="BOI71" s="122"/>
      <c r="BOJ71" s="122"/>
      <c r="BOK71" s="122"/>
      <c r="BOL71" s="122"/>
      <c r="BOM71" s="122"/>
      <c r="BON71" s="122"/>
      <c r="BOO71" s="122"/>
      <c r="BOP71" s="122"/>
      <c r="BOQ71" s="122"/>
      <c r="BOR71" s="122"/>
      <c r="BOS71" s="122"/>
      <c r="BOT71" s="122"/>
      <c r="BOU71" s="122"/>
      <c r="BOV71" s="122"/>
      <c r="BOW71" s="122"/>
      <c r="BOX71" s="122"/>
      <c r="BOY71" s="122"/>
      <c r="BOZ71" s="122"/>
      <c r="BPA71" s="122"/>
      <c r="BPB71" s="122"/>
      <c r="BPC71" s="122"/>
      <c r="BPD71" s="122"/>
      <c r="BPE71" s="122"/>
      <c r="BPF71" s="122"/>
      <c r="BPG71" s="122"/>
      <c r="BPH71" s="122"/>
      <c r="BPI71" s="122"/>
      <c r="BPJ71" s="122"/>
      <c r="BPK71" s="122"/>
      <c r="BPL71" s="122"/>
      <c r="BPM71" s="122"/>
      <c r="BPN71" s="122"/>
      <c r="BPO71" s="122"/>
      <c r="BPP71" s="122"/>
      <c r="BPQ71" s="122"/>
      <c r="BPR71" s="122"/>
      <c r="BPS71" s="122"/>
      <c r="BPT71" s="122"/>
      <c r="BPU71" s="122"/>
      <c r="BPV71" s="122"/>
      <c r="BPW71" s="122"/>
      <c r="BPX71" s="122"/>
      <c r="BPY71" s="122"/>
      <c r="BPZ71" s="122"/>
      <c r="BQA71" s="122"/>
      <c r="BQB71" s="122"/>
      <c r="BQC71" s="122"/>
      <c r="BQD71" s="122"/>
      <c r="BQE71" s="122"/>
      <c r="BQF71" s="122"/>
      <c r="BQG71" s="122"/>
      <c r="BQH71" s="122"/>
      <c r="BQI71" s="122"/>
      <c r="BQJ71" s="122"/>
      <c r="BQK71" s="122"/>
      <c r="BQL71" s="122"/>
      <c r="BQM71" s="122"/>
      <c r="BQN71" s="122"/>
      <c r="BQO71" s="122"/>
      <c r="BQP71" s="122"/>
      <c r="BQQ71" s="122"/>
      <c r="BQR71" s="122"/>
      <c r="BQS71" s="122"/>
      <c r="BQT71" s="122"/>
      <c r="BQU71" s="122"/>
      <c r="BQV71" s="122"/>
      <c r="BQW71" s="122"/>
      <c r="BQX71" s="122"/>
      <c r="BQY71" s="122"/>
      <c r="BQZ71" s="122"/>
      <c r="BRA71" s="122"/>
      <c r="BRB71" s="122"/>
      <c r="BRC71" s="122"/>
      <c r="BRD71" s="122"/>
      <c r="BRE71" s="122"/>
      <c r="BRF71" s="122"/>
      <c r="BRG71" s="122"/>
      <c r="BRH71" s="122"/>
      <c r="BRI71" s="122"/>
      <c r="BRJ71" s="122"/>
      <c r="BRK71" s="122"/>
      <c r="BRL71" s="122"/>
      <c r="BRM71" s="122"/>
      <c r="BRN71" s="122"/>
      <c r="BRO71" s="122"/>
      <c r="BRP71" s="122"/>
      <c r="BRQ71" s="122"/>
      <c r="BRR71" s="122"/>
      <c r="BRS71" s="122"/>
      <c r="BRT71" s="122"/>
      <c r="BRU71" s="122"/>
      <c r="BRV71" s="122"/>
      <c r="BRW71" s="122"/>
      <c r="BRX71" s="122"/>
      <c r="BRY71" s="122"/>
      <c r="BRZ71" s="122"/>
      <c r="BSA71" s="122"/>
      <c r="BSB71" s="122"/>
      <c r="BSC71" s="122"/>
      <c r="BSD71" s="122"/>
      <c r="BSE71" s="122"/>
      <c r="BSF71" s="122"/>
      <c r="BSG71" s="122"/>
      <c r="BSH71" s="122"/>
      <c r="BSI71" s="122"/>
      <c r="BSJ71" s="122"/>
      <c r="BSK71" s="122"/>
      <c r="BSL71" s="122"/>
      <c r="BSM71" s="122"/>
      <c r="BSN71" s="122"/>
      <c r="BSO71" s="122"/>
      <c r="BSP71" s="122"/>
      <c r="BSQ71" s="122"/>
      <c r="BSR71" s="122"/>
      <c r="BSS71" s="122"/>
      <c r="BST71" s="122"/>
      <c r="BSU71" s="122"/>
      <c r="BSV71" s="122"/>
      <c r="BSW71" s="122"/>
      <c r="BSX71" s="122"/>
      <c r="BSY71" s="122"/>
      <c r="BSZ71" s="122"/>
      <c r="BTA71" s="122"/>
      <c r="BTB71" s="122"/>
      <c r="BTC71" s="122"/>
      <c r="BTD71" s="122"/>
      <c r="BTE71" s="122"/>
      <c r="BTF71" s="122"/>
      <c r="BTG71" s="122"/>
      <c r="BTH71" s="122"/>
      <c r="BTI71" s="122"/>
      <c r="BTJ71" s="122"/>
      <c r="BTK71" s="122"/>
      <c r="BTL71" s="122"/>
      <c r="BTM71" s="122"/>
      <c r="BTN71" s="122"/>
      <c r="BTO71" s="122"/>
      <c r="BTP71" s="122"/>
      <c r="BTQ71" s="122"/>
      <c r="BTR71" s="122"/>
      <c r="BTS71" s="122"/>
      <c r="BTT71" s="122"/>
      <c r="BTU71" s="122"/>
      <c r="BTV71" s="122"/>
      <c r="BTW71" s="122"/>
      <c r="BTX71" s="122"/>
      <c r="BTY71" s="122"/>
      <c r="BTZ71" s="122"/>
      <c r="BUA71" s="122"/>
      <c r="BUB71" s="122"/>
      <c r="BUC71" s="122"/>
      <c r="BUD71" s="122"/>
      <c r="BUE71" s="122"/>
      <c r="BUF71" s="122"/>
      <c r="BUG71" s="122"/>
      <c r="BUH71" s="122"/>
      <c r="BUI71" s="122"/>
      <c r="BUJ71" s="122"/>
      <c r="BUK71" s="122"/>
      <c r="BUL71" s="122"/>
      <c r="BUM71" s="122"/>
      <c r="BUN71" s="122"/>
      <c r="BUO71" s="122"/>
      <c r="BUP71" s="122"/>
      <c r="BUQ71" s="122"/>
      <c r="BUR71" s="122"/>
      <c r="BUS71" s="122"/>
      <c r="BUT71" s="122"/>
      <c r="BUU71" s="122"/>
      <c r="BUV71" s="122"/>
      <c r="BUW71" s="122"/>
      <c r="BUX71" s="122"/>
      <c r="BUY71" s="122"/>
      <c r="BUZ71" s="122"/>
      <c r="BVA71" s="122"/>
      <c r="BVB71" s="122"/>
      <c r="BVC71" s="122"/>
      <c r="BVD71" s="122"/>
      <c r="BVE71" s="122"/>
      <c r="BVF71" s="122"/>
      <c r="BVG71" s="122"/>
      <c r="BVH71" s="122"/>
      <c r="BVI71" s="122"/>
      <c r="BVJ71" s="122"/>
      <c r="BVK71" s="122"/>
      <c r="BVL71" s="122"/>
      <c r="BVM71" s="122"/>
      <c r="BVN71" s="122"/>
      <c r="BVO71" s="122"/>
      <c r="BVP71" s="122"/>
      <c r="BVQ71" s="122"/>
      <c r="BVR71" s="122"/>
      <c r="BVS71" s="122"/>
      <c r="BVT71" s="122"/>
      <c r="BVU71" s="122"/>
      <c r="BVV71" s="122"/>
      <c r="BVW71" s="122"/>
      <c r="BVX71" s="122"/>
      <c r="BVY71" s="122"/>
      <c r="BVZ71" s="122"/>
      <c r="BWA71" s="122"/>
      <c r="BWB71" s="122"/>
      <c r="BWC71" s="122"/>
      <c r="BWD71" s="122"/>
      <c r="BWE71" s="122"/>
      <c r="BWF71" s="122"/>
      <c r="BWG71" s="122"/>
      <c r="BWH71" s="122"/>
      <c r="BWI71" s="122"/>
      <c r="BWJ71" s="122"/>
      <c r="BWK71" s="122"/>
      <c r="BWL71" s="122"/>
      <c r="BWM71" s="122"/>
      <c r="BWN71" s="122"/>
      <c r="BWO71" s="122"/>
      <c r="BWP71" s="122"/>
      <c r="BWQ71" s="122"/>
      <c r="BWR71" s="122"/>
      <c r="BWS71" s="122"/>
      <c r="BWT71" s="122"/>
      <c r="BWU71" s="122"/>
      <c r="BWV71" s="122"/>
      <c r="BWW71" s="122"/>
      <c r="BWX71" s="122"/>
      <c r="BWY71" s="122"/>
      <c r="BWZ71" s="122"/>
      <c r="BXA71" s="122"/>
      <c r="BXB71" s="122"/>
      <c r="BXC71" s="122"/>
      <c r="BXD71" s="122"/>
      <c r="BXE71" s="122"/>
      <c r="BXF71" s="122"/>
      <c r="BXG71" s="122"/>
      <c r="BXH71" s="122"/>
      <c r="BXI71" s="122"/>
      <c r="BXJ71" s="122"/>
      <c r="BXK71" s="122"/>
      <c r="BXL71" s="122"/>
      <c r="BXM71" s="122"/>
      <c r="BXN71" s="122"/>
      <c r="BXO71" s="122"/>
      <c r="BXP71" s="122"/>
      <c r="BXQ71" s="122"/>
      <c r="BXR71" s="122"/>
      <c r="BXS71" s="122"/>
      <c r="BXT71" s="122"/>
      <c r="BXU71" s="122"/>
      <c r="BXV71" s="122"/>
      <c r="BXW71" s="122"/>
      <c r="BXX71" s="122"/>
      <c r="BXY71" s="122"/>
      <c r="BXZ71" s="122"/>
      <c r="BYA71" s="122"/>
      <c r="BYB71" s="122"/>
      <c r="BYC71" s="122"/>
      <c r="BYD71" s="122"/>
      <c r="BYE71" s="122"/>
      <c r="BYF71" s="122"/>
      <c r="BYG71" s="122"/>
      <c r="BYH71" s="122"/>
      <c r="BYI71" s="122"/>
      <c r="BYJ71" s="122"/>
      <c r="BYK71" s="122"/>
      <c r="BYL71" s="122"/>
      <c r="BYM71" s="122"/>
      <c r="BYN71" s="122"/>
      <c r="BYO71" s="122"/>
      <c r="BYP71" s="122"/>
      <c r="BYQ71" s="122"/>
      <c r="BYR71" s="122"/>
      <c r="BYS71" s="122"/>
      <c r="BYT71" s="122"/>
      <c r="BYU71" s="122"/>
      <c r="BYV71" s="122"/>
      <c r="BYW71" s="122"/>
      <c r="BYX71" s="122"/>
      <c r="BYY71" s="122"/>
      <c r="BYZ71" s="122"/>
      <c r="BZA71" s="122"/>
      <c r="BZB71" s="122"/>
      <c r="BZC71" s="122"/>
      <c r="BZD71" s="122"/>
      <c r="BZE71" s="122"/>
      <c r="BZF71" s="122"/>
      <c r="BZG71" s="122"/>
      <c r="BZH71" s="122"/>
      <c r="BZI71" s="122"/>
      <c r="BZJ71" s="122"/>
      <c r="BZK71" s="122"/>
      <c r="BZL71" s="122"/>
      <c r="BZM71" s="122"/>
      <c r="BZN71" s="122"/>
      <c r="BZO71" s="122"/>
      <c r="BZP71" s="122"/>
      <c r="BZQ71" s="122"/>
      <c r="BZR71" s="122"/>
      <c r="BZS71" s="122"/>
      <c r="BZT71" s="122"/>
      <c r="BZU71" s="122"/>
      <c r="BZV71" s="122"/>
      <c r="BZW71" s="122"/>
      <c r="BZX71" s="122"/>
      <c r="BZY71" s="122"/>
      <c r="BZZ71" s="122"/>
      <c r="CAA71" s="122"/>
      <c r="CAB71" s="122"/>
      <c r="CAC71" s="122"/>
      <c r="CAD71" s="122"/>
      <c r="CAE71" s="122"/>
      <c r="CAF71" s="122"/>
      <c r="CAG71" s="122"/>
      <c r="CAH71" s="122"/>
      <c r="CAI71" s="122"/>
      <c r="CAJ71" s="122"/>
      <c r="CAK71" s="122"/>
      <c r="CAL71" s="122"/>
      <c r="CAM71" s="122"/>
      <c r="CAN71" s="122"/>
      <c r="CAO71" s="122"/>
      <c r="CAP71" s="122"/>
      <c r="CAQ71" s="122"/>
      <c r="CAR71" s="122"/>
      <c r="CAS71" s="122"/>
      <c r="CAT71" s="122"/>
      <c r="CAU71" s="122"/>
      <c r="CAV71" s="122"/>
      <c r="CAW71" s="122"/>
      <c r="CAX71" s="122"/>
      <c r="CAY71" s="122"/>
      <c r="CAZ71" s="122"/>
      <c r="CBA71" s="122"/>
      <c r="CBB71" s="122"/>
      <c r="CBC71" s="122"/>
      <c r="CBD71" s="122"/>
      <c r="CBE71" s="122"/>
      <c r="CBF71" s="122"/>
      <c r="CBG71" s="122"/>
      <c r="CBH71" s="122"/>
      <c r="CBI71" s="122"/>
      <c r="CBJ71" s="122"/>
      <c r="CBK71" s="122"/>
      <c r="CBL71" s="122"/>
      <c r="CBM71" s="122"/>
      <c r="CBN71" s="122"/>
      <c r="CBO71" s="122"/>
      <c r="CBP71" s="122"/>
      <c r="CBQ71" s="122"/>
      <c r="CBR71" s="122"/>
      <c r="CBS71" s="122"/>
      <c r="CBT71" s="122"/>
      <c r="CBU71" s="122"/>
      <c r="CBV71" s="122"/>
      <c r="CBW71" s="122"/>
      <c r="CBX71" s="122"/>
      <c r="CBY71" s="122"/>
      <c r="CBZ71" s="122"/>
      <c r="CCA71" s="122"/>
      <c r="CCB71" s="122"/>
      <c r="CCC71" s="122"/>
      <c r="CCD71" s="122"/>
      <c r="CCE71" s="122"/>
      <c r="CCF71" s="122"/>
      <c r="CCG71" s="122"/>
      <c r="CCH71" s="122"/>
      <c r="CCI71" s="122"/>
      <c r="CCJ71" s="122"/>
      <c r="CCK71" s="122"/>
      <c r="CCL71" s="122"/>
      <c r="CCM71" s="122"/>
      <c r="CCN71" s="122"/>
      <c r="CCO71" s="122"/>
      <c r="CCP71" s="122"/>
      <c r="CCQ71" s="122"/>
      <c r="CCR71" s="122"/>
      <c r="CCS71" s="122"/>
      <c r="CCT71" s="122"/>
      <c r="CCU71" s="122"/>
      <c r="CCV71" s="122"/>
      <c r="CCW71" s="122"/>
      <c r="CCX71" s="122"/>
      <c r="CCY71" s="122"/>
      <c r="CCZ71" s="122"/>
      <c r="CDA71" s="122"/>
      <c r="CDB71" s="122"/>
      <c r="CDC71" s="122"/>
      <c r="CDD71" s="122"/>
      <c r="CDE71" s="122"/>
      <c r="CDF71" s="122"/>
      <c r="CDG71" s="122"/>
      <c r="CDH71" s="122"/>
      <c r="CDI71" s="122"/>
      <c r="CDJ71" s="122"/>
      <c r="CDK71" s="122"/>
      <c r="CDL71" s="122"/>
      <c r="CDM71" s="122"/>
      <c r="CDN71" s="122"/>
      <c r="CDO71" s="122"/>
      <c r="CDP71" s="122"/>
      <c r="CDQ71" s="122"/>
      <c r="CDR71" s="122"/>
      <c r="CDS71" s="122"/>
      <c r="CDT71" s="122"/>
      <c r="CDU71" s="122"/>
      <c r="CDV71" s="122"/>
      <c r="CDW71" s="122"/>
      <c r="CDX71" s="122"/>
      <c r="CDY71" s="122"/>
      <c r="CDZ71" s="122"/>
      <c r="CEA71" s="122"/>
      <c r="CEB71" s="122"/>
      <c r="CEC71" s="122"/>
      <c r="CED71" s="122"/>
      <c r="CEE71" s="122"/>
      <c r="CEF71" s="122"/>
      <c r="CEG71" s="122"/>
      <c r="CEH71" s="122"/>
      <c r="CEI71" s="122"/>
      <c r="CEJ71" s="122"/>
      <c r="CEK71" s="122"/>
      <c r="CEL71" s="122"/>
      <c r="CEM71" s="122"/>
      <c r="CEN71" s="122"/>
      <c r="CEO71" s="122"/>
      <c r="CEP71" s="122"/>
      <c r="CEQ71" s="122"/>
      <c r="CER71" s="122"/>
      <c r="CES71" s="122"/>
      <c r="CET71" s="122"/>
      <c r="CEU71" s="122"/>
      <c r="CEV71" s="122"/>
      <c r="CEW71" s="122"/>
      <c r="CEX71" s="122"/>
      <c r="CEY71" s="122"/>
      <c r="CEZ71" s="122"/>
      <c r="CFA71" s="122"/>
      <c r="CFB71" s="122"/>
      <c r="CFC71" s="122"/>
      <c r="CFD71" s="122"/>
      <c r="CFE71" s="122"/>
      <c r="CFF71" s="122"/>
      <c r="CFG71" s="122"/>
      <c r="CFH71" s="122"/>
      <c r="CFI71" s="122"/>
      <c r="CFJ71" s="122"/>
      <c r="CFK71" s="122"/>
      <c r="CFL71" s="122"/>
      <c r="CFM71" s="122"/>
      <c r="CFN71" s="122"/>
      <c r="CFO71" s="122"/>
      <c r="CFP71" s="122"/>
      <c r="CFQ71" s="122"/>
      <c r="CFR71" s="122"/>
      <c r="CFS71" s="122"/>
      <c r="CFT71" s="122"/>
      <c r="CFU71" s="122"/>
      <c r="CFV71" s="122"/>
      <c r="CFW71" s="122"/>
      <c r="CFX71" s="122"/>
      <c r="CFY71" s="122"/>
      <c r="CFZ71" s="122"/>
      <c r="CGA71" s="122"/>
      <c r="CGB71" s="122"/>
      <c r="CGC71" s="122"/>
      <c r="CGD71" s="122"/>
      <c r="CGE71" s="122"/>
      <c r="CGF71" s="122"/>
      <c r="CGG71" s="122"/>
      <c r="CGH71" s="122"/>
      <c r="CGI71" s="122"/>
      <c r="CGJ71" s="122"/>
      <c r="CGK71" s="122"/>
      <c r="CGL71" s="122"/>
      <c r="CGM71" s="122"/>
      <c r="CGN71" s="122"/>
      <c r="CGO71" s="122"/>
      <c r="CGP71" s="122"/>
      <c r="CGQ71" s="122"/>
      <c r="CGR71" s="122"/>
      <c r="CGS71" s="122"/>
      <c r="CGT71" s="122"/>
      <c r="CGU71" s="122"/>
      <c r="CGV71" s="122"/>
      <c r="CGW71" s="122"/>
      <c r="CGX71" s="122"/>
      <c r="CGY71" s="122"/>
      <c r="CGZ71" s="122"/>
      <c r="CHA71" s="122"/>
      <c r="CHB71" s="122"/>
      <c r="CHC71" s="122"/>
      <c r="CHD71" s="122"/>
      <c r="CHE71" s="122"/>
      <c r="CHF71" s="122"/>
      <c r="CHG71" s="122"/>
      <c r="CHH71" s="122"/>
      <c r="CHI71" s="122"/>
      <c r="CHJ71" s="122"/>
      <c r="CHK71" s="122"/>
      <c r="CHL71" s="122"/>
      <c r="CHM71" s="122"/>
      <c r="CHN71" s="122"/>
      <c r="CHO71" s="122"/>
      <c r="CHP71" s="122"/>
      <c r="CHQ71" s="122"/>
      <c r="CHR71" s="122"/>
      <c r="CHS71" s="122"/>
      <c r="CHT71" s="122"/>
      <c r="CHU71" s="122"/>
      <c r="CHV71" s="122"/>
      <c r="CHW71" s="122"/>
      <c r="CHX71" s="122"/>
      <c r="CHY71" s="122"/>
      <c r="CHZ71" s="122"/>
      <c r="CIA71" s="122"/>
      <c r="CIB71" s="122"/>
      <c r="CIC71" s="122"/>
      <c r="CID71" s="122"/>
      <c r="CIE71" s="122"/>
      <c r="CIF71" s="122"/>
      <c r="CIG71" s="122"/>
      <c r="CIH71" s="122"/>
      <c r="CII71" s="122"/>
      <c r="CIJ71" s="122"/>
      <c r="CIK71" s="122"/>
      <c r="CIL71" s="122"/>
      <c r="CIM71" s="122"/>
      <c r="CIN71" s="122"/>
      <c r="CIO71" s="122"/>
      <c r="CIP71" s="122"/>
      <c r="CIQ71" s="122"/>
      <c r="CIR71" s="122"/>
      <c r="CIS71" s="122"/>
      <c r="CIT71" s="122"/>
      <c r="CIU71" s="122"/>
      <c r="CIV71" s="122"/>
      <c r="CIW71" s="122"/>
      <c r="CIX71" s="122"/>
      <c r="CIY71" s="122"/>
      <c r="CIZ71" s="122"/>
      <c r="CJA71" s="122"/>
      <c r="CJB71" s="122"/>
      <c r="CJC71" s="122"/>
      <c r="CJD71" s="122"/>
      <c r="CJE71" s="122"/>
      <c r="CJF71" s="122"/>
      <c r="CJG71" s="122"/>
      <c r="CJH71" s="122"/>
      <c r="CJI71" s="122"/>
      <c r="CJJ71" s="122"/>
      <c r="CJK71" s="122"/>
      <c r="CJL71" s="122"/>
      <c r="CJM71" s="122"/>
      <c r="CJN71" s="122"/>
      <c r="CJO71" s="122"/>
      <c r="CJP71" s="122"/>
      <c r="CJQ71" s="122"/>
      <c r="CJR71" s="122"/>
      <c r="CJS71" s="122"/>
      <c r="CJT71" s="122"/>
      <c r="CJU71" s="122"/>
      <c r="CJV71" s="122"/>
      <c r="CJW71" s="122"/>
      <c r="CJX71" s="122"/>
      <c r="CJY71" s="122"/>
      <c r="CJZ71" s="122"/>
      <c r="CKA71" s="122"/>
      <c r="CKB71" s="122"/>
      <c r="CKC71" s="122"/>
      <c r="CKD71" s="122"/>
      <c r="CKE71" s="122"/>
      <c r="CKF71" s="122"/>
      <c r="CKG71" s="122"/>
      <c r="CKH71" s="122"/>
      <c r="CKI71" s="122"/>
      <c r="CKJ71" s="122"/>
      <c r="CKK71" s="122"/>
      <c r="CKL71" s="122"/>
      <c r="CKM71" s="122"/>
      <c r="CKN71" s="122"/>
      <c r="CKO71" s="122"/>
      <c r="CKP71" s="122"/>
      <c r="CKQ71" s="122"/>
      <c r="CKR71" s="122"/>
      <c r="CKS71" s="122"/>
      <c r="CKT71" s="122"/>
      <c r="CKU71" s="122"/>
      <c r="CKV71" s="122"/>
      <c r="CKW71" s="122"/>
      <c r="CKX71" s="122"/>
      <c r="CKY71" s="122"/>
      <c r="CKZ71" s="122"/>
      <c r="CLA71" s="122"/>
      <c r="CLB71" s="122"/>
      <c r="CLC71" s="122"/>
      <c r="CLD71" s="122"/>
      <c r="CLE71" s="122"/>
      <c r="CLF71" s="122"/>
      <c r="CLG71" s="122"/>
      <c r="CLH71" s="122"/>
      <c r="CLI71" s="122"/>
      <c r="CLJ71" s="122"/>
      <c r="CLK71" s="122"/>
      <c r="CLL71" s="122"/>
      <c r="CLM71" s="122"/>
      <c r="CLN71" s="122"/>
      <c r="CLO71" s="122"/>
      <c r="CLP71" s="122"/>
      <c r="CLQ71" s="122"/>
      <c r="CLR71" s="122"/>
      <c r="CLS71" s="122"/>
      <c r="CLT71" s="122"/>
      <c r="CLU71" s="122"/>
      <c r="CLV71" s="122"/>
      <c r="CLW71" s="122"/>
      <c r="CLX71" s="122"/>
      <c r="CLY71" s="122"/>
      <c r="CLZ71" s="122"/>
      <c r="CMA71" s="122"/>
      <c r="CMB71" s="122"/>
      <c r="CMC71" s="122"/>
      <c r="CMD71" s="122"/>
      <c r="CME71" s="122"/>
      <c r="CMF71" s="122"/>
      <c r="CMG71" s="122"/>
      <c r="CMH71" s="122"/>
      <c r="CMI71" s="122"/>
      <c r="CMJ71" s="122"/>
      <c r="CMK71" s="122"/>
      <c r="CML71" s="122"/>
      <c r="CMM71" s="122"/>
      <c r="CMN71" s="122"/>
      <c r="CMO71" s="122"/>
      <c r="CMP71" s="122"/>
      <c r="CMQ71" s="122"/>
      <c r="CMR71" s="122"/>
      <c r="CMS71" s="122"/>
      <c r="CMT71" s="122"/>
      <c r="CMU71" s="122"/>
      <c r="CMV71" s="122"/>
      <c r="CMW71" s="122"/>
      <c r="CMX71" s="122"/>
      <c r="CMY71" s="122"/>
      <c r="CMZ71" s="122"/>
      <c r="CNA71" s="122"/>
      <c r="CNB71" s="122"/>
      <c r="CNC71" s="122"/>
      <c r="CND71" s="122"/>
      <c r="CNE71" s="122"/>
      <c r="CNF71" s="122"/>
      <c r="CNG71" s="122"/>
      <c r="CNH71" s="122"/>
      <c r="CNI71" s="122"/>
      <c r="CNJ71" s="122"/>
      <c r="CNK71" s="122"/>
      <c r="CNL71" s="122"/>
      <c r="CNM71" s="122"/>
      <c r="CNN71" s="122"/>
      <c r="CNO71" s="122"/>
      <c r="CNP71" s="122"/>
      <c r="CNQ71" s="122"/>
      <c r="CNR71" s="122"/>
      <c r="CNS71" s="122"/>
      <c r="CNT71" s="122"/>
      <c r="CNU71" s="122"/>
      <c r="CNV71" s="122"/>
      <c r="CNW71" s="122"/>
      <c r="CNX71" s="122"/>
      <c r="CNY71" s="122"/>
      <c r="CNZ71" s="122"/>
      <c r="COA71" s="122"/>
      <c r="COB71" s="122"/>
      <c r="COC71" s="122"/>
      <c r="COD71" s="122"/>
      <c r="COE71" s="122"/>
      <c r="COF71" s="122"/>
      <c r="COG71" s="122"/>
      <c r="COH71" s="122"/>
      <c r="COI71" s="122"/>
      <c r="COJ71" s="122"/>
      <c r="COK71" s="122"/>
      <c r="COL71" s="122"/>
      <c r="COM71" s="122"/>
      <c r="CON71" s="122"/>
      <c r="COO71" s="122"/>
      <c r="COP71" s="122"/>
      <c r="COQ71" s="122"/>
      <c r="COR71" s="122"/>
      <c r="COS71" s="122"/>
      <c r="COT71" s="122"/>
      <c r="COU71" s="122"/>
      <c r="COV71" s="122"/>
      <c r="COW71" s="122"/>
      <c r="COX71" s="122"/>
      <c r="COY71" s="122"/>
      <c r="COZ71" s="122"/>
      <c r="CPA71" s="122"/>
      <c r="CPB71" s="122"/>
      <c r="CPC71" s="122"/>
      <c r="CPD71" s="122"/>
      <c r="CPE71" s="122"/>
      <c r="CPF71" s="122"/>
      <c r="CPG71" s="122"/>
      <c r="CPH71" s="122"/>
      <c r="CPI71" s="122"/>
      <c r="CPJ71" s="122"/>
      <c r="CPK71" s="122"/>
      <c r="CPL71" s="122"/>
      <c r="CPM71" s="122"/>
      <c r="CPN71" s="122"/>
      <c r="CPO71" s="122"/>
      <c r="CPP71" s="122"/>
      <c r="CPQ71" s="122"/>
      <c r="CPR71" s="122"/>
      <c r="CPS71" s="122"/>
      <c r="CPT71" s="122"/>
      <c r="CPU71" s="122"/>
      <c r="CPV71" s="122"/>
      <c r="CPW71" s="122"/>
      <c r="CPX71" s="122"/>
      <c r="CPY71" s="122"/>
      <c r="CPZ71" s="122"/>
      <c r="CQA71" s="122"/>
      <c r="CQB71" s="122"/>
      <c r="CQC71" s="122"/>
      <c r="CQD71" s="122"/>
      <c r="CQE71" s="122"/>
      <c r="CQF71" s="122"/>
      <c r="CQG71" s="122"/>
      <c r="CQH71" s="122"/>
      <c r="CQI71" s="122"/>
      <c r="CQJ71" s="122"/>
      <c r="CQK71" s="122"/>
      <c r="CQL71" s="122"/>
      <c r="CQM71" s="122"/>
      <c r="CQN71" s="122"/>
      <c r="CQO71" s="122"/>
      <c r="CQP71" s="122"/>
      <c r="CQQ71" s="122"/>
      <c r="CQR71" s="122"/>
      <c r="CQS71" s="122"/>
      <c r="CQT71" s="122"/>
      <c r="CQU71" s="122"/>
      <c r="CQV71" s="122"/>
      <c r="CQW71" s="122"/>
      <c r="CQX71" s="122"/>
      <c r="CQY71" s="122"/>
      <c r="CQZ71" s="122"/>
      <c r="CRA71" s="122"/>
      <c r="CRB71" s="122"/>
      <c r="CRC71" s="122"/>
      <c r="CRD71" s="122"/>
      <c r="CRE71" s="122"/>
      <c r="CRF71" s="122"/>
      <c r="CRG71" s="122"/>
      <c r="CRH71" s="122"/>
      <c r="CRI71" s="122"/>
      <c r="CRJ71" s="122"/>
      <c r="CRK71" s="122"/>
      <c r="CRL71" s="122"/>
      <c r="CRM71" s="122"/>
      <c r="CRN71" s="122"/>
      <c r="CRO71" s="122"/>
      <c r="CRP71" s="122"/>
      <c r="CRQ71" s="122"/>
      <c r="CRR71" s="122"/>
      <c r="CRS71" s="122"/>
      <c r="CRT71" s="122"/>
      <c r="CRU71" s="122"/>
      <c r="CRV71" s="122"/>
      <c r="CRW71" s="122"/>
      <c r="CRX71" s="122"/>
      <c r="CRY71" s="122"/>
      <c r="CRZ71" s="122"/>
      <c r="CSA71" s="122"/>
      <c r="CSB71" s="122"/>
      <c r="CSC71" s="122"/>
      <c r="CSD71" s="122"/>
      <c r="CSE71" s="122"/>
      <c r="CSF71" s="122"/>
      <c r="CSG71" s="122"/>
      <c r="CSH71" s="122"/>
      <c r="CSI71" s="122"/>
      <c r="CSJ71" s="122"/>
      <c r="CSK71" s="122"/>
      <c r="CSL71" s="122"/>
      <c r="CSM71" s="122"/>
      <c r="CSN71" s="122"/>
      <c r="CSO71" s="122"/>
      <c r="CSP71" s="122"/>
      <c r="CSQ71" s="122"/>
      <c r="CSR71" s="122"/>
      <c r="CSS71" s="122"/>
      <c r="CST71" s="122"/>
      <c r="CSU71" s="122"/>
      <c r="CSV71" s="122"/>
      <c r="CSW71" s="122"/>
      <c r="CSX71" s="122"/>
      <c r="CSY71" s="122"/>
      <c r="CSZ71" s="122"/>
      <c r="CTA71" s="122"/>
      <c r="CTB71" s="122"/>
      <c r="CTC71" s="122"/>
      <c r="CTD71" s="122"/>
      <c r="CTE71" s="122"/>
      <c r="CTF71" s="122"/>
      <c r="CTG71" s="122"/>
      <c r="CTH71" s="122"/>
      <c r="CTI71" s="122"/>
      <c r="CTJ71" s="122"/>
      <c r="CTK71" s="122"/>
      <c r="CTL71" s="122"/>
      <c r="CTM71" s="122"/>
      <c r="CTN71" s="122"/>
      <c r="CTO71" s="122"/>
      <c r="CTP71" s="122"/>
      <c r="CTQ71" s="122"/>
      <c r="CTR71" s="122"/>
      <c r="CTS71" s="122"/>
      <c r="CTT71" s="122"/>
      <c r="CTU71" s="122"/>
      <c r="CTV71" s="122"/>
      <c r="CTW71" s="122"/>
      <c r="CTX71" s="122"/>
      <c r="CTY71" s="122"/>
      <c r="CTZ71" s="122"/>
      <c r="CUA71" s="122"/>
      <c r="CUB71" s="122"/>
      <c r="CUC71" s="122"/>
      <c r="CUD71" s="122"/>
      <c r="CUE71" s="122"/>
      <c r="CUF71" s="122"/>
      <c r="CUG71" s="122"/>
      <c r="CUH71" s="122"/>
      <c r="CUI71" s="122"/>
      <c r="CUJ71" s="122"/>
      <c r="CUK71" s="122"/>
      <c r="CUL71" s="122"/>
      <c r="CUM71" s="122"/>
      <c r="CUN71" s="122"/>
      <c r="CUO71" s="122"/>
      <c r="CUP71" s="122"/>
      <c r="CUQ71" s="122"/>
      <c r="CUR71" s="122"/>
      <c r="CUS71" s="122"/>
      <c r="CUT71" s="122"/>
      <c r="CUU71" s="122"/>
      <c r="CUV71" s="122"/>
      <c r="CUW71" s="122"/>
      <c r="CUX71" s="122"/>
      <c r="CUY71" s="122"/>
      <c r="CUZ71" s="122"/>
      <c r="CVA71" s="122"/>
      <c r="CVB71" s="122"/>
      <c r="CVC71" s="122"/>
      <c r="CVD71" s="122"/>
      <c r="CVE71" s="122"/>
      <c r="CVF71" s="122"/>
      <c r="CVG71" s="122"/>
      <c r="CVH71" s="122"/>
      <c r="CVI71" s="122"/>
      <c r="CVJ71" s="122"/>
      <c r="CVK71" s="122"/>
      <c r="CVL71" s="122"/>
      <c r="CVM71" s="122"/>
      <c r="CVN71" s="122"/>
      <c r="CVO71" s="122"/>
      <c r="CVP71" s="122"/>
      <c r="CVQ71" s="122"/>
      <c r="CVR71" s="122"/>
      <c r="CVS71" s="122"/>
      <c r="CVT71" s="122"/>
      <c r="CVU71" s="122"/>
      <c r="CVV71" s="122"/>
      <c r="CVW71" s="122"/>
      <c r="CVX71" s="122"/>
      <c r="CVY71" s="122"/>
      <c r="CVZ71" s="122"/>
      <c r="CWA71" s="122"/>
      <c r="CWB71" s="122"/>
      <c r="CWC71" s="122"/>
      <c r="CWD71" s="122"/>
      <c r="CWE71" s="122"/>
      <c r="CWF71" s="122"/>
      <c r="CWG71" s="122"/>
      <c r="CWH71" s="122"/>
      <c r="CWI71" s="122"/>
      <c r="CWJ71" s="122"/>
      <c r="CWK71" s="122"/>
      <c r="CWL71" s="122"/>
      <c r="CWM71" s="122"/>
      <c r="CWN71" s="122"/>
      <c r="CWO71" s="122"/>
      <c r="CWP71" s="122"/>
      <c r="CWQ71" s="122"/>
      <c r="CWR71" s="122"/>
      <c r="CWS71" s="122"/>
      <c r="CWT71" s="122"/>
      <c r="CWU71" s="122"/>
      <c r="CWV71" s="122"/>
      <c r="CWW71" s="122"/>
      <c r="CWX71" s="122"/>
      <c r="CWY71" s="122"/>
      <c r="CWZ71" s="122"/>
      <c r="CXA71" s="122"/>
      <c r="CXB71" s="122"/>
      <c r="CXC71" s="122"/>
      <c r="CXD71" s="122"/>
      <c r="CXE71" s="122"/>
      <c r="CXF71" s="122"/>
      <c r="CXG71" s="122"/>
      <c r="CXH71" s="122"/>
      <c r="CXI71" s="122"/>
      <c r="CXJ71" s="122"/>
      <c r="CXK71" s="122"/>
      <c r="CXL71" s="122"/>
      <c r="CXM71" s="122"/>
      <c r="CXN71" s="122"/>
      <c r="CXO71" s="122"/>
      <c r="CXP71" s="122"/>
      <c r="CXQ71" s="122"/>
      <c r="CXR71" s="122"/>
      <c r="CXS71" s="122"/>
      <c r="CXT71" s="122"/>
      <c r="CXU71" s="122"/>
      <c r="CXV71" s="122"/>
      <c r="CXW71" s="122"/>
      <c r="CXX71" s="122"/>
      <c r="CXY71" s="122"/>
      <c r="CXZ71" s="122"/>
      <c r="CYA71" s="122"/>
      <c r="CYB71" s="122"/>
      <c r="CYC71" s="122"/>
      <c r="CYD71" s="122"/>
      <c r="CYE71" s="122"/>
      <c r="CYF71" s="122"/>
      <c r="CYG71" s="122"/>
      <c r="CYH71" s="122"/>
      <c r="CYI71" s="122"/>
      <c r="CYJ71" s="122"/>
      <c r="CYK71" s="122"/>
      <c r="CYL71" s="122"/>
      <c r="CYM71" s="122"/>
      <c r="CYN71" s="122"/>
      <c r="CYO71" s="122"/>
      <c r="CYP71" s="122"/>
      <c r="CYQ71" s="122"/>
      <c r="CYR71" s="122"/>
      <c r="CYS71" s="122"/>
      <c r="CYT71" s="122"/>
      <c r="CYU71" s="122"/>
      <c r="CYV71" s="122"/>
      <c r="CYW71" s="122"/>
      <c r="CYX71" s="122"/>
      <c r="CYY71" s="122"/>
      <c r="CYZ71" s="122"/>
      <c r="CZA71" s="122"/>
      <c r="CZB71" s="122"/>
      <c r="CZC71" s="122"/>
      <c r="CZD71" s="122"/>
      <c r="CZE71" s="122"/>
      <c r="CZF71" s="122"/>
      <c r="CZG71" s="122"/>
      <c r="CZH71" s="122"/>
      <c r="CZI71" s="122"/>
      <c r="CZJ71" s="122"/>
      <c r="CZK71" s="122"/>
      <c r="CZL71" s="122"/>
      <c r="CZM71" s="122"/>
      <c r="CZN71" s="122"/>
      <c r="CZO71" s="122"/>
      <c r="CZP71" s="122"/>
      <c r="CZQ71" s="122"/>
      <c r="CZR71" s="122"/>
      <c r="CZS71" s="122"/>
      <c r="CZT71" s="122"/>
      <c r="CZU71" s="122"/>
      <c r="CZV71" s="122"/>
      <c r="CZW71" s="122"/>
      <c r="CZX71" s="122"/>
      <c r="CZY71" s="122"/>
      <c r="CZZ71" s="122"/>
      <c r="DAA71" s="122"/>
      <c r="DAB71" s="122"/>
      <c r="DAC71" s="122"/>
      <c r="DAD71" s="122"/>
      <c r="DAE71" s="122"/>
      <c r="DAF71" s="122"/>
      <c r="DAG71" s="122"/>
      <c r="DAH71" s="122"/>
      <c r="DAI71" s="122"/>
      <c r="DAJ71" s="122"/>
      <c r="DAK71" s="122"/>
      <c r="DAL71" s="122"/>
      <c r="DAM71" s="122"/>
      <c r="DAN71" s="122"/>
      <c r="DAO71" s="122"/>
      <c r="DAP71" s="122"/>
      <c r="DAQ71" s="122"/>
      <c r="DAR71" s="122"/>
      <c r="DAS71" s="122"/>
      <c r="DAT71" s="122"/>
      <c r="DAU71" s="122"/>
      <c r="DAV71" s="122"/>
      <c r="DAW71" s="122"/>
      <c r="DAX71" s="122"/>
      <c r="DAY71" s="122"/>
      <c r="DAZ71" s="122"/>
      <c r="DBA71" s="122"/>
      <c r="DBB71" s="122"/>
      <c r="DBC71" s="122"/>
      <c r="DBD71" s="122"/>
      <c r="DBE71" s="122"/>
      <c r="DBF71" s="122"/>
      <c r="DBG71" s="122"/>
      <c r="DBH71" s="122"/>
      <c r="DBI71" s="122"/>
      <c r="DBJ71" s="122"/>
      <c r="DBK71" s="122"/>
      <c r="DBL71" s="122"/>
      <c r="DBM71" s="122"/>
      <c r="DBN71" s="122"/>
      <c r="DBO71" s="122"/>
      <c r="DBP71" s="122"/>
      <c r="DBQ71" s="122"/>
      <c r="DBR71" s="122"/>
      <c r="DBS71" s="122"/>
      <c r="DBT71" s="122"/>
      <c r="DBU71" s="122"/>
      <c r="DBV71" s="122"/>
      <c r="DBW71" s="122"/>
      <c r="DBX71" s="122"/>
      <c r="DBY71" s="122"/>
      <c r="DBZ71" s="122"/>
      <c r="DCA71" s="122"/>
      <c r="DCB71" s="122"/>
      <c r="DCC71" s="122"/>
      <c r="DCD71" s="122"/>
      <c r="DCE71" s="122"/>
      <c r="DCF71" s="122"/>
      <c r="DCG71" s="122"/>
      <c r="DCH71" s="122"/>
      <c r="DCI71" s="122"/>
      <c r="DCJ71" s="122"/>
      <c r="DCK71" s="122"/>
      <c r="DCL71" s="122"/>
      <c r="DCM71" s="122"/>
      <c r="DCN71" s="122"/>
      <c r="DCO71" s="122"/>
      <c r="DCP71" s="122"/>
      <c r="DCQ71" s="122"/>
      <c r="DCR71" s="122"/>
      <c r="DCS71" s="122"/>
      <c r="DCT71" s="122"/>
      <c r="DCU71" s="122"/>
      <c r="DCV71" s="122"/>
      <c r="DCW71" s="122"/>
      <c r="DCX71" s="122"/>
      <c r="DCY71" s="122"/>
      <c r="DCZ71" s="122"/>
      <c r="DDA71" s="122"/>
      <c r="DDB71" s="122"/>
      <c r="DDC71" s="122"/>
      <c r="DDD71" s="122"/>
      <c r="DDE71" s="122"/>
      <c r="DDF71" s="122"/>
      <c r="DDG71" s="122"/>
      <c r="DDH71" s="122"/>
      <c r="DDI71" s="122"/>
      <c r="DDJ71" s="122"/>
      <c r="DDK71" s="122"/>
      <c r="DDL71" s="122"/>
      <c r="DDM71" s="122"/>
      <c r="DDN71" s="122"/>
      <c r="DDO71" s="122"/>
      <c r="DDP71" s="122"/>
      <c r="DDQ71" s="122"/>
      <c r="DDR71" s="122"/>
      <c r="DDS71" s="122"/>
      <c r="DDT71" s="122"/>
      <c r="DDU71" s="122"/>
      <c r="DDV71" s="122"/>
      <c r="DDW71" s="122"/>
      <c r="DDX71" s="122"/>
      <c r="DDY71" s="122"/>
      <c r="DDZ71" s="122"/>
      <c r="DEA71" s="122"/>
      <c r="DEB71" s="122"/>
      <c r="DEC71" s="122"/>
      <c r="DED71" s="122"/>
      <c r="DEE71" s="122"/>
      <c r="DEF71" s="122"/>
      <c r="DEG71" s="122"/>
      <c r="DEH71" s="122"/>
      <c r="DEI71" s="122"/>
      <c r="DEJ71" s="122"/>
      <c r="DEK71" s="122"/>
      <c r="DEL71" s="122"/>
      <c r="DEM71" s="122"/>
      <c r="DEN71" s="122"/>
      <c r="DEO71" s="122"/>
      <c r="DEP71" s="122"/>
      <c r="DEQ71" s="122"/>
      <c r="DER71" s="122"/>
      <c r="DES71" s="122"/>
      <c r="DET71" s="122"/>
      <c r="DEU71" s="122"/>
      <c r="DEV71" s="122"/>
      <c r="DEW71" s="122"/>
      <c r="DEX71" s="122"/>
      <c r="DEY71" s="122"/>
      <c r="DEZ71" s="122"/>
      <c r="DFA71" s="122"/>
      <c r="DFB71" s="122"/>
      <c r="DFC71" s="122"/>
      <c r="DFD71" s="122"/>
      <c r="DFE71" s="122"/>
      <c r="DFF71" s="122"/>
      <c r="DFG71" s="122"/>
      <c r="DFH71" s="122"/>
      <c r="DFI71" s="122"/>
      <c r="DFJ71" s="122"/>
      <c r="DFK71" s="122"/>
      <c r="DFL71" s="122"/>
      <c r="DFM71" s="122"/>
      <c r="DFN71" s="122"/>
      <c r="DFO71" s="122"/>
      <c r="DFP71" s="122"/>
      <c r="DFQ71" s="122"/>
      <c r="DFR71" s="122"/>
      <c r="DFS71" s="122"/>
      <c r="DFT71" s="122"/>
      <c r="DFU71" s="122"/>
      <c r="DFV71" s="122"/>
      <c r="DFW71" s="122"/>
      <c r="DFX71" s="122"/>
      <c r="DFY71" s="122"/>
      <c r="DFZ71" s="122"/>
      <c r="DGA71" s="122"/>
      <c r="DGB71" s="122"/>
      <c r="DGC71" s="122"/>
      <c r="DGD71" s="122"/>
      <c r="DGE71" s="122"/>
      <c r="DGF71" s="122"/>
      <c r="DGG71" s="122"/>
      <c r="DGH71" s="122"/>
      <c r="DGI71" s="122"/>
      <c r="DGJ71" s="122"/>
      <c r="DGK71" s="122"/>
      <c r="DGL71" s="122"/>
      <c r="DGM71" s="122"/>
      <c r="DGN71" s="122"/>
      <c r="DGO71" s="122"/>
      <c r="DGP71" s="122"/>
      <c r="DGQ71" s="122"/>
      <c r="DGR71" s="122"/>
      <c r="DGS71" s="122"/>
      <c r="DGT71" s="122"/>
      <c r="DGU71" s="122"/>
      <c r="DGV71" s="122"/>
      <c r="DGW71" s="122"/>
      <c r="DGX71" s="122"/>
      <c r="DGY71" s="122"/>
      <c r="DGZ71" s="122"/>
      <c r="DHA71" s="122"/>
      <c r="DHB71" s="122"/>
      <c r="DHC71" s="122"/>
      <c r="DHD71" s="122"/>
      <c r="DHE71" s="122"/>
      <c r="DHF71" s="122"/>
      <c r="DHG71" s="122"/>
      <c r="DHH71" s="122"/>
      <c r="DHI71" s="122"/>
      <c r="DHJ71" s="122"/>
      <c r="DHK71" s="122"/>
      <c r="DHL71" s="122"/>
      <c r="DHM71" s="122"/>
      <c r="DHN71" s="122"/>
      <c r="DHO71" s="122"/>
      <c r="DHP71" s="122"/>
      <c r="DHQ71" s="122"/>
      <c r="DHR71" s="122"/>
      <c r="DHS71" s="122"/>
      <c r="DHT71" s="122"/>
      <c r="DHU71" s="122"/>
      <c r="DHV71" s="122"/>
      <c r="DHW71" s="122"/>
      <c r="DHX71" s="122"/>
      <c r="DHY71" s="122"/>
      <c r="DHZ71" s="122"/>
      <c r="DIA71" s="122"/>
      <c r="DIB71" s="122"/>
      <c r="DIC71" s="122"/>
      <c r="DID71" s="122"/>
      <c r="DIE71" s="122"/>
      <c r="DIF71" s="122"/>
      <c r="DIG71" s="122"/>
      <c r="DIH71" s="122"/>
      <c r="DII71" s="122"/>
      <c r="DIJ71" s="122"/>
      <c r="DIK71" s="122"/>
      <c r="DIL71" s="122"/>
      <c r="DIM71" s="122"/>
      <c r="DIN71" s="122"/>
      <c r="DIO71" s="122"/>
      <c r="DIP71" s="122"/>
      <c r="DIQ71" s="122"/>
      <c r="DIR71" s="122"/>
      <c r="DIS71" s="122"/>
      <c r="DIT71" s="122"/>
      <c r="DIU71" s="122"/>
      <c r="DIV71" s="122"/>
      <c r="DIW71" s="122"/>
      <c r="DIX71" s="122"/>
      <c r="DIY71" s="122"/>
      <c r="DIZ71" s="122"/>
      <c r="DJA71" s="122"/>
      <c r="DJB71" s="122"/>
      <c r="DJC71" s="122"/>
      <c r="DJD71" s="122"/>
      <c r="DJE71" s="122"/>
      <c r="DJF71" s="122"/>
      <c r="DJG71" s="122"/>
      <c r="DJH71" s="122"/>
      <c r="DJI71" s="122"/>
      <c r="DJJ71" s="122"/>
      <c r="DJK71" s="122"/>
      <c r="DJL71" s="122"/>
      <c r="DJM71" s="122"/>
      <c r="DJN71" s="122"/>
      <c r="DJO71" s="122"/>
      <c r="DJP71" s="122"/>
      <c r="DJQ71" s="122"/>
      <c r="DJR71" s="122"/>
      <c r="DJS71" s="122"/>
      <c r="DJT71" s="122"/>
      <c r="DJU71" s="122"/>
      <c r="DJV71" s="122"/>
      <c r="DJW71" s="122"/>
      <c r="DJX71" s="122"/>
      <c r="DJY71" s="122"/>
      <c r="DJZ71" s="122"/>
      <c r="DKA71" s="122"/>
      <c r="DKB71" s="122"/>
      <c r="DKC71" s="122"/>
      <c r="DKD71" s="122"/>
      <c r="DKE71" s="122"/>
      <c r="DKF71" s="122"/>
      <c r="DKG71" s="122"/>
      <c r="DKH71" s="122"/>
      <c r="DKI71" s="122"/>
      <c r="DKJ71" s="122"/>
      <c r="DKK71" s="122"/>
      <c r="DKL71" s="122"/>
      <c r="DKM71" s="122"/>
      <c r="DKN71" s="122"/>
      <c r="DKO71" s="122"/>
      <c r="DKP71" s="122"/>
      <c r="DKQ71" s="122"/>
      <c r="DKR71" s="122"/>
      <c r="DKS71" s="122"/>
      <c r="DKT71" s="122"/>
      <c r="DKU71" s="122"/>
      <c r="DKV71" s="122"/>
      <c r="DKW71" s="122"/>
      <c r="DKX71" s="122"/>
      <c r="DKY71" s="122"/>
      <c r="DKZ71" s="122"/>
      <c r="DLA71" s="122"/>
      <c r="DLB71" s="122"/>
      <c r="DLC71" s="122"/>
      <c r="DLD71" s="122"/>
      <c r="DLE71" s="122"/>
      <c r="DLF71" s="122"/>
      <c r="DLG71" s="122"/>
      <c r="DLH71" s="122"/>
      <c r="DLI71" s="122"/>
      <c r="DLJ71" s="122"/>
      <c r="DLK71" s="122"/>
      <c r="DLL71" s="122"/>
      <c r="DLM71" s="122"/>
      <c r="DLN71" s="122"/>
      <c r="DLO71" s="122"/>
      <c r="DLP71" s="122"/>
      <c r="DLQ71" s="122"/>
      <c r="DLR71" s="122"/>
      <c r="DLS71" s="122"/>
      <c r="DLT71" s="122"/>
      <c r="DLU71" s="122"/>
      <c r="DLV71" s="122"/>
      <c r="DLW71" s="122"/>
      <c r="DLX71" s="122"/>
      <c r="DLY71" s="122"/>
      <c r="DLZ71" s="122"/>
      <c r="DMA71" s="122"/>
      <c r="DMB71" s="122"/>
      <c r="DMC71" s="122"/>
      <c r="DMD71" s="122"/>
      <c r="DME71" s="122"/>
      <c r="DMF71" s="122"/>
      <c r="DMG71" s="122"/>
      <c r="DMH71" s="122"/>
      <c r="DMI71" s="122"/>
      <c r="DMJ71" s="122"/>
      <c r="DMK71" s="122"/>
      <c r="DML71" s="122"/>
      <c r="DMM71" s="122"/>
      <c r="DMN71" s="122"/>
      <c r="DMO71" s="122"/>
      <c r="DMP71" s="122"/>
      <c r="DMQ71" s="122"/>
      <c r="DMR71" s="122"/>
      <c r="DMS71" s="122"/>
      <c r="DMT71" s="122"/>
      <c r="DMU71" s="122"/>
      <c r="DMV71" s="122"/>
      <c r="DMW71" s="122"/>
      <c r="DMX71" s="122"/>
      <c r="DMY71" s="122"/>
      <c r="DMZ71" s="122"/>
      <c r="DNA71" s="122"/>
      <c r="DNB71" s="122"/>
      <c r="DNC71" s="122"/>
      <c r="DND71" s="122"/>
      <c r="DNE71" s="122"/>
      <c r="DNF71" s="122"/>
      <c r="DNG71" s="122"/>
      <c r="DNH71" s="122"/>
      <c r="DNI71" s="122"/>
      <c r="DNJ71" s="122"/>
      <c r="DNK71" s="122"/>
      <c r="DNL71" s="122"/>
      <c r="DNM71" s="122"/>
      <c r="DNN71" s="122"/>
      <c r="DNO71" s="122"/>
      <c r="DNP71" s="122"/>
      <c r="DNQ71" s="122"/>
      <c r="DNR71" s="122"/>
      <c r="DNS71" s="122"/>
      <c r="DNT71" s="122"/>
      <c r="DNU71" s="122"/>
      <c r="DNV71" s="122"/>
      <c r="DNW71" s="122"/>
      <c r="DNX71" s="122"/>
      <c r="DNY71" s="122"/>
      <c r="DNZ71" s="122"/>
      <c r="DOA71" s="122"/>
      <c r="DOB71" s="122"/>
      <c r="DOC71" s="122"/>
      <c r="DOD71" s="122"/>
      <c r="DOE71" s="122"/>
      <c r="DOF71" s="122"/>
      <c r="DOG71" s="122"/>
      <c r="DOH71" s="122"/>
      <c r="DOI71" s="122"/>
      <c r="DOJ71" s="122"/>
      <c r="DOK71" s="122"/>
      <c r="DOL71" s="122"/>
      <c r="DOM71" s="122"/>
      <c r="DON71" s="122"/>
      <c r="DOO71" s="122"/>
      <c r="DOP71" s="122"/>
      <c r="DOQ71" s="122"/>
      <c r="DOR71" s="122"/>
      <c r="DOS71" s="122"/>
      <c r="DOT71" s="122"/>
      <c r="DOU71" s="122"/>
      <c r="DOV71" s="122"/>
      <c r="DOW71" s="122"/>
      <c r="DOX71" s="122"/>
      <c r="DOY71" s="122"/>
      <c r="DOZ71" s="122"/>
      <c r="DPA71" s="122"/>
      <c r="DPB71" s="122"/>
      <c r="DPC71" s="122"/>
      <c r="DPD71" s="122"/>
      <c r="DPE71" s="122"/>
      <c r="DPF71" s="122"/>
      <c r="DPG71" s="122"/>
      <c r="DPH71" s="122"/>
      <c r="DPI71" s="122"/>
      <c r="DPJ71" s="122"/>
      <c r="DPK71" s="122"/>
      <c r="DPL71" s="122"/>
      <c r="DPM71" s="122"/>
      <c r="DPN71" s="122"/>
      <c r="DPO71" s="122"/>
      <c r="DPP71" s="122"/>
      <c r="DPQ71" s="122"/>
      <c r="DPR71" s="122"/>
      <c r="DPS71" s="122"/>
      <c r="DPT71" s="122"/>
      <c r="DPU71" s="122"/>
      <c r="DPV71" s="122"/>
      <c r="DPW71" s="122"/>
      <c r="DPX71" s="122"/>
      <c r="DPY71" s="122"/>
      <c r="DPZ71" s="122"/>
      <c r="DQA71" s="122"/>
      <c r="DQB71" s="122"/>
      <c r="DQC71" s="122"/>
      <c r="DQD71" s="122"/>
      <c r="DQE71" s="122"/>
      <c r="DQF71" s="122"/>
      <c r="DQG71" s="122"/>
      <c r="DQH71" s="122"/>
      <c r="DQI71" s="122"/>
      <c r="DQJ71" s="122"/>
      <c r="DQK71" s="122"/>
      <c r="DQL71" s="122"/>
      <c r="DQM71" s="122"/>
      <c r="DQN71" s="122"/>
      <c r="DQO71" s="122"/>
      <c r="DQP71" s="122"/>
      <c r="DQQ71" s="122"/>
      <c r="DQR71" s="122"/>
      <c r="DQS71" s="122"/>
      <c r="DQT71" s="122"/>
      <c r="DQU71" s="122"/>
      <c r="DQV71" s="122"/>
      <c r="DQW71" s="122"/>
      <c r="DQX71" s="122"/>
      <c r="DQY71" s="122"/>
      <c r="DQZ71" s="122"/>
      <c r="DRA71" s="122"/>
      <c r="DRB71" s="122"/>
      <c r="DRC71" s="122"/>
      <c r="DRD71" s="122"/>
      <c r="DRE71" s="122"/>
      <c r="DRF71" s="122"/>
      <c r="DRG71" s="122"/>
      <c r="DRH71" s="122"/>
      <c r="DRI71" s="122"/>
      <c r="DRJ71" s="122"/>
      <c r="DRK71" s="122"/>
      <c r="DRL71" s="122"/>
      <c r="DRM71" s="122"/>
      <c r="DRN71" s="122"/>
      <c r="DRO71" s="122"/>
      <c r="DRP71" s="122"/>
      <c r="DRQ71" s="122"/>
      <c r="DRR71" s="122"/>
      <c r="DRS71" s="122"/>
      <c r="DRT71" s="122"/>
      <c r="DRU71" s="122"/>
      <c r="DRV71" s="122"/>
      <c r="DRW71" s="122"/>
      <c r="DRX71" s="122"/>
      <c r="DRY71" s="122"/>
      <c r="DRZ71" s="122"/>
      <c r="DSA71" s="122"/>
      <c r="DSB71" s="122"/>
      <c r="DSC71" s="122"/>
      <c r="DSD71" s="122"/>
      <c r="DSE71" s="122"/>
      <c r="DSF71" s="122"/>
      <c r="DSG71" s="122"/>
      <c r="DSH71" s="122"/>
      <c r="DSI71" s="122"/>
      <c r="DSJ71" s="122"/>
      <c r="DSK71" s="122"/>
      <c r="DSL71" s="122"/>
      <c r="DSM71" s="122"/>
      <c r="DSN71" s="122"/>
      <c r="DSO71" s="122"/>
      <c r="DSP71" s="122"/>
      <c r="DSQ71" s="122"/>
      <c r="DSR71" s="122"/>
      <c r="DSS71" s="122"/>
      <c r="DST71" s="122"/>
      <c r="DSU71" s="122"/>
      <c r="DSV71" s="122"/>
      <c r="DSW71" s="122"/>
      <c r="DSX71" s="122"/>
      <c r="DSY71" s="122"/>
      <c r="DSZ71" s="122"/>
      <c r="DTA71" s="122"/>
      <c r="DTB71" s="122"/>
      <c r="DTC71" s="122"/>
      <c r="DTD71" s="122"/>
      <c r="DTE71" s="122"/>
      <c r="DTF71" s="122"/>
      <c r="DTG71" s="122"/>
      <c r="DTH71" s="122"/>
      <c r="DTI71" s="122"/>
      <c r="DTJ71" s="122"/>
      <c r="DTK71" s="122"/>
      <c r="DTL71" s="122"/>
      <c r="DTM71" s="122"/>
      <c r="DTN71" s="122"/>
      <c r="DTO71" s="122"/>
      <c r="DTP71" s="122"/>
      <c r="DTQ71" s="122"/>
      <c r="DTR71" s="122"/>
      <c r="DTS71" s="122"/>
      <c r="DTT71" s="122"/>
      <c r="DTU71" s="122"/>
      <c r="DTV71" s="122"/>
      <c r="DTW71" s="122"/>
      <c r="DTX71" s="122"/>
      <c r="DTY71" s="122"/>
      <c r="DTZ71" s="122"/>
      <c r="DUA71" s="122"/>
      <c r="DUB71" s="122"/>
      <c r="DUC71" s="122"/>
      <c r="DUD71" s="122"/>
      <c r="DUE71" s="122"/>
      <c r="DUF71" s="122"/>
      <c r="DUG71" s="122"/>
      <c r="DUH71" s="122"/>
      <c r="DUI71" s="122"/>
      <c r="DUJ71" s="122"/>
      <c r="DUK71" s="122"/>
      <c r="DUL71" s="122"/>
      <c r="DUM71" s="122"/>
      <c r="DUN71" s="122"/>
      <c r="DUO71" s="122"/>
      <c r="DUP71" s="122"/>
      <c r="DUQ71" s="122"/>
      <c r="DUR71" s="122"/>
      <c r="DUS71" s="122"/>
      <c r="DUT71" s="122"/>
      <c r="DUU71" s="122"/>
      <c r="DUV71" s="122"/>
      <c r="DUW71" s="122"/>
      <c r="DUX71" s="122"/>
      <c r="DUY71" s="122"/>
      <c r="DUZ71" s="122"/>
      <c r="DVA71" s="122"/>
      <c r="DVB71" s="122"/>
      <c r="DVC71" s="122"/>
      <c r="DVD71" s="122"/>
      <c r="DVE71" s="122"/>
      <c r="DVF71" s="122"/>
      <c r="DVG71" s="122"/>
      <c r="DVH71" s="122"/>
      <c r="DVI71" s="122"/>
      <c r="DVJ71" s="122"/>
      <c r="DVK71" s="122"/>
      <c r="DVL71" s="122"/>
      <c r="DVM71" s="122"/>
      <c r="DVN71" s="122"/>
      <c r="DVO71" s="122"/>
      <c r="DVP71" s="122"/>
      <c r="DVQ71" s="122"/>
      <c r="DVR71" s="122"/>
      <c r="DVS71" s="122"/>
      <c r="DVT71" s="122"/>
      <c r="DVU71" s="122"/>
      <c r="DVV71" s="122"/>
      <c r="DVW71" s="122"/>
      <c r="DVX71" s="122"/>
      <c r="DVY71" s="122"/>
      <c r="DVZ71" s="122"/>
      <c r="DWA71" s="122"/>
      <c r="DWB71" s="122"/>
      <c r="DWC71" s="122"/>
      <c r="DWD71" s="122"/>
      <c r="DWE71" s="122"/>
      <c r="DWF71" s="122"/>
      <c r="DWG71" s="122"/>
      <c r="DWH71" s="122"/>
      <c r="DWI71" s="122"/>
      <c r="DWJ71" s="122"/>
      <c r="DWK71" s="122"/>
      <c r="DWL71" s="122"/>
      <c r="DWM71" s="122"/>
      <c r="DWN71" s="122"/>
      <c r="DWO71" s="122"/>
      <c r="DWP71" s="122"/>
      <c r="DWQ71" s="122"/>
      <c r="DWR71" s="122"/>
      <c r="DWS71" s="122"/>
      <c r="DWT71" s="122"/>
      <c r="DWU71" s="122"/>
      <c r="DWV71" s="122"/>
      <c r="DWW71" s="122"/>
      <c r="DWX71" s="122"/>
      <c r="DWY71" s="122"/>
      <c r="DWZ71" s="122"/>
      <c r="DXA71" s="122"/>
      <c r="DXB71" s="122"/>
      <c r="DXC71" s="122"/>
      <c r="DXD71" s="122"/>
      <c r="DXE71" s="122"/>
      <c r="DXF71" s="122"/>
      <c r="DXG71" s="122"/>
      <c r="DXH71" s="122"/>
      <c r="DXI71" s="122"/>
      <c r="DXJ71" s="122"/>
      <c r="DXK71" s="122"/>
      <c r="DXL71" s="122"/>
      <c r="DXM71" s="122"/>
      <c r="DXN71" s="122"/>
      <c r="DXO71" s="122"/>
      <c r="DXP71" s="122"/>
      <c r="DXQ71" s="122"/>
      <c r="DXR71" s="122"/>
      <c r="DXS71" s="122"/>
      <c r="DXT71" s="122"/>
      <c r="DXU71" s="122"/>
      <c r="DXV71" s="122"/>
      <c r="DXW71" s="122"/>
      <c r="DXX71" s="122"/>
      <c r="DXY71" s="122"/>
      <c r="DXZ71" s="122"/>
      <c r="DYA71" s="122"/>
      <c r="DYB71" s="122"/>
      <c r="DYC71" s="122"/>
      <c r="DYD71" s="122"/>
      <c r="DYE71" s="122"/>
      <c r="DYF71" s="122"/>
      <c r="DYG71" s="122"/>
      <c r="DYH71" s="122"/>
      <c r="DYI71" s="122"/>
      <c r="DYJ71" s="122"/>
      <c r="DYK71" s="122"/>
      <c r="DYL71" s="122"/>
      <c r="DYM71" s="122"/>
      <c r="DYN71" s="122"/>
      <c r="DYO71" s="122"/>
      <c r="DYP71" s="122"/>
      <c r="DYQ71" s="122"/>
      <c r="DYR71" s="122"/>
      <c r="DYS71" s="122"/>
      <c r="DYT71" s="122"/>
      <c r="DYU71" s="122"/>
      <c r="DYV71" s="122"/>
      <c r="DYW71" s="122"/>
      <c r="DYX71" s="122"/>
      <c r="DYY71" s="122"/>
      <c r="DYZ71" s="122"/>
      <c r="DZA71" s="122"/>
      <c r="DZB71" s="122"/>
      <c r="DZC71" s="122"/>
      <c r="DZD71" s="122"/>
      <c r="DZE71" s="122"/>
      <c r="DZF71" s="122"/>
      <c r="DZG71" s="122"/>
      <c r="DZH71" s="122"/>
      <c r="DZI71" s="122"/>
      <c r="DZJ71" s="122"/>
      <c r="DZK71" s="122"/>
      <c r="DZL71" s="122"/>
      <c r="DZM71" s="122"/>
      <c r="DZN71" s="122"/>
      <c r="DZO71" s="122"/>
      <c r="DZP71" s="122"/>
      <c r="DZQ71" s="122"/>
      <c r="DZR71" s="122"/>
      <c r="DZS71" s="122"/>
      <c r="DZT71" s="122"/>
      <c r="DZU71" s="122"/>
      <c r="DZV71" s="122"/>
      <c r="DZW71" s="122"/>
      <c r="DZX71" s="122"/>
      <c r="DZY71" s="122"/>
      <c r="DZZ71" s="122"/>
      <c r="EAA71" s="122"/>
      <c r="EAB71" s="122"/>
      <c r="EAC71" s="122"/>
      <c r="EAD71" s="122"/>
      <c r="EAE71" s="122"/>
      <c r="EAF71" s="122"/>
      <c r="EAG71" s="122"/>
      <c r="EAH71" s="122"/>
      <c r="EAI71" s="122"/>
      <c r="EAJ71" s="122"/>
      <c r="EAK71" s="122"/>
      <c r="EAL71" s="122"/>
      <c r="EAM71" s="122"/>
      <c r="EAN71" s="122"/>
      <c r="EAO71" s="122"/>
      <c r="EAP71" s="122"/>
      <c r="EAQ71" s="122"/>
      <c r="EAR71" s="122"/>
      <c r="EAS71" s="122"/>
      <c r="EAT71" s="122"/>
      <c r="EAU71" s="122"/>
      <c r="EAV71" s="122"/>
      <c r="EAW71" s="122"/>
      <c r="EAX71" s="122"/>
      <c r="EAY71" s="122"/>
      <c r="EAZ71" s="122"/>
      <c r="EBA71" s="122"/>
      <c r="EBB71" s="122"/>
      <c r="EBC71" s="122"/>
      <c r="EBD71" s="122"/>
      <c r="EBE71" s="122"/>
      <c r="EBF71" s="122"/>
      <c r="EBG71" s="122"/>
      <c r="EBH71" s="122"/>
      <c r="EBI71" s="122"/>
      <c r="EBJ71" s="122"/>
      <c r="EBK71" s="122"/>
      <c r="EBL71" s="122"/>
      <c r="EBM71" s="122"/>
      <c r="EBN71" s="122"/>
      <c r="EBO71" s="122"/>
      <c r="EBP71" s="122"/>
      <c r="EBQ71" s="122"/>
      <c r="EBR71" s="122"/>
      <c r="EBS71" s="122"/>
      <c r="EBT71" s="122"/>
      <c r="EBU71" s="122"/>
      <c r="EBV71" s="122"/>
      <c r="EBW71" s="122"/>
      <c r="EBX71" s="122"/>
      <c r="EBY71" s="122"/>
      <c r="EBZ71" s="122"/>
      <c r="ECA71" s="122"/>
      <c r="ECB71" s="122"/>
      <c r="ECC71" s="122"/>
      <c r="ECD71" s="122"/>
      <c r="ECE71" s="122"/>
      <c r="ECF71" s="122"/>
      <c r="ECG71" s="122"/>
      <c r="ECH71" s="122"/>
      <c r="ECI71" s="122"/>
      <c r="ECJ71" s="122"/>
      <c r="ECK71" s="122"/>
      <c r="ECL71" s="122"/>
      <c r="ECM71" s="122"/>
      <c r="ECN71" s="122"/>
      <c r="ECO71" s="122"/>
      <c r="ECP71" s="122"/>
      <c r="ECQ71" s="122"/>
      <c r="ECR71" s="122"/>
      <c r="ECS71" s="122"/>
      <c r="ECT71" s="122"/>
      <c r="ECU71" s="122"/>
      <c r="ECV71" s="122"/>
      <c r="ECW71" s="122"/>
      <c r="ECX71" s="122"/>
      <c r="ECY71" s="122"/>
      <c r="ECZ71" s="122"/>
      <c r="EDA71" s="122"/>
      <c r="EDB71" s="122"/>
      <c r="EDC71" s="122"/>
      <c r="EDD71" s="122"/>
      <c r="EDE71" s="122"/>
      <c r="EDF71" s="122"/>
      <c r="EDG71" s="122"/>
      <c r="EDH71" s="122"/>
      <c r="EDI71" s="122"/>
      <c r="EDJ71" s="122"/>
      <c r="EDK71" s="122"/>
      <c r="EDL71" s="122"/>
      <c r="EDM71" s="122"/>
      <c r="EDN71" s="122"/>
      <c r="EDO71" s="122"/>
      <c r="EDP71" s="122"/>
      <c r="EDQ71" s="122"/>
      <c r="EDR71" s="122"/>
      <c r="EDS71" s="122"/>
      <c r="EDT71" s="122"/>
      <c r="EDU71" s="122"/>
      <c r="EDV71" s="122"/>
      <c r="EDW71" s="122"/>
      <c r="EDX71" s="122"/>
      <c r="EDY71" s="122"/>
      <c r="EDZ71" s="122"/>
      <c r="EEA71" s="122"/>
      <c r="EEB71" s="122"/>
      <c r="EEC71" s="122"/>
      <c r="EED71" s="122"/>
      <c r="EEE71" s="122"/>
      <c r="EEF71" s="122"/>
      <c r="EEG71" s="122"/>
      <c r="EEH71" s="122"/>
      <c r="EEI71" s="122"/>
      <c r="EEJ71" s="122"/>
      <c r="EEK71" s="122"/>
      <c r="EEL71" s="122"/>
      <c r="EEM71" s="122"/>
      <c r="EEN71" s="122"/>
      <c r="EEO71" s="122"/>
      <c r="EEP71" s="122"/>
      <c r="EEQ71" s="122"/>
      <c r="EER71" s="122"/>
      <c r="EES71" s="122"/>
      <c r="EET71" s="122"/>
      <c r="EEU71" s="122"/>
      <c r="EEV71" s="122"/>
      <c r="EEW71" s="122"/>
      <c r="EEX71" s="122"/>
      <c r="EEY71" s="122"/>
      <c r="EEZ71" s="122"/>
      <c r="EFA71" s="122"/>
      <c r="EFB71" s="122"/>
      <c r="EFC71" s="122"/>
      <c r="EFD71" s="122"/>
      <c r="EFE71" s="122"/>
      <c r="EFF71" s="122"/>
      <c r="EFG71" s="122"/>
      <c r="EFH71" s="122"/>
      <c r="EFI71" s="122"/>
      <c r="EFJ71" s="122"/>
      <c r="EFK71" s="122"/>
      <c r="EFL71" s="122"/>
      <c r="EFM71" s="122"/>
      <c r="EFN71" s="122"/>
      <c r="EFO71" s="122"/>
      <c r="EFP71" s="122"/>
      <c r="EFQ71" s="122"/>
      <c r="EFR71" s="122"/>
      <c r="EFS71" s="122"/>
      <c r="EFT71" s="122"/>
      <c r="EFU71" s="122"/>
      <c r="EFV71" s="122"/>
      <c r="EFW71" s="122"/>
      <c r="EFX71" s="122"/>
      <c r="EFY71" s="122"/>
      <c r="EFZ71" s="122"/>
      <c r="EGA71" s="122"/>
      <c r="EGB71" s="122"/>
      <c r="EGC71" s="122"/>
      <c r="EGD71" s="122"/>
      <c r="EGE71" s="122"/>
      <c r="EGF71" s="122"/>
      <c r="EGG71" s="122"/>
      <c r="EGH71" s="122"/>
      <c r="EGI71" s="122"/>
      <c r="EGJ71" s="122"/>
      <c r="EGK71" s="122"/>
      <c r="EGL71" s="122"/>
      <c r="EGM71" s="122"/>
      <c r="EGN71" s="122"/>
      <c r="EGO71" s="122"/>
      <c r="EGP71" s="122"/>
      <c r="EGQ71" s="122"/>
      <c r="EGR71" s="122"/>
      <c r="EGS71" s="122"/>
      <c r="EGT71" s="122"/>
      <c r="EGU71" s="122"/>
      <c r="EGV71" s="122"/>
      <c r="EGW71" s="122"/>
      <c r="EGX71" s="122"/>
      <c r="EGY71" s="122"/>
      <c r="EGZ71" s="122"/>
      <c r="EHA71" s="122"/>
      <c r="EHB71" s="122"/>
      <c r="EHC71" s="122"/>
      <c r="EHD71" s="122"/>
      <c r="EHE71" s="122"/>
      <c r="EHF71" s="122"/>
      <c r="EHG71" s="122"/>
      <c r="EHH71" s="122"/>
      <c r="EHI71" s="122"/>
      <c r="EHJ71" s="122"/>
      <c r="EHK71" s="122"/>
      <c r="EHL71" s="122"/>
      <c r="EHM71" s="122"/>
      <c r="EHN71" s="122"/>
      <c r="EHO71" s="122"/>
      <c r="EHP71" s="122"/>
      <c r="EHQ71" s="122"/>
      <c r="EHR71" s="122"/>
      <c r="EHS71" s="122"/>
      <c r="EHT71" s="122"/>
      <c r="EHU71" s="122"/>
      <c r="EHV71" s="122"/>
      <c r="EHW71" s="122"/>
      <c r="EHX71" s="122"/>
      <c r="EHY71" s="122"/>
      <c r="EHZ71" s="122"/>
      <c r="EIA71" s="122"/>
      <c r="EIB71" s="122"/>
      <c r="EIC71" s="122"/>
      <c r="EID71" s="122"/>
      <c r="EIE71" s="122"/>
      <c r="EIF71" s="122"/>
      <c r="EIG71" s="122"/>
      <c r="EIH71" s="122"/>
      <c r="EII71" s="122"/>
      <c r="EIJ71" s="122"/>
      <c r="EIK71" s="122"/>
      <c r="EIL71" s="122"/>
      <c r="EIM71" s="122"/>
      <c r="EIN71" s="122"/>
      <c r="EIO71" s="122"/>
      <c r="EIP71" s="122"/>
      <c r="EIQ71" s="122"/>
      <c r="EIR71" s="122"/>
      <c r="EIS71" s="122"/>
      <c r="EIT71" s="122"/>
      <c r="EIU71" s="122"/>
      <c r="EIV71" s="122"/>
      <c r="EIW71" s="122"/>
      <c r="EIX71" s="122"/>
      <c r="EIY71" s="122"/>
      <c r="EIZ71" s="122"/>
      <c r="EJA71" s="122"/>
      <c r="EJB71" s="122"/>
      <c r="EJC71" s="122"/>
      <c r="EJD71" s="122"/>
      <c r="EJE71" s="122"/>
      <c r="EJF71" s="122"/>
      <c r="EJG71" s="122"/>
      <c r="EJH71" s="122"/>
      <c r="EJI71" s="122"/>
      <c r="EJJ71" s="122"/>
      <c r="EJK71" s="122"/>
      <c r="EJL71" s="122"/>
      <c r="EJM71" s="122"/>
      <c r="EJN71" s="122"/>
      <c r="EJO71" s="122"/>
      <c r="EJP71" s="122"/>
      <c r="EJQ71" s="122"/>
      <c r="EJR71" s="122"/>
      <c r="EJS71" s="122"/>
      <c r="EJT71" s="122"/>
      <c r="EJU71" s="122"/>
      <c r="EJV71" s="122"/>
      <c r="EJW71" s="122"/>
      <c r="EJX71" s="122"/>
      <c r="EJY71" s="122"/>
      <c r="EJZ71" s="122"/>
      <c r="EKA71" s="122"/>
      <c r="EKB71" s="122"/>
      <c r="EKC71" s="122"/>
      <c r="EKD71" s="122"/>
      <c r="EKE71" s="122"/>
      <c r="EKF71" s="122"/>
      <c r="EKG71" s="122"/>
      <c r="EKH71" s="122"/>
      <c r="EKI71" s="122"/>
      <c r="EKJ71" s="122"/>
      <c r="EKK71" s="122"/>
      <c r="EKL71" s="122"/>
      <c r="EKM71" s="122"/>
      <c r="EKN71" s="122"/>
      <c r="EKO71" s="122"/>
      <c r="EKP71" s="122"/>
      <c r="EKQ71" s="122"/>
      <c r="EKR71" s="122"/>
      <c r="EKS71" s="122"/>
      <c r="EKT71" s="122"/>
      <c r="EKU71" s="122"/>
      <c r="EKV71" s="122"/>
      <c r="EKW71" s="122"/>
      <c r="EKX71" s="122"/>
      <c r="EKY71" s="122"/>
      <c r="EKZ71" s="122"/>
      <c r="ELA71" s="122"/>
      <c r="ELB71" s="122"/>
      <c r="ELC71" s="122"/>
      <c r="ELD71" s="122"/>
      <c r="ELE71" s="122"/>
      <c r="ELF71" s="122"/>
      <c r="ELG71" s="122"/>
      <c r="ELH71" s="122"/>
      <c r="ELI71" s="122"/>
      <c r="ELJ71" s="122"/>
      <c r="ELK71" s="122"/>
      <c r="ELL71" s="122"/>
      <c r="ELM71" s="122"/>
      <c r="ELN71" s="122"/>
      <c r="ELO71" s="122"/>
      <c r="ELP71" s="122"/>
      <c r="ELQ71" s="122"/>
      <c r="ELR71" s="122"/>
      <c r="ELS71" s="122"/>
      <c r="ELT71" s="122"/>
      <c r="ELU71" s="122"/>
      <c r="ELV71" s="122"/>
      <c r="ELW71" s="122"/>
      <c r="ELX71" s="122"/>
      <c r="ELY71" s="122"/>
      <c r="ELZ71" s="122"/>
      <c r="EMA71" s="122"/>
      <c r="EMB71" s="122"/>
      <c r="EMC71" s="122"/>
      <c r="EMD71" s="122"/>
      <c r="EME71" s="122"/>
      <c r="EMF71" s="122"/>
      <c r="EMG71" s="122"/>
      <c r="EMH71" s="122"/>
      <c r="EMI71" s="122"/>
      <c r="EMJ71" s="122"/>
      <c r="EMK71" s="122"/>
      <c r="EML71" s="122"/>
      <c r="EMM71" s="122"/>
      <c r="EMN71" s="122"/>
      <c r="EMO71" s="122"/>
      <c r="EMP71" s="122"/>
      <c r="EMQ71" s="122"/>
      <c r="EMR71" s="122"/>
      <c r="EMS71" s="122"/>
      <c r="EMT71" s="122"/>
      <c r="EMU71" s="122"/>
      <c r="EMV71" s="122"/>
      <c r="EMW71" s="122"/>
      <c r="EMX71" s="122"/>
      <c r="EMY71" s="122"/>
      <c r="EMZ71" s="122"/>
      <c r="ENA71" s="122"/>
      <c r="ENB71" s="122"/>
      <c r="ENC71" s="122"/>
      <c r="END71" s="122"/>
      <c r="ENE71" s="122"/>
      <c r="ENF71" s="122"/>
      <c r="ENG71" s="122"/>
      <c r="ENH71" s="122"/>
      <c r="ENI71" s="122"/>
      <c r="ENJ71" s="122"/>
      <c r="ENK71" s="122"/>
      <c r="ENL71" s="122"/>
      <c r="ENM71" s="122"/>
      <c r="ENN71" s="122"/>
      <c r="ENO71" s="122"/>
      <c r="ENP71" s="122"/>
      <c r="ENQ71" s="122"/>
      <c r="ENR71" s="122"/>
      <c r="ENS71" s="122"/>
      <c r="ENT71" s="122"/>
      <c r="ENU71" s="122"/>
      <c r="ENV71" s="122"/>
      <c r="ENW71" s="122"/>
      <c r="ENX71" s="122"/>
      <c r="ENY71" s="122"/>
      <c r="ENZ71" s="122"/>
      <c r="EOA71" s="122"/>
      <c r="EOB71" s="122"/>
      <c r="EOC71" s="122"/>
      <c r="EOD71" s="122"/>
      <c r="EOE71" s="122"/>
      <c r="EOF71" s="122"/>
      <c r="EOG71" s="122"/>
      <c r="EOH71" s="122"/>
      <c r="EOI71" s="122"/>
      <c r="EOJ71" s="122"/>
      <c r="EOK71" s="122"/>
      <c r="EOL71" s="122"/>
      <c r="EOM71" s="122"/>
      <c r="EON71" s="122"/>
      <c r="EOO71" s="122"/>
      <c r="EOP71" s="122"/>
      <c r="EOQ71" s="122"/>
      <c r="EOR71" s="122"/>
      <c r="EOS71" s="122"/>
      <c r="EOT71" s="122"/>
      <c r="EOU71" s="122"/>
      <c r="EOV71" s="122"/>
      <c r="EOW71" s="122"/>
      <c r="EOX71" s="122"/>
      <c r="EOY71" s="122"/>
      <c r="EOZ71" s="122"/>
      <c r="EPA71" s="122"/>
      <c r="EPB71" s="122"/>
      <c r="EPC71" s="122"/>
      <c r="EPD71" s="122"/>
      <c r="EPE71" s="122"/>
      <c r="EPF71" s="122"/>
      <c r="EPG71" s="122"/>
      <c r="EPH71" s="122"/>
      <c r="EPI71" s="122"/>
      <c r="EPJ71" s="122"/>
      <c r="EPK71" s="122"/>
      <c r="EPL71" s="122"/>
      <c r="EPM71" s="122"/>
      <c r="EPN71" s="122"/>
      <c r="EPO71" s="122"/>
      <c r="EPP71" s="122"/>
      <c r="EPQ71" s="122"/>
      <c r="EPR71" s="122"/>
      <c r="EPS71" s="122"/>
      <c r="EPT71" s="122"/>
      <c r="EPU71" s="122"/>
      <c r="EPV71" s="122"/>
      <c r="EPW71" s="122"/>
      <c r="EPX71" s="122"/>
      <c r="EPY71" s="122"/>
      <c r="EPZ71" s="122"/>
      <c r="EQA71" s="122"/>
      <c r="EQB71" s="122"/>
      <c r="EQC71" s="122"/>
      <c r="EQD71" s="122"/>
      <c r="EQE71" s="122"/>
      <c r="EQF71" s="122"/>
      <c r="EQG71" s="122"/>
      <c r="EQH71" s="122"/>
      <c r="EQI71" s="122"/>
      <c r="EQJ71" s="122"/>
      <c r="EQK71" s="122"/>
      <c r="EQL71" s="122"/>
      <c r="EQM71" s="122"/>
      <c r="EQN71" s="122"/>
      <c r="EQO71" s="122"/>
      <c r="EQP71" s="122"/>
      <c r="EQQ71" s="122"/>
      <c r="EQR71" s="122"/>
      <c r="EQS71" s="122"/>
      <c r="EQT71" s="122"/>
      <c r="EQU71" s="122"/>
      <c r="EQV71" s="122"/>
      <c r="EQW71" s="122"/>
      <c r="EQX71" s="122"/>
      <c r="EQY71" s="122"/>
      <c r="EQZ71" s="122"/>
      <c r="ERA71" s="122"/>
      <c r="ERB71" s="122"/>
      <c r="ERC71" s="122"/>
      <c r="ERD71" s="122"/>
      <c r="ERE71" s="122"/>
      <c r="ERF71" s="122"/>
      <c r="ERG71" s="122"/>
      <c r="ERH71" s="122"/>
      <c r="ERI71" s="122"/>
      <c r="ERJ71" s="122"/>
      <c r="ERK71" s="122"/>
      <c r="ERL71" s="122"/>
      <c r="ERM71" s="122"/>
      <c r="ERN71" s="122"/>
      <c r="ERO71" s="122"/>
      <c r="ERP71" s="122"/>
      <c r="ERQ71" s="122"/>
      <c r="ERR71" s="122"/>
      <c r="ERS71" s="122"/>
      <c r="ERT71" s="122"/>
      <c r="ERU71" s="122"/>
      <c r="ERV71" s="122"/>
      <c r="ERW71" s="122"/>
      <c r="ERX71" s="122"/>
      <c r="ERY71" s="122"/>
      <c r="ERZ71" s="122"/>
      <c r="ESA71" s="122"/>
      <c r="ESB71" s="122"/>
      <c r="ESC71" s="122"/>
      <c r="ESD71" s="122"/>
      <c r="ESE71" s="122"/>
      <c r="ESF71" s="122"/>
      <c r="ESG71" s="122"/>
      <c r="ESH71" s="122"/>
      <c r="ESI71" s="122"/>
      <c r="ESJ71" s="122"/>
      <c r="ESK71" s="122"/>
      <c r="ESL71" s="122"/>
      <c r="ESM71" s="122"/>
      <c r="ESN71" s="122"/>
      <c r="ESO71" s="122"/>
      <c r="ESP71" s="122"/>
      <c r="ESQ71" s="122"/>
      <c r="ESR71" s="122"/>
      <c r="ESS71" s="122"/>
      <c r="EST71" s="122"/>
      <c r="ESU71" s="122"/>
      <c r="ESV71" s="122"/>
      <c r="ESW71" s="122"/>
      <c r="ESX71" s="122"/>
      <c r="ESY71" s="122"/>
      <c r="ESZ71" s="122"/>
      <c r="ETA71" s="122"/>
      <c r="ETB71" s="122"/>
      <c r="ETC71" s="122"/>
      <c r="ETD71" s="122"/>
      <c r="ETE71" s="122"/>
      <c r="ETF71" s="122"/>
      <c r="ETG71" s="122"/>
      <c r="ETH71" s="122"/>
      <c r="ETI71" s="122"/>
      <c r="ETJ71" s="122"/>
      <c r="ETK71" s="122"/>
      <c r="ETL71" s="122"/>
      <c r="ETM71" s="122"/>
      <c r="ETN71" s="122"/>
      <c r="ETO71" s="122"/>
      <c r="ETP71" s="122"/>
      <c r="ETQ71" s="122"/>
      <c r="ETR71" s="122"/>
      <c r="ETS71" s="122"/>
      <c r="ETT71" s="122"/>
      <c r="ETU71" s="122"/>
      <c r="ETV71" s="122"/>
      <c r="ETW71" s="122"/>
      <c r="ETX71" s="122"/>
      <c r="ETY71" s="122"/>
      <c r="ETZ71" s="122"/>
      <c r="EUA71" s="122"/>
      <c r="EUB71" s="122"/>
      <c r="EUC71" s="122"/>
      <c r="EUD71" s="122"/>
      <c r="EUE71" s="122"/>
      <c r="EUF71" s="122"/>
      <c r="EUG71" s="122"/>
      <c r="EUH71" s="122"/>
      <c r="EUI71" s="122"/>
      <c r="EUJ71" s="122"/>
      <c r="EUK71" s="122"/>
      <c r="EUL71" s="122"/>
      <c r="EUM71" s="122"/>
      <c r="EUN71" s="122"/>
      <c r="EUO71" s="122"/>
      <c r="EUP71" s="122"/>
      <c r="EUQ71" s="122"/>
      <c r="EUR71" s="122"/>
      <c r="EUS71" s="122"/>
      <c r="EUT71" s="122"/>
      <c r="EUU71" s="122"/>
      <c r="EUV71" s="122"/>
      <c r="EUW71" s="122"/>
      <c r="EUX71" s="122"/>
      <c r="EUY71" s="122"/>
      <c r="EUZ71" s="122"/>
      <c r="EVA71" s="122"/>
      <c r="EVB71" s="122"/>
      <c r="EVC71" s="122"/>
      <c r="EVD71" s="122"/>
      <c r="EVE71" s="122"/>
      <c r="EVF71" s="122"/>
      <c r="EVG71" s="122"/>
      <c r="EVH71" s="122"/>
      <c r="EVI71" s="122"/>
      <c r="EVJ71" s="122"/>
      <c r="EVK71" s="122"/>
      <c r="EVL71" s="122"/>
      <c r="EVM71" s="122"/>
      <c r="EVN71" s="122"/>
      <c r="EVO71" s="122"/>
      <c r="EVP71" s="122"/>
      <c r="EVQ71" s="122"/>
      <c r="EVR71" s="122"/>
      <c r="EVS71" s="122"/>
      <c r="EVT71" s="122"/>
      <c r="EVU71" s="122"/>
      <c r="EVV71" s="122"/>
      <c r="EVW71" s="122"/>
      <c r="EVX71" s="122"/>
      <c r="EVY71" s="122"/>
      <c r="EVZ71" s="122"/>
      <c r="EWA71" s="122"/>
      <c r="EWB71" s="122"/>
      <c r="EWC71" s="122"/>
      <c r="EWD71" s="122"/>
      <c r="EWE71" s="122"/>
      <c r="EWF71" s="122"/>
      <c r="EWG71" s="122"/>
      <c r="EWH71" s="122"/>
      <c r="EWI71" s="122"/>
      <c r="EWJ71" s="122"/>
      <c r="EWK71" s="122"/>
      <c r="EWL71" s="122"/>
      <c r="EWM71" s="122"/>
      <c r="EWN71" s="122"/>
      <c r="EWO71" s="122"/>
      <c r="EWP71" s="122"/>
      <c r="EWQ71" s="122"/>
      <c r="EWR71" s="122"/>
      <c r="EWS71" s="122"/>
      <c r="EWT71" s="122"/>
      <c r="EWU71" s="122"/>
      <c r="EWV71" s="122"/>
      <c r="EWW71" s="122"/>
      <c r="EWX71" s="122"/>
      <c r="EWY71" s="122"/>
      <c r="EWZ71" s="122"/>
      <c r="EXA71" s="122"/>
      <c r="EXB71" s="122"/>
      <c r="EXC71" s="122"/>
      <c r="EXD71" s="122"/>
      <c r="EXE71" s="122"/>
      <c r="EXF71" s="122"/>
      <c r="EXG71" s="122"/>
      <c r="EXH71" s="122"/>
      <c r="EXI71" s="122"/>
      <c r="EXJ71" s="122"/>
      <c r="EXK71" s="122"/>
      <c r="EXL71" s="122"/>
      <c r="EXM71" s="122"/>
      <c r="EXN71" s="122"/>
      <c r="EXO71" s="122"/>
      <c r="EXP71" s="122"/>
      <c r="EXQ71" s="122"/>
      <c r="EXR71" s="122"/>
      <c r="EXS71" s="122"/>
      <c r="EXT71" s="122"/>
      <c r="EXU71" s="122"/>
      <c r="EXV71" s="122"/>
      <c r="EXW71" s="122"/>
      <c r="EXX71" s="122"/>
      <c r="EXY71" s="122"/>
      <c r="EXZ71" s="122"/>
      <c r="EYA71" s="122"/>
      <c r="EYB71" s="122"/>
      <c r="EYC71" s="122"/>
      <c r="EYD71" s="122"/>
      <c r="EYE71" s="122"/>
      <c r="EYF71" s="122"/>
      <c r="EYG71" s="122"/>
      <c r="EYH71" s="122"/>
      <c r="EYI71" s="122"/>
      <c r="EYJ71" s="122"/>
      <c r="EYK71" s="122"/>
      <c r="EYL71" s="122"/>
      <c r="EYM71" s="122"/>
      <c r="EYN71" s="122"/>
      <c r="EYO71" s="122"/>
      <c r="EYP71" s="122"/>
      <c r="EYQ71" s="122"/>
      <c r="EYR71" s="122"/>
      <c r="EYS71" s="122"/>
      <c r="EYT71" s="122"/>
      <c r="EYU71" s="122"/>
      <c r="EYV71" s="122"/>
      <c r="EYW71" s="122"/>
      <c r="EYX71" s="122"/>
      <c r="EYY71" s="122"/>
      <c r="EYZ71" s="122"/>
      <c r="EZA71" s="122"/>
      <c r="EZB71" s="122"/>
      <c r="EZC71" s="122"/>
      <c r="EZD71" s="122"/>
      <c r="EZE71" s="122"/>
      <c r="EZF71" s="122"/>
      <c r="EZG71" s="122"/>
      <c r="EZH71" s="122"/>
      <c r="EZI71" s="122"/>
      <c r="EZJ71" s="122"/>
      <c r="EZK71" s="122"/>
      <c r="EZL71" s="122"/>
      <c r="EZM71" s="122"/>
      <c r="EZN71" s="122"/>
      <c r="EZO71" s="122"/>
      <c r="EZP71" s="122"/>
      <c r="EZQ71" s="122"/>
      <c r="EZR71" s="122"/>
      <c r="EZS71" s="122"/>
      <c r="EZT71" s="122"/>
      <c r="EZU71" s="122"/>
      <c r="EZV71" s="122"/>
      <c r="EZW71" s="122"/>
      <c r="EZX71" s="122"/>
      <c r="EZY71" s="122"/>
      <c r="EZZ71" s="122"/>
      <c r="FAA71" s="122"/>
      <c r="FAB71" s="122"/>
      <c r="FAC71" s="122"/>
      <c r="FAD71" s="122"/>
      <c r="FAE71" s="122"/>
      <c r="FAF71" s="122"/>
      <c r="FAG71" s="122"/>
      <c r="FAH71" s="122"/>
      <c r="FAI71" s="122"/>
      <c r="FAJ71" s="122"/>
      <c r="FAK71" s="122"/>
      <c r="FAL71" s="122"/>
      <c r="FAM71" s="122"/>
      <c r="FAN71" s="122"/>
      <c r="FAO71" s="122"/>
      <c r="FAP71" s="122"/>
      <c r="FAQ71" s="122"/>
      <c r="FAR71" s="122"/>
      <c r="FAS71" s="122"/>
      <c r="FAT71" s="122"/>
      <c r="FAU71" s="122"/>
      <c r="FAV71" s="122"/>
      <c r="FAW71" s="122"/>
      <c r="FAX71" s="122"/>
      <c r="FAY71" s="122"/>
      <c r="FAZ71" s="122"/>
      <c r="FBA71" s="122"/>
      <c r="FBB71" s="122"/>
      <c r="FBC71" s="122"/>
      <c r="FBD71" s="122"/>
      <c r="FBE71" s="122"/>
      <c r="FBF71" s="122"/>
      <c r="FBG71" s="122"/>
      <c r="FBH71" s="122"/>
      <c r="FBI71" s="122"/>
      <c r="FBJ71" s="122"/>
      <c r="FBK71" s="122"/>
      <c r="FBL71" s="122"/>
      <c r="FBM71" s="122"/>
      <c r="FBN71" s="122"/>
      <c r="FBO71" s="122"/>
      <c r="FBP71" s="122"/>
      <c r="FBQ71" s="122"/>
      <c r="FBR71" s="122"/>
      <c r="FBS71" s="122"/>
      <c r="FBT71" s="122"/>
      <c r="FBU71" s="122"/>
      <c r="FBV71" s="122"/>
      <c r="FBW71" s="122"/>
      <c r="FBX71" s="122"/>
      <c r="FBY71" s="122"/>
      <c r="FBZ71" s="122"/>
      <c r="FCA71" s="122"/>
      <c r="FCB71" s="122"/>
      <c r="FCC71" s="122"/>
      <c r="FCD71" s="122"/>
      <c r="FCE71" s="122"/>
      <c r="FCF71" s="122"/>
      <c r="FCG71" s="122"/>
      <c r="FCH71" s="122"/>
      <c r="FCI71" s="122"/>
      <c r="FCJ71" s="122"/>
      <c r="FCK71" s="122"/>
      <c r="FCL71" s="122"/>
      <c r="FCM71" s="122"/>
      <c r="FCN71" s="122"/>
      <c r="FCO71" s="122"/>
      <c r="FCP71" s="122"/>
      <c r="FCQ71" s="122"/>
      <c r="FCR71" s="122"/>
      <c r="FCS71" s="122"/>
      <c r="FCT71" s="122"/>
      <c r="FCU71" s="122"/>
      <c r="FCV71" s="122"/>
      <c r="FCW71" s="122"/>
      <c r="FCX71" s="122"/>
      <c r="FCY71" s="122"/>
      <c r="FCZ71" s="122"/>
      <c r="FDA71" s="122"/>
      <c r="FDB71" s="122"/>
      <c r="FDC71" s="122"/>
      <c r="FDD71" s="122"/>
      <c r="FDE71" s="122"/>
      <c r="FDF71" s="122"/>
      <c r="FDG71" s="122"/>
      <c r="FDH71" s="122"/>
      <c r="FDI71" s="122"/>
      <c r="FDJ71" s="122"/>
      <c r="FDK71" s="122"/>
      <c r="FDL71" s="122"/>
      <c r="FDM71" s="122"/>
      <c r="FDN71" s="122"/>
      <c r="FDO71" s="122"/>
      <c r="FDP71" s="122"/>
      <c r="FDQ71" s="122"/>
      <c r="FDR71" s="122"/>
      <c r="FDS71" s="122"/>
      <c r="FDT71" s="122"/>
      <c r="FDU71" s="122"/>
      <c r="FDV71" s="122"/>
      <c r="FDW71" s="122"/>
      <c r="FDX71" s="122"/>
      <c r="FDY71" s="122"/>
      <c r="FDZ71" s="122"/>
      <c r="FEA71" s="122"/>
      <c r="FEB71" s="122"/>
      <c r="FEC71" s="122"/>
      <c r="FED71" s="122"/>
      <c r="FEE71" s="122"/>
      <c r="FEF71" s="122"/>
      <c r="FEG71" s="122"/>
      <c r="FEH71" s="122"/>
      <c r="FEI71" s="122"/>
      <c r="FEJ71" s="122"/>
      <c r="FEK71" s="122"/>
      <c r="FEL71" s="122"/>
      <c r="FEM71" s="122"/>
      <c r="FEN71" s="122"/>
      <c r="FEO71" s="122"/>
      <c r="FEP71" s="122"/>
      <c r="FEQ71" s="122"/>
      <c r="FER71" s="122"/>
      <c r="FES71" s="122"/>
      <c r="FET71" s="122"/>
      <c r="FEU71" s="122"/>
      <c r="FEV71" s="122"/>
      <c r="FEW71" s="122"/>
      <c r="FEX71" s="122"/>
      <c r="FEY71" s="122"/>
      <c r="FEZ71" s="122"/>
      <c r="FFA71" s="122"/>
      <c r="FFB71" s="122"/>
      <c r="FFC71" s="122"/>
      <c r="FFD71" s="122"/>
      <c r="FFE71" s="122"/>
      <c r="FFF71" s="122"/>
      <c r="FFG71" s="122"/>
      <c r="FFH71" s="122"/>
      <c r="FFI71" s="122"/>
      <c r="FFJ71" s="122"/>
      <c r="FFK71" s="122"/>
      <c r="FFL71" s="122"/>
      <c r="FFM71" s="122"/>
      <c r="FFN71" s="122"/>
      <c r="FFO71" s="122"/>
      <c r="FFP71" s="122"/>
      <c r="FFQ71" s="122"/>
      <c r="FFR71" s="122"/>
      <c r="FFS71" s="122"/>
      <c r="FFT71" s="122"/>
      <c r="FFU71" s="122"/>
      <c r="FFV71" s="122"/>
      <c r="FFW71" s="122"/>
      <c r="FFX71" s="122"/>
      <c r="FFY71" s="122"/>
      <c r="FFZ71" s="122"/>
      <c r="FGA71" s="122"/>
      <c r="FGB71" s="122"/>
      <c r="FGC71" s="122"/>
      <c r="FGD71" s="122"/>
      <c r="FGE71" s="122"/>
      <c r="FGF71" s="122"/>
      <c r="FGG71" s="122"/>
      <c r="FGH71" s="122"/>
      <c r="FGI71" s="122"/>
      <c r="FGJ71" s="122"/>
      <c r="FGK71" s="122"/>
      <c r="FGL71" s="122"/>
      <c r="FGM71" s="122"/>
      <c r="FGN71" s="122"/>
      <c r="FGO71" s="122"/>
      <c r="FGP71" s="122"/>
      <c r="FGQ71" s="122"/>
      <c r="FGR71" s="122"/>
      <c r="FGS71" s="122"/>
      <c r="FGT71" s="122"/>
      <c r="FGU71" s="122"/>
      <c r="FGV71" s="122"/>
      <c r="FGW71" s="122"/>
      <c r="FGX71" s="122"/>
      <c r="FGY71" s="122"/>
      <c r="FGZ71" s="122"/>
      <c r="FHA71" s="122"/>
      <c r="FHB71" s="122"/>
      <c r="FHC71" s="122"/>
      <c r="FHD71" s="122"/>
      <c r="FHE71" s="122"/>
      <c r="FHF71" s="122"/>
      <c r="FHG71" s="122"/>
      <c r="FHH71" s="122"/>
      <c r="FHI71" s="122"/>
      <c r="FHJ71" s="122"/>
      <c r="FHK71" s="122"/>
      <c r="FHL71" s="122"/>
      <c r="FHM71" s="122"/>
      <c r="FHN71" s="122"/>
      <c r="FHO71" s="122"/>
      <c r="FHP71" s="122"/>
      <c r="FHQ71" s="122"/>
      <c r="FHR71" s="122"/>
      <c r="FHS71" s="122"/>
      <c r="FHT71" s="122"/>
      <c r="FHU71" s="122"/>
      <c r="FHV71" s="122"/>
      <c r="FHW71" s="122"/>
      <c r="FHX71" s="122"/>
      <c r="FHY71" s="122"/>
      <c r="FHZ71" s="122"/>
      <c r="FIA71" s="122"/>
      <c r="FIB71" s="122"/>
      <c r="FIC71" s="122"/>
      <c r="FID71" s="122"/>
      <c r="FIE71" s="122"/>
      <c r="FIF71" s="122"/>
      <c r="FIG71" s="122"/>
      <c r="FIH71" s="122"/>
      <c r="FII71" s="122"/>
      <c r="FIJ71" s="122"/>
      <c r="FIK71" s="122"/>
      <c r="FIL71" s="122"/>
      <c r="FIM71" s="122"/>
      <c r="FIN71" s="122"/>
      <c r="FIO71" s="122"/>
      <c r="FIP71" s="122"/>
      <c r="FIQ71" s="122"/>
      <c r="FIR71" s="122"/>
      <c r="FIS71" s="122"/>
      <c r="FIT71" s="122"/>
      <c r="FIU71" s="122"/>
      <c r="FIV71" s="122"/>
      <c r="FIW71" s="122"/>
      <c r="FIX71" s="122"/>
      <c r="FIY71" s="122"/>
      <c r="FIZ71" s="122"/>
      <c r="FJA71" s="122"/>
      <c r="FJB71" s="122"/>
      <c r="FJC71" s="122"/>
      <c r="FJD71" s="122"/>
      <c r="FJE71" s="122"/>
      <c r="FJF71" s="122"/>
      <c r="FJG71" s="122"/>
      <c r="FJH71" s="122"/>
      <c r="FJI71" s="122"/>
      <c r="FJJ71" s="122"/>
      <c r="FJK71" s="122"/>
      <c r="FJL71" s="122"/>
      <c r="FJM71" s="122"/>
      <c r="FJN71" s="122"/>
      <c r="FJO71" s="122"/>
      <c r="FJP71" s="122"/>
      <c r="FJQ71" s="122"/>
      <c r="FJR71" s="122"/>
      <c r="FJS71" s="122"/>
      <c r="FJT71" s="122"/>
      <c r="FJU71" s="122"/>
      <c r="FJV71" s="122"/>
      <c r="FJW71" s="122"/>
      <c r="FJX71" s="122"/>
      <c r="FJY71" s="122"/>
      <c r="FJZ71" s="122"/>
      <c r="FKA71" s="122"/>
      <c r="FKB71" s="122"/>
      <c r="FKC71" s="122"/>
      <c r="FKD71" s="122"/>
      <c r="FKE71" s="122"/>
      <c r="FKF71" s="122"/>
      <c r="FKG71" s="122"/>
      <c r="FKH71" s="122"/>
      <c r="FKI71" s="122"/>
      <c r="FKJ71" s="122"/>
      <c r="FKK71" s="122"/>
      <c r="FKL71" s="122"/>
      <c r="FKM71" s="122"/>
      <c r="FKN71" s="122"/>
      <c r="FKO71" s="122"/>
      <c r="FKP71" s="122"/>
      <c r="FKQ71" s="122"/>
      <c r="FKR71" s="122"/>
      <c r="FKS71" s="122"/>
      <c r="FKT71" s="122"/>
      <c r="FKU71" s="122"/>
      <c r="FKV71" s="122"/>
      <c r="FKW71" s="122"/>
      <c r="FKX71" s="122"/>
      <c r="FKY71" s="122"/>
      <c r="FKZ71" s="122"/>
      <c r="FLA71" s="122"/>
      <c r="FLB71" s="122"/>
      <c r="FLC71" s="122"/>
      <c r="FLD71" s="122"/>
      <c r="FLE71" s="122"/>
      <c r="FLF71" s="122"/>
      <c r="FLG71" s="122"/>
      <c r="FLH71" s="122"/>
      <c r="FLI71" s="122"/>
      <c r="FLJ71" s="122"/>
      <c r="FLK71" s="122"/>
      <c r="FLL71" s="122"/>
      <c r="FLM71" s="122"/>
      <c r="FLN71" s="122"/>
      <c r="FLO71" s="122"/>
      <c r="FLP71" s="122"/>
      <c r="FLQ71" s="122"/>
      <c r="FLR71" s="122"/>
      <c r="FLS71" s="122"/>
      <c r="FLT71" s="122"/>
      <c r="FLU71" s="122"/>
      <c r="FLV71" s="122"/>
      <c r="FLW71" s="122"/>
      <c r="FLX71" s="122"/>
      <c r="FLY71" s="122"/>
      <c r="FLZ71" s="122"/>
      <c r="FMA71" s="122"/>
      <c r="FMB71" s="122"/>
      <c r="FMC71" s="122"/>
      <c r="FMD71" s="122"/>
      <c r="FME71" s="122"/>
      <c r="FMF71" s="122"/>
      <c r="FMG71" s="122"/>
      <c r="FMH71" s="122"/>
      <c r="FMI71" s="122"/>
      <c r="FMJ71" s="122"/>
      <c r="FMK71" s="122"/>
      <c r="FML71" s="122"/>
      <c r="FMM71" s="122"/>
      <c r="FMN71" s="122"/>
      <c r="FMO71" s="122"/>
      <c r="FMP71" s="122"/>
      <c r="FMQ71" s="122"/>
      <c r="FMR71" s="122"/>
      <c r="FMS71" s="122"/>
      <c r="FMT71" s="122"/>
      <c r="FMU71" s="122"/>
      <c r="FMV71" s="122"/>
      <c r="FMW71" s="122"/>
      <c r="FMX71" s="122"/>
      <c r="FMY71" s="122"/>
      <c r="FMZ71" s="122"/>
      <c r="FNA71" s="122"/>
      <c r="FNB71" s="122"/>
      <c r="FNC71" s="122"/>
      <c r="FND71" s="122"/>
      <c r="FNE71" s="122"/>
      <c r="FNF71" s="122"/>
      <c r="FNG71" s="122"/>
      <c r="FNH71" s="122"/>
      <c r="FNI71" s="122"/>
      <c r="FNJ71" s="122"/>
      <c r="FNK71" s="122"/>
      <c r="FNL71" s="122"/>
      <c r="FNM71" s="122"/>
      <c r="FNN71" s="122"/>
      <c r="FNO71" s="122"/>
      <c r="FNP71" s="122"/>
      <c r="FNQ71" s="122"/>
      <c r="FNR71" s="122"/>
      <c r="FNS71" s="122"/>
      <c r="FNT71" s="122"/>
      <c r="FNU71" s="122"/>
      <c r="FNV71" s="122"/>
      <c r="FNW71" s="122"/>
      <c r="FNX71" s="122"/>
      <c r="FNY71" s="122"/>
      <c r="FNZ71" s="122"/>
      <c r="FOA71" s="122"/>
      <c r="FOB71" s="122"/>
      <c r="FOC71" s="122"/>
      <c r="FOD71" s="122"/>
      <c r="FOE71" s="122"/>
      <c r="FOF71" s="122"/>
      <c r="FOG71" s="122"/>
      <c r="FOH71" s="122"/>
      <c r="FOI71" s="122"/>
      <c r="FOJ71" s="122"/>
      <c r="FOK71" s="122"/>
      <c r="FOL71" s="122"/>
      <c r="FOM71" s="122"/>
      <c r="FON71" s="122"/>
      <c r="FOO71" s="122"/>
      <c r="FOP71" s="122"/>
      <c r="FOQ71" s="122"/>
      <c r="FOR71" s="122"/>
      <c r="FOS71" s="122"/>
      <c r="FOT71" s="122"/>
      <c r="FOU71" s="122"/>
      <c r="FOV71" s="122"/>
      <c r="FOW71" s="122"/>
      <c r="FOX71" s="122"/>
      <c r="FOY71" s="122"/>
      <c r="FOZ71" s="122"/>
      <c r="FPA71" s="122"/>
      <c r="FPB71" s="122"/>
      <c r="FPC71" s="122"/>
      <c r="FPD71" s="122"/>
      <c r="FPE71" s="122"/>
      <c r="FPF71" s="122"/>
      <c r="FPG71" s="122"/>
      <c r="FPH71" s="122"/>
      <c r="FPI71" s="122"/>
      <c r="FPJ71" s="122"/>
      <c r="FPK71" s="122"/>
      <c r="FPL71" s="122"/>
      <c r="FPM71" s="122"/>
      <c r="FPN71" s="122"/>
      <c r="FPO71" s="122"/>
      <c r="FPP71" s="122"/>
      <c r="FPQ71" s="122"/>
      <c r="FPR71" s="122"/>
      <c r="FPS71" s="122"/>
      <c r="FPT71" s="122"/>
      <c r="FPU71" s="122"/>
      <c r="FPV71" s="122"/>
      <c r="FPW71" s="122"/>
      <c r="FPX71" s="122"/>
      <c r="FPY71" s="122"/>
      <c r="FPZ71" s="122"/>
      <c r="FQA71" s="122"/>
      <c r="FQB71" s="122"/>
      <c r="FQC71" s="122"/>
      <c r="FQD71" s="122"/>
      <c r="FQE71" s="122"/>
      <c r="FQF71" s="122"/>
      <c r="FQG71" s="122"/>
      <c r="FQH71" s="122"/>
      <c r="FQI71" s="122"/>
      <c r="FQJ71" s="122"/>
      <c r="FQK71" s="122"/>
      <c r="FQL71" s="122"/>
      <c r="FQM71" s="122"/>
      <c r="FQN71" s="122"/>
      <c r="FQO71" s="122"/>
      <c r="FQP71" s="122"/>
      <c r="FQQ71" s="122"/>
      <c r="FQR71" s="122"/>
      <c r="FQS71" s="122"/>
      <c r="FQT71" s="122"/>
      <c r="FQU71" s="122"/>
      <c r="FQV71" s="122"/>
      <c r="FQW71" s="122"/>
      <c r="FQX71" s="122"/>
      <c r="FQY71" s="122"/>
      <c r="FQZ71" s="122"/>
      <c r="FRA71" s="122"/>
      <c r="FRB71" s="122"/>
      <c r="FRC71" s="122"/>
      <c r="FRD71" s="122"/>
      <c r="FRE71" s="122"/>
      <c r="FRF71" s="122"/>
      <c r="FRG71" s="122"/>
      <c r="FRH71" s="122"/>
      <c r="FRI71" s="122"/>
      <c r="FRJ71" s="122"/>
      <c r="FRK71" s="122"/>
      <c r="FRL71" s="122"/>
      <c r="FRM71" s="122"/>
      <c r="FRN71" s="122"/>
      <c r="FRO71" s="122"/>
      <c r="FRP71" s="122"/>
      <c r="FRQ71" s="122"/>
      <c r="FRR71" s="122"/>
      <c r="FRS71" s="122"/>
      <c r="FRT71" s="122"/>
      <c r="FRU71" s="122"/>
      <c r="FRV71" s="122"/>
      <c r="FRW71" s="122"/>
      <c r="FRX71" s="122"/>
      <c r="FRY71" s="122"/>
      <c r="FRZ71" s="122"/>
      <c r="FSA71" s="122"/>
      <c r="FSB71" s="122"/>
      <c r="FSC71" s="122"/>
      <c r="FSD71" s="122"/>
      <c r="FSE71" s="122"/>
      <c r="FSF71" s="122"/>
      <c r="FSG71" s="122"/>
      <c r="FSH71" s="122"/>
      <c r="FSI71" s="122"/>
      <c r="FSJ71" s="122"/>
      <c r="FSK71" s="122"/>
      <c r="FSL71" s="122"/>
      <c r="FSM71" s="122"/>
      <c r="FSN71" s="122"/>
      <c r="FSO71" s="122"/>
      <c r="FSP71" s="122"/>
      <c r="FSQ71" s="122"/>
      <c r="FSR71" s="122"/>
      <c r="FSS71" s="122"/>
      <c r="FST71" s="122"/>
      <c r="FSU71" s="122"/>
      <c r="FSV71" s="122"/>
      <c r="FSW71" s="122"/>
      <c r="FSX71" s="122"/>
      <c r="FSY71" s="122"/>
      <c r="FSZ71" s="122"/>
      <c r="FTA71" s="122"/>
      <c r="FTB71" s="122"/>
      <c r="FTC71" s="122"/>
      <c r="FTD71" s="122"/>
      <c r="FTE71" s="122"/>
      <c r="FTF71" s="122"/>
      <c r="FTG71" s="122"/>
      <c r="FTH71" s="122"/>
      <c r="FTI71" s="122"/>
      <c r="FTJ71" s="122"/>
      <c r="FTK71" s="122"/>
      <c r="FTL71" s="122"/>
      <c r="FTM71" s="122"/>
      <c r="FTN71" s="122"/>
      <c r="FTO71" s="122"/>
      <c r="FTP71" s="122"/>
      <c r="FTQ71" s="122"/>
      <c r="FTR71" s="122"/>
      <c r="FTS71" s="122"/>
      <c r="FTT71" s="122"/>
      <c r="FTU71" s="122"/>
      <c r="FTV71" s="122"/>
      <c r="FTW71" s="122"/>
      <c r="FTX71" s="122"/>
      <c r="FTY71" s="122"/>
      <c r="FTZ71" s="122"/>
      <c r="FUA71" s="122"/>
      <c r="FUB71" s="122"/>
      <c r="FUC71" s="122"/>
      <c r="FUD71" s="122"/>
      <c r="FUE71" s="122"/>
      <c r="FUF71" s="122"/>
      <c r="FUG71" s="122"/>
      <c r="FUH71" s="122"/>
      <c r="FUI71" s="122"/>
      <c r="FUJ71" s="122"/>
      <c r="FUK71" s="122"/>
      <c r="FUL71" s="122"/>
      <c r="FUM71" s="122"/>
      <c r="FUN71" s="122"/>
      <c r="FUO71" s="122"/>
      <c r="FUP71" s="122"/>
      <c r="FUQ71" s="122"/>
      <c r="FUR71" s="122"/>
      <c r="FUS71" s="122"/>
      <c r="FUT71" s="122"/>
      <c r="FUU71" s="122"/>
      <c r="FUV71" s="122"/>
      <c r="FUW71" s="122"/>
      <c r="FUX71" s="122"/>
      <c r="FUY71" s="122"/>
      <c r="FUZ71" s="122"/>
      <c r="FVA71" s="122"/>
      <c r="FVB71" s="122"/>
      <c r="FVC71" s="122"/>
      <c r="FVD71" s="122"/>
      <c r="FVE71" s="122"/>
      <c r="FVF71" s="122"/>
      <c r="FVG71" s="122"/>
      <c r="FVH71" s="122"/>
      <c r="FVI71" s="122"/>
      <c r="FVJ71" s="122"/>
      <c r="FVK71" s="122"/>
      <c r="FVL71" s="122"/>
      <c r="FVM71" s="122"/>
      <c r="FVN71" s="122"/>
      <c r="FVO71" s="122"/>
      <c r="FVP71" s="122"/>
      <c r="FVQ71" s="122"/>
      <c r="FVR71" s="122"/>
      <c r="FVS71" s="122"/>
      <c r="FVT71" s="122"/>
      <c r="FVU71" s="122"/>
      <c r="FVV71" s="122"/>
      <c r="FVW71" s="122"/>
      <c r="FVX71" s="122"/>
      <c r="FVY71" s="122"/>
      <c r="FVZ71" s="122"/>
      <c r="FWA71" s="122"/>
      <c r="FWB71" s="122"/>
      <c r="FWC71" s="122"/>
      <c r="FWD71" s="122"/>
      <c r="FWE71" s="122"/>
      <c r="FWF71" s="122"/>
      <c r="FWG71" s="122"/>
      <c r="FWH71" s="122"/>
      <c r="FWI71" s="122"/>
      <c r="FWJ71" s="122"/>
      <c r="FWK71" s="122"/>
      <c r="FWL71" s="122"/>
      <c r="FWM71" s="122"/>
      <c r="FWN71" s="122"/>
      <c r="FWO71" s="122"/>
      <c r="FWP71" s="122"/>
      <c r="FWQ71" s="122"/>
      <c r="FWR71" s="122"/>
      <c r="FWS71" s="122"/>
      <c r="FWT71" s="122"/>
      <c r="FWU71" s="122"/>
      <c r="FWV71" s="122"/>
      <c r="FWW71" s="122"/>
      <c r="FWX71" s="122"/>
      <c r="FWY71" s="122"/>
      <c r="FWZ71" s="122"/>
      <c r="FXA71" s="122"/>
      <c r="FXB71" s="122"/>
      <c r="FXC71" s="122"/>
      <c r="FXD71" s="122"/>
      <c r="FXE71" s="122"/>
      <c r="FXF71" s="122"/>
      <c r="FXG71" s="122"/>
      <c r="FXH71" s="122"/>
      <c r="FXI71" s="122"/>
      <c r="FXJ71" s="122"/>
      <c r="FXK71" s="122"/>
      <c r="FXL71" s="122"/>
      <c r="FXM71" s="122"/>
      <c r="FXN71" s="122"/>
      <c r="FXO71" s="122"/>
      <c r="FXP71" s="122"/>
      <c r="FXQ71" s="122"/>
      <c r="FXR71" s="122"/>
      <c r="FXS71" s="122"/>
      <c r="FXT71" s="122"/>
      <c r="FXU71" s="122"/>
      <c r="FXV71" s="122"/>
      <c r="FXW71" s="122"/>
      <c r="FXX71" s="122"/>
      <c r="FXY71" s="122"/>
      <c r="FXZ71" s="122"/>
      <c r="FYA71" s="122"/>
      <c r="FYB71" s="122"/>
      <c r="FYC71" s="122"/>
      <c r="FYD71" s="122"/>
      <c r="FYE71" s="122"/>
      <c r="FYF71" s="122"/>
      <c r="FYG71" s="122"/>
      <c r="FYH71" s="122"/>
      <c r="FYI71" s="122"/>
      <c r="FYJ71" s="122"/>
      <c r="FYK71" s="122"/>
      <c r="FYL71" s="122"/>
      <c r="FYM71" s="122"/>
      <c r="FYN71" s="122"/>
      <c r="FYO71" s="122"/>
      <c r="FYP71" s="122"/>
      <c r="FYQ71" s="122"/>
      <c r="FYR71" s="122"/>
      <c r="FYS71" s="122"/>
      <c r="FYT71" s="122"/>
      <c r="FYU71" s="122"/>
      <c r="FYV71" s="122"/>
      <c r="FYW71" s="122"/>
      <c r="FYX71" s="122"/>
      <c r="FYY71" s="122"/>
      <c r="FYZ71" s="122"/>
      <c r="FZA71" s="122"/>
      <c r="FZB71" s="122"/>
      <c r="FZC71" s="122"/>
      <c r="FZD71" s="122"/>
      <c r="FZE71" s="122"/>
      <c r="FZF71" s="122"/>
      <c r="FZG71" s="122"/>
      <c r="FZH71" s="122"/>
      <c r="FZI71" s="122"/>
      <c r="FZJ71" s="122"/>
      <c r="FZK71" s="122"/>
      <c r="FZL71" s="122"/>
      <c r="FZM71" s="122"/>
      <c r="FZN71" s="122"/>
      <c r="FZO71" s="122"/>
      <c r="FZP71" s="122"/>
      <c r="FZQ71" s="122"/>
      <c r="FZR71" s="122"/>
      <c r="FZS71" s="122"/>
      <c r="FZT71" s="122"/>
      <c r="FZU71" s="122"/>
      <c r="FZV71" s="122"/>
      <c r="FZW71" s="122"/>
      <c r="FZX71" s="122"/>
      <c r="FZY71" s="122"/>
      <c r="FZZ71" s="122"/>
      <c r="GAA71" s="122"/>
      <c r="GAB71" s="122"/>
      <c r="GAC71" s="122"/>
      <c r="GAD71" s="122"/>
      <c r="GAE71" s="122"/>
      <c r="GAF71" s="122"/>
      <c r="GAG71" s="122"/>
      <c r="GAH71" s="122"/>
      <c r="GAI71" s="122"/>
      <c r="GAJ71" s="122"/>
      <c r="GAK71" s="122"/>
      <c r="GAL71" s="122"/>
      <c r="GAM71" s="122"/>
      <c r="GAN71" s="122"/>
      <c r="GAO71" s="122"/>
      <c r="GAP71" s="122"/>
      <c r="GAQ71" s="122"/>
      <c r="GAR71" s="122"/>
      <c r="GAS71" s="122"/>
      <c r="GAT71" s="122"/>
      <c r="GAU71" s="122"/>
      <c r="GAV71" s="122"/>
      <c r="GAW71" s="122"/>
      <c r="GAX71" s="122"/>
      <c r="GAY71" s="122"/>
      <c r="GAZ71" s="122"/>
      <c r="GBA71" s="122"/>
      <c r="GBB71" s="122"/>
      <c r="GBC71" s="122"/>
      <c r="GBD71" s="122"/>
      <c r="GBE71" s="122"/>
      <c r="GBF71" s="122"/>
      <c r="GBG71" s="122"/>
      <c r="GBH71" s="122"/>
      <c r="GBI71" s="122"/>
      <c r="GBJ71" s="122"/>
      <c r="GBK71" s="122"/>
      <c r="GBL71" s="122"/>
      <c r="GBM71" s="122"/>
      <c r="GBN71" s="122"/>
      <c r="GBO71" s="122"/>
      <c r="GBP71" s="122"/>
      <c r="GBQ71" s="122"/>
      <c r="GBR71" s="122"/>
      <c r="GBS71" s="122"/>
      <c r="GBT71" s="122"/>
      <c r="GBU71" s="122"/>
      <c r="GBV71" s="122"/>
      <c r="GBW71" s="122"/>
      <c r="GBX71" s="122"/>
      <c r="GBY71" s="122"/>
      <c r="GBZ71" s="122"/>
      <c r="GCA71" s="122"/>
      <c r="GCB71" s="122"/>
      <c r="GCC71" s="122"/>
      <c r="GCD71" s="122"/>
      <c r="GCE71" s="122"/>
      <c r="GCF71" s="122"/>
      <c r="GCG71" s="122"/>
      <c r="GCH71" s="122"/>
      <c r="GCI71" s="122"/>
      <c r="GCJ71" s="122"/>
      <c r="GCK71" s="122"/>
      <c r="GCL71" s="122"/>
      <c r="GCM71" s="122"/>
      <c r="GCN71" s="122"/>
      <c r="GCO71" s="122"/>
      <c r="GCP71" s="122"/>
      <c r="GCQ71" s="122"/>
      <c r="GCR71" s="122"/>
      <c r="GCS71" s="122"/>
      <c r="GCT71" s="122"/>
      <c r="GCU71" s="122"/>
      <c r="GCV71" s="122"/>
      <c r="GCW71" s="122"/>
      <c r="GCX71" s="122"/>
      <c r="GCY71" s="122"/>
      <c r="GCZ71" s="122"/>
      <c r="GDA71" s="122"/>
      <c r="GDB71" s="122"/>
      <c r="GDC71" s="122"/>
      <c r="GDD71" s="122"/>
      <c r="GDE71" s="122"/>
      <c r="GDF71" s="122"/>
      <c r="GDG71" s="122"/>
      <c r="GDH71" s="122"/>
      <c r="GDI71" s="122"/>
      <c r="GDJ71" s="122"/>
      <c r="GDK71" s="122"/>
      <c r="GDL71" s="122"/>
      <c r="GDM71" s="122"/>
      <c r="GDN71" s="122"/>
      <c r="GDO71" s="122"/>
      <c r="GDP71" s="122"/>
      <c r="GDQ71" s="122"/>
      <c r="GDR71" s="122"/>
      <c r="GDS71" s="122"/>
      <c r="GDT71" s="122"/>
      <c r="GDU71" s="122"/>
      <c r="GDV71" s="122"/>
      <c r="GDW71" s="122"/>
      <c r="GDX71" s="122"/>
      <c r="GDY71" s="122"/>
      <c r="GDZ71" s="122"/>
      <c r="GEA71" s="122"/>
      <c r="GEB71" s="122"/>
      <c r="GEC71" s="122"/>
      <c r="GED71" s="122"/>
      <c r="GEE71" s="122"/>
      <c r="GEF71" s="122"/>
      <c r="GEG71" s="122"/>
      <c r="GEH71" s="122"/>
      <c r="GEI71" s="122"/>
      <c r="GEJ71" s="122"/>
      <c r="GEK71" s="122"/>
      <c r="GEL71" s="122"/>
      <c r="GEM71" s="122"/>
      <c r="GEN71" s="122"/>
      <c r="GEO71" s="122"/>
      <c r="GEP71" s="122"/>
      <c r="GEQ71" s="122"/>
      <c r="GER71" s="122"/>
      <c r="GES71" s="122"/>
      <c r="GET71" s="122"/>
      <c r="GEU71" s="122"/>
      <c r="GEV71" s="122"/>
      <c r="GEW71" s="122"/>
      <c r="GEX71" s="122"/>
      <c r="GEY71" s="122"/>
      <c r="GEZ71" s="122"/>
      <c r="GFA71" s="122"/>
      <c r="GFB71" s="122"/>
      <c r="GFC71" s="122"/>
      <c r="GFD71" s="122"/>
      <c r="GFE71" s="122"/>
      <c r="GFF71" s="122"/>
      <c r="GFG71" s="122"/>
      <c r="GFH71" s="122"/>
      <c r="GFI71" s="122"/>
      <c r="GFJ71" s="122"/>
      <c r="GFK71" s="122"/>
      <c r="GFL71" s="122"/>
      <c r="GFM71" s="122"/>
      <c r="GFN71" s="122"/>
      <c r="GFO71" s="122"/>
      <c r="GFP71" s="122"/>
      <c r="GFQ71" s="122"/>
      <c r="GFR71" s="122"/>
      <c r="GFS71" s="122"/>
      <c r="GFT71" s="122"/>
      <c r="GFU71" s="122"/>
      <c r="GFV71" s="122"/>
      <c r="GFW71" s="122"/>
      <c r="GFX71" s="122"/>
      <c r="GFY71" s="122"/>
      <c r="GFZ71" s="122"/>
      <c r="GGA71" s="122"/>
      <c r="GGB71" s="122"/>
      <c r="GGC71" s="122"/>
      <c r="GGD71" s="122"/>
      <c r="GGE71" s="122"/>
      <c r="GGF71" s="122"/>
      <c r="GGG71" s="122"/>
      <c r="GGH71" s="122"/>
      <c r="GGI71" s="122"/>
      <c r="GGJ71" s="122"/>
      <c r="GGK71" s="122"/>
      <c r="GGL71" s="122"/>
      <c r="GGM71" s="122"/>
      <c r="GGN71" s="122"/>
      <c r="GGO71" s="122"/>
      <c r="GGP71" s="122"/>
      <c r="GGQ71" s="122"/>
      <c r="GGR71" s="122"/>
      <c r="GGS71" s="122"/>
      <c r="GGT71" s="122"/>
      <c r="GGU71" s="122"/>
      <c r="GGV71" s="122"/>
      <c r="GGW71" s="122"/>
      <c r="GGX71" s="122"/>
      <c r="GGY71" s="122"/>
      <c r="GGZ71" s="122"/>
      <c r="GHA71" s="122"/>
      <c r="GHB71" s="122"/>
      <c r="GHC71" s="122"/>
      <c r="GHD71" s="122"/>
      <c r="GHE71" s="122"/>
      <c r="GHF71" s="122"/>
      <c r="GHG71" s="122"/>
      <c r="GHH71" s="122"/>
      <c r="GHI71" s="122"/>
      <c r="GHJ71" s="122"/>
      <c r="GHK71" s="122"/>
      <c r="GHL71" s="122"/>
      <c r="GHM71" s="122"/>
      <c r="GHN71" s="122"/>
      <c r="GHO71" s="122"/>
      <c r="GHP71" s="122"/>
      <c r="GHQ71" s="122"/>
      <c r="GHR71" s="122"/>
      <c r="GHS71" s="122"/>
      <c r="GHT71" s="122"/>
      <c r="GHU71" s="122"/>
      <c r="GHV71" s="122"/>
      <c r="GHW71" s="122"/>
      <c r="GHX71" s="122"/>
      <c r="GHY71" s="122"/>
      <c r="GHZ71" s="122"/>
      <c r="GIA71" s="122"/>
      <c r="GIB71" s="122"/>
      <c r="GIC71" s="122"/>
      <c r="GID71" s="122"/>
      <c r="GIE71" s="122"/>
      <c r="GIF71" s="122"/>
      <c r="GIG71" s="122"/>
      <c r="GIH71" s="122"/>
      <c r="GII71" s="122"/>
      <c r="GIJ71" s="122"/>
      <c r="GIK71" s="122"/>
      <c r="GIL71" s="122"/>
      <c r="GIM71" s="122"/>
      <c r="GIN71" s="122"/>
      <c r="GIO71" s="122"/>
      <c r="GIP71" s="122"/>
      <c r="GIQ71" s="122"/>
      <c r="GIR71" s="122"/>
      <c r="GIS71" s="122"/>
      <c r="GIT71" s="122"/>
      <c r="GIU71" s="122"/>
      <c r="GIV71" s="122"/>
      <c r="GIW71" s="122"/>
      <c r="GIX71" s="122"/>
      <c r="GIY71" s="122"/>
      <c r="GIZ71" s="122"/>
      <c r="GJA71" s="122"/>
      <c r="GJB71" s="122"/>
      <c r="GJC71" s="122"/>
      <c r="GJD71" s="122"/>
      <c r="GJE71" s="122"/>
      <c r="GJF71" s="122"/>
      <c r="GJG71" s="122"/>
      <c r="GJH71" s="122"/>
      <c r="GJI71" s="122"/>
      <c r="GJJ71" s="122"/>
      <c r="GJK71" s="122"/>
      <c r="GJL71" s="122"/>
      <c r="GJM71" s="122"/>
      <c r="GJN71" s="122"/>
      <c r="GJO71" s="122"/>
      <c r="GJP71" s="122"/>
      <c r="GJQ71" s="122"/>
      <c r="GJR71" s="122"/>
      <c r="GJS71" s="122"/>
      <c r="GJT71" s="122"/>
      <c r="GJU71" s="122"/>
      <c r="GJV71" s="122"/>
      <c r="GJW71" s="122"/>
      <c r="GJX71" s="122"/>
      <c r="GJY71" s="122"/>
      <c r="GJZ71" s="122"/>
      <c r="GKA71" s="122"/>
      <c r="GKB71" s="122"/>
      <c r="GKC71" s="122"/>
      <c r="GKD71" s="122"/>
      <c r="GKE71" s="122"/>
      <c r="GKF71" s="122"/>
      <c r="GKG71" s="122"/>
      <c r="GKH71" s="122"/>
      <c r="GKI71" s="122"/>
      <c r="GKJ71" s="122"/>
      <c r="GKK71" s="122"/>
      <c r="GKL71" s="122"/>
      <c r="GKM71" s="122"/>
      <c r="GKN71" s="122"/>
      <c r="GKO71" s="122"/>
      <c r="GKP71" s="122"/>
      <c r="GKQ71" s="122"/>
      <c r="GKR71" s="122"/>
      <c r="GKS71" s="122"/>
      <c r="GKT71" s="122"/>
      <c r="GKU71" s="122"/>
      <c r="GKV71" s="122"/>
      <c r="GKW71" s="122"/>
      <c r="GKX71" s="122"/>
      <c r="GKY71" s="122"/>
      <c r="GKZ71" s="122"/>
      <c r="GLA71" s="122"/>
      <c r="GLB71" s="122"/>
      <c r="GLC71" s="122"/>
      <c r="GLD71" s="122"/>
      <c r="GLE71" s="122"/>
      <c r="GLF71" s="122"/>
      <c r="GLG71" s="122"/>
      <c r="GLH71" s="122"/>
      <c r="GLI71" s="122"/>
      <c r="GLJ71" s="122"/>
      <c r="GLK71" s="122"/>
      <c r="GLL71" s="122"/>
      <c r="GLM71" s="122"/>
      <c r="GLN71" s="122"/>
      <c r="GLO71" s="122"/>
      <c r="GLP71" s="122"/>
      <c r="GLQ71" s="122"/>
      <c r="GLR71" s="122"/>
      <c r="GLS71" s="122"/>
      <c r="GLT71" s="122"/>
      <c r="GLU71" s="122"/>
      <c r="GLV71" s="122"/>
      <c r="GLW71" s="122"/>
      <c r="GLX71" s="122"/>
      <c r="GLY71" s="122"/>
      <c r="GLZ71" s="122"/>
      <c r="GMA71" s="122"/>
      <c r="GMB71" s="122"/>
      <c r="GMC71" s="122"/>
      <c r="GMD71" s="122"/>
      <c r="GME71" s="122"/>
      <c r="GMF71" s="122"/>
      <c r="GMG71" s="122"/>
      <c r="GMH71" s="122"/>
      <c r="GMI71" s="122"/>
      <c r="GMJ71" s="122"/>
      <c r="GMK71" s="122"/>
      <c r="GML71" s="122"/>
      <c r="GMM71" s="122"/>
      <c r="GMN71" s="122"/>
      <c r="GMO71" s="122"/>
      <c r="GMP71" s="122"/>
      <c r="GMQ71" s="122"/>
      <c r="GMR71" s="122"/>
      <c r="GMS71" s="122"/>
      <c r="GMT71" s="122"/>
      <c r="GMU71" s="122"/>
      <c r="GMV71" s="122"/>
      <c r="GMW71" s="122"/>
      <c r="GMX71" s="122"/>
      <c r="GMY71" s="122"/>
      <c r="GMZ71" s="122"/>
      <c r="GNA71" s="122"/>
      <c r="GNB71" s="122"/>
      <c r="GNC71" s="122"/>
      <c r="GND71" s="122"/>
      <c r="GNE71" s="122"/>
      <c r="GNF71" s="122"/>
      <c r="GNG71" s="122"/>
      <c r="GNH71" s="122"/>
      <c r="GNI71" s="122"/>
      <c r="GNJ71" s="122"/>
      <c r="GNK71" s="122"/>
      <c r="GNL71" s="122"/>
      <c r="GNM71" s="122"/>
      <c r="GNN71" s="122"/>
      <c r="GNO71" s="122"/>
      <c r="GNP71" s="122"/>
      <c r="GNQ71" s="122"/>
      <c r="GNR71" s="122"/>
      <c r="GNS71" s="122"/>
      <c r="GNT71" s="122"/>
      <c r="GNU71" s="122"/>
      <c r="GNV71" s="122"/>
      <c r="GNW71" s="122"/>
      <c r="GNX71" s="122"/>
      <c r="GNY71" s="122"/>
      <c r="GNZ71" s="122"/>
      <c r="GOA71" s="122"/>
      <c r="GOB71" s="122"/>
      <c r="GOC71" s="122"/>
      <c r="GOD71" s="122"/>
      <c r="GOE71" s="122"/>
      <c r="GOF71" s="122"/>
      <c r="GOG71" s="122"/>
      <c r="GOH71" s="122"/>
      <c r="GOI71" s="122"/>
      <c r="GOJ71" s="122"/>
      <c r="GOK71" s="122"/>
      <c r="GOL71" s="122"/>
      <c r="GOM71" s="122"/>
      <c r="GON71" s="122"/>
      <c r="GOO71" s="122"/>
      <c r="GOP71" s="122"/>
      <c r="GOQ71" s="122"/>
      <c r="GOR71" s="122"/>
      <c r="GOS71" s="122"/>
      <c r="GOT71" s="122"/>
      <c r="GOU71" s="122"/>
      <c r="GOV71" s="122"/>
      <c r="GOW71" s="122"/>
      <c r="GOX71" s="122"/>
      <c r="GOY71" s="122"/>
      <c r="GOZ71" s="122"/>
      <c r="GPA71" s="122"/>
      <c r="GPB71" s="122"/>
      <c r="GPC71" s="122"/>
      <c r="GPD71" s="122"/>
      <c r="GPE71" s="122"/>
      <c r="GPF71" s="122"/>
      <c r="GPG71" s="122"/>
      <c r="GPH71" s="122"/>
      <c r="GPI71" s="122"/>
      <c r="GPJ71" s="122"/>
      <c r="GPK71" s="122"/>
      <c r="GPL71" s="122"/>
      <c r="GPM71" s="122"/>
      <c r="GPN71" s="122"/>
      <c r="GPO71" s="122"/>
      <c r="GPP71" s="122"/>
      <c r="GPQ71" s="122"/>
      <c r="GPR71" s="122"/>
      <c r="GPS71" s="122"/>
      <c r="GPT71" s="122"/>
      <c r="GPU71" s="122"/>
      <c r="GPV71" s="122"/>
      <c r="GPW71" s="122"/>
      <c r="GPX71" s="122"/>
      <c r="GPY71" s="122"/>
      <c r="GPZ71" s="122"/>
      <c r="GQA71" s="122"/>
      <c r="GQB71" s="122"/>
      <c r="GQC71" s="122"/>
      <c r="GQD71" s="122"/>
      <c r="GQE71" s="122"/>
      <c r="GQF71" s="122"/>
      <c r="GQG71" s="122"/>
      <c r="GQH71" s="122"/>
      <c r="GQI71" s="122"/>
      <c r="GQJ71" s="122"/>
      <c r="GQK71" s="122"/>
      <c r="GQL71" s="122"/>
      <c r="GQM71" s="122"/>
      <c r="GQN71" s="122"/>
      <c r="GQO71" s="122"/>
      <c r="GQP71" s="122"/>
      <c r="GQQ71" s="122"/>
      <c r="GQR71" s="122"/>
      <c r="GQS71" s="122"/>
      <c r="GQT71" s="122"/>
      <c r="GQU71" s="122"/>
      <c r="GQV71" s="122"/>
      <c r="GQW71" s="122"/>
      <c r="GQX71" s="122"/>
      <c r="GQY71" s="122"/>
      <c r="GQZ71" s="122"/>
      <c r="GRA71" s="122"/>
      <c r="GRB71" s="122"/>
      <c r="GRC71" s="122"/>
      <c r="GRD71" s="122"/>
      <c r="GRE71" s="122"/>
      <c r="GRF71" s="122"/>
      <c r="GRG71" s="122"/>
      <c r="GRH71" s="122"/>
      <c r="GRI71" s="122"/>
      <c r="GRJ71" s="122"/>
      <c r="GRK71" s="122"/>
      <c r="GRL71" s="122"/>
      <c r="GRM71" s="122"/>
      <c r="GRN71" s="122"/>
      <c r="GRO71" s="122"/>
      <c r="GRP71" s="122"/>
      <c r="GRQ71" s="122"/>
      <c r="GRR71" s="122"/>
      <c r="GRS71" s="122"/>
      <c r="GRT71" s="122"/>
      <c r="GRU71" s="122"/>
      <c r="GRV71" s="122"/>
      <c r="GRW71" s="122"/>
      <c r="GRX71" s="122"/>
      <c r="GRY71" s="122"/>
      <c r="GRZ71" s="122"/>
      <c r="GSA71" s="122"/>
      <c r="GSB71" s="122"/>
      <c r="GSC71" s="122"/>
      <c r="GSD71" s="122"/>
      <c r="GSE71" s="122"/>
      <c r="GSF71" s="122"/>
      <c r="GSG71" s="122"/>
      <c r="GSH71" s="122"/>
      <c r="GSI71" s="122"/>
      <c r="GSJ71" s="122"/>
      <c r="GSK71" s="122"/>
      <c r="GSL71" s="122"/>
      <c r="GSM71" s="122"/>
      <c r="GSN71" s="122"/>
      <c r="GSO71" s="122"/>
      <c r="GSP71" s="122"/>
      <c r="GSQ71" s="122"/>
      <c r="GSR71" s="122"/>
      <c r="GSS71" s="122"/>
      <c r="GST71" s="122"/>
      <c r="GSU71" s="122"/>
      <c r="GSV71" s="122"/>
      <c r="GSW71" s="122"/>
      <c r="GSX71" s="122"/>
      <c r="GSY71" s="122"/>
      <c r="GSZ71" s="122"/>
      <c r="GTA71" s="122"/>
      <c r="GTB71" s="122"/>
      <c r="GTC71" s="122"/>
      <c r="GTD71" s="122"/>
      <c r="GTE71" s="122"/>
      <c r="GTF71" s="122"/>
      <c r="GTG71" s="122"/>
      <c r="GTH71" s="122"/>
      <c r="GTI71" s="122"/>
      <c r="GTJ71" s="122"/>
      <c r="GTK71" s="122"/>
      <c r="GTL71" s="122"/>
      <c r="GTM71" s="122"/>
      <c r="GTN71" s="122"/>
      <c r="GTO71" s="122"/>
      <c r="GTP71" s="122"/>
      <c r="GTQ71" s="122"/>
      <c r="GTR71" s="122"/>
      <c r="GTS71" s="122"/>
      <c r="GTT71" s="122"/>
      <c r="GTU71" s="122"/>
      <c r="GTV71" s="122"/>
      <c r="GTW71" s="122"/>
      <c r="GTX71" s="122"/>
      <c r="GTY71" s="122"/>
      <c r="GTZ71" s="122"/>
      <c r="GUA71" s="122"/>
      <c r="GUB71" s="122"/>
      <c r="GUC71" s="122"/>
      <c r="GUD71" s="122"/>
      <c r="GUE71" s="122"/>
      <c r="GUF71" s="122"/>
      <c r="GUG71" s="122"/>
      <c r="GUH71" s="122"/>
      <c r="GUI71" s="122"/>
      <c r="GUJ71" s="122"/>
      <c r="GUK71" s="122"/>
      <c r="GUL71" s="122"/>
      <c r="GUM71" s="122"/>
      <c r="GUN71" s="122"/>
      <c r="GUO71" s="122"/>
      <c r="GUP71" s="122"/>
      <c r="GUQ71" s="122"/>
      <c r="GUR71" s="122"/>
      <c r="GUS71" s="122"/>
      <c r="GUT71" s="122"/>
      <c r="GUU71" s="122"/>
      <c r="GUV71" s="122"/>
      <c r="GUW71" s="122"/>
      <c r="GUX71" s="122"/>
      <c r="GUY71" s="122"/>
      <c r="GUZ71" s="122"/>
      <c r="GVA71" s="122"/>
      <c r="GVB71" s="122"/>
      <c r="GVC71" s="122"/>
      <c r="GVD71" s="122"/>
      <c r="GVE71" s="122"/>
      <c r="GVF71" s="122"/>
      <c r="GVG71" s="122"/>
      <c r="GVH71" s="122"/>
      <c r="GVI71" s="122"/>
      <c r="GVJ71" s="122"/>
      <c r="GVK71" s="122"/>
      <c r="GVL71" s="122"/>
      <c r="GVM71" s="122"/>
      <c r="GVN71" s="122"/>
      <c r="GVO71" s="122"/>
      <c r="GVP71" s="122"/>
      <c r="GVQ71" s="122"/>
      <c r="GVR71" s="122"/>
      <c r="GVS71" s="122"/>
      <c r="GVT71" s="122"/>
      <c r="GVU71" s="122"/>
      <c r="GVV71" s="122"/>
      <c r="GVW71" s="122"/>
      <c r="GVX71" s="122"/>
      <c r="GVY71" s="122"/>
      <c r="GVZ71" s="122"/>
      <c r="GWA71" s="122"/>
      <c r="GWB71" s="122"/>
      <c r="GWC71" s="122"/>
      <c r="GWD71" s="122"/>
      <c r="GWE71" s="122"/>
      <c r="GWF71" s="122"/>
      <c r="GWG71" s="122"/>
      <c r="GWH71" s="122"/>
      <c r="GWI71" s="122"/>
      <c r="GWJ71" s="122"/>
      <c r="GWK71" s="122"/>
      <c r="GWL71" s="122"/>
      <c r="GWM71" s="122"/>
      <c r="GWN71" s="122"/>
      <c r="GWO71" s="122"/>
      <c r="GWP71" s="122"/>
      <c r="GWQ71" s="122"/>
      <c r="GWR71" s="122"/>
      <c r="GWS71" s="122"/>
      <c r="GWT71" s="122"/>
      <c r="GWU71" s="122"/>
      <c r="GWV71" s="122"/>
      <c r="GWW71" s="122"/>
      <c r="GWX71" s="122"/>
      <c r="GWY71" s="122"/>
      <c r="GWZ71" s="122"/>
      <c r="GXA71" s="122"/>
      <c r="GXB71" s="122"/>
      <c r="GXC71" s="122"/>
      <c r="GXD71" s="122"/>
      <c r="GXE71" s="122"/>
      <c r="GXF71" s="122"/>
      <c r="GXG71" s="122"/>
      <c r="GXH71" s="122"/>
      <c r="GXI71" s="122"/>
      <c r="GXJ71" s="122"/>
      <c r="GXK71" s="122"/>
      <c r="GXL71" s="122"/>
      <c r="GXM71" s="122"/>
      <c r="GXN71" s="122"/>
      <c r="GXO71" s="122"/>
      <c r="GXP71" s="122"/>
      <c r="GXQ71" s="122"/>
      <c r="GXR71" s="122"/>
      <c r="GXS71" s="122"/>
      <c r="GXT71" s="122"/>
      <c r="GXU71" s="122"/>
      <c r="GXV71" s="122"/>
      <c r="GXW71" s="122"/>
      <c r="GXX71" s="122"/>
      <c r="GXY71" s="122"/>
      <c r="GXZ71" s="122"/>
      <c r="GYA71" s="122"/>
      <c r="GYB71" s="122"/>
      <c r="GYC71" s="122"/>
      <c r="GYD71" s="122"/>
      <c r="GYE71" s="122"/>
      <c r="GYF71" s="122"/>
      <c r="GYG71" s="122"/>
      <c r="GYH71" s="122"/>
      <c r="GYI71" s="122"/>
      <c r="GYJ71" s="122"/>
      <c r="GYK71" s="122"/>
      <c r="GYL71" s="122"/>
      <c r="GYM71" s="122"/>
      <c r="GYN71" s="122"/>
      <c r="GYO71" s="122"/>
      <c r="GYP71" s="122"/>
      <c r="GYQ71" s="122"/>
      <c r="GYR71" s="122"/>
      <c r="GYS71" s="122"/>
      <c r="GYT71" s="122"/>
      <c r="GYU71" s="122"/>
      <c r="GYV71" s="122"/>
      <c r="GYW71" s="122"/>
      <c r="GYX71" s="122"/>
      <c r="GYY71" s="122"/>
      <c r="GYZ71" s="122"/>
      <c r="GZA71" s="122"/>
      <c r="GZB71" s="122"/>
      <c r="GZC71" s="122"/>
      <c r="GZD71" s="122"/>
      <c r="GZE71" s="122"/>
      <c r="GZF71" s="122"/>
      <c r="GZG71" s="122"/>
      <c r="GZH71" s="122"/>
      <c r="GZI71" s="122"/>
      <c r="GZJ71" s="122"/>
      <c r="GZK71" s="122"/>
      <c r="GZL71" s="122"/>
      <c r="GZM71" s="122"/>
      <c r="GZN71" s="122"/>
      <c r="GZO71" s="122"/>
      <c r="GZP71" s="122"/>
      <c r="GZQ71" s="122"/>
      <c r="GZR71" s="122"/>
      <c r="GZS71" s="122"/>
      <c r="GZT71" s="122"/>
      <c r="GZU71" s="122"/>
      <c r="GZV71" s="122"/>
      <c r="GZW71" s="122"/>
      <c r="GZX71" s="122"/>
      <c r="GZY71" s="122"/>
      <c r="GZZ71" s="122"/>
      <c r="HAA71" s="122"/>
      <c r="HAB71" s="122"/>
      <c r="HAC71" s="122"/>
      <c r="HAD71" s="122"/>
      <c r="HAE71" s="122"/>
      <c r="HAF71" s="122"/>
      <c r="HAG71" s="122"/>
      <c r="HAH71" s="122"/>
      <c r="HAI71" s="122"/>
      <c r="HAJ71" s="122"/>
      <c r="HAK71" s="122"/>
      <c r="HAL71" s="122"/>
      <c r="HAM71" s="122"/>
      <c r="HAN71" s="122"/>
      <c r="HAO71" s="122"/>
      <c r="HAP71" s="122"/>
      <c r="HAQ71" s="122"/>
      <c r="HAR71" s="122"/>
      <c r="HAS71" s="122"/>
      <c r="HAT71" s="122"/>
      <c r="HAU71" s="122"/>
      <c r="HAV71" s="122"/>
      <c r="HAW71" s="122"/>
      <c r="HAX71" s="122"/>
      <c r="HAY71" s="122"/>
      <c r="HAZ71" s="122"/>
      <c r="HBA71" s="122"/>
      <c r="HBB71" s="122"/>
      <c r="HBC71" s="122"/>
      <c r="HBD71" s="122"/>
      <c r="HBE71" s="122"/>
      <c r="HBF71" s="122"/>
      <c r="HBG71" s="122"/>
      <c r="HBH71" s="122"/>
      <c r="HBI71" s="122"/>
      <c r="HBJ71" s="122"/>
      <c r="HBK71" s="122"/>
      <c r="HBL71" s="122"/>
      <c r="HBM71" s="122"/>
      <c r="HBN71" s="122"/>
      <c r="HBO71" s="122"/>
      <c r="HBP71" s="122"/>
      <c r="HBQ71" s="122"/>
      <c r="HBR71" s="122"/>
      <c r="HBS71" s="122"/>
      <c r="HBT71" s="122"/>
      <c r="HBU71" s="122"/>
      <c r="HBV71" s="122"/>
      <c r="HBW71" s="122"/>
      <c r="HBX71" s="122"/>
      <c r="HBY71" s="122"/>
      <c r="HBZ71" s="122"/>
      <c r="HCA71" s="122"/>
      <c r="HCB71" s="122"/>
      <c r="HCC71" s="122"/>
      <c r="HCD71" s="122"/>
      <c r="HCE71" s="122"/>
      <c r="HCF71" s="122"/>
      <c r="HCG71" s="122"/>
      <c r="HCH71" s="122"/>
      <c r="HCI71" s="122"/>
      <c r="HCJ71" s="122"/>
      <c r="HCK71" s="122"/>
      <c r="HCL71" s="122"/>
      <c r="HCM71" s="122"/>
      <c r="HCN71" s="122"/>
      <c r="HCO71" s="122"/>
      <c r="HCP71" s="122"/>
      <c r="HCQ71" s="122"/>
      <c r="HCR71" s="122"/>
      <c r="HCS71" s="122"/>
      <c r="HCT71" s="122"/>
      <c r="HCU71" s="122"/>
      <c r="HCV71" s="122"/>
      <c r="HCW71" s="122"/>
      <c r="HCX71" s="122"/>
      <c r="HCY71" s="122"/>
      <c r="HCZ71" s="122"/>
      <c r="HDA71" s="122"/>
      <c r="HDB71" s="122"/>
      <c r="HDC71" s="122"/>
      <c r="HDD71" s="122"/>
      <c r="HDE71" s="122"/>
      <c r="HDF71" s="122"/>
      <c r="HDG71" s="122"/>
      <c r="HDH71" s="122"/>
      <c r="HDI71" s="122"/>
      <c r="HDJ71" s="122"/>
      <c r="HDK71" s="122"/>
      <c r="HDL71" s="122"/>
      <c r="HDM71" s="122"/>
      <c r="HDN71" s="122"/>
      <c r="HDO71" s="122"/>
      <c r="HDP71" s="122"/>
      <c r="HDQ71" s="122"/>
      <c r="HDR71" s="122"/>
      <c r="HDS71" s="122"/>
      <c r="HDT71" s="122"/>
      <c r="HDU71" s="122"/>
      <c r="HDV71" s="122"/>
      <c r="HDW71" s="122"/>
      <c r="HDX71" s="122"/>
      <c r="HDY71" s="122"/>
      <c r="HDZ71" s="122"/>
      <c r="HEA71" s="122"/>
      <c r="HEB71" s="122"/>
      <c r="HEC71" s="122"/>
      <c r="HED71" s="122"/>
      <c r="HEE71" s="122"/>
      <c r="HEF71" s="122"/>
      <c r="HEG71" s="122"/>
      <c r="HEH71" s="122"/>
      <c r="HEI71" s="122"/>
      <c r="HEJ71" s="122"/>
      <c r="HEK71" s="122"/>
      <c r="HEL71" s="122"/>
      <c r="HEM71" s="122"/>
      <c r="HEN71" s="122"/>
      <c r="HEO71" s="122"/>
      <c r="HEP71" s="122"/>
      <c r="HEQ71" s="122"/>
      <c r="HER71" s="122"/>
      <c r="HES71" s="122"/>
      <c r="HET71" s="122"/>
      <c r="HEU71" s="122"/>
      <c r="HEV71" s="122"/>
      <c r="HEW71" s="122"/>
      <c r="HEX71" s="122"/>
      <c r="HEY71" s="122"/>
      <c r="HEZ71" s="122"/>
      <c r="HFA71" s="122"/>
      <c r="HFB71" s="122"/>
      <c r="HFC71" s="122"/>
      <c r="HFD71" s="122"/>
      <c r="HFE71" s="122"/>
      <c r="HFF71" s="122"/>
      <c r="HFG71" s="122"/>
      <c r="HFH71" s="122"/>
      <c r="HFI71" s="122"/>
      <c r="HFJ71" s="122"/>
      <c r="HFK71" s="122"/>
      <c r="HFL71" s="122"/>
      <c r="HFM71" s="122"/>
      <c r="HFN71" s="122"/>
      <c r="HFO71" s="122"/>
      <c r="HFP71" s="122"/>
      <c r="HFQ71" s="122"/>
      <c r="HFR71" s="122"/>
      <c r="HFS71" s="122"/>
      <c r="HFT71" s="122"/>
      <c r="HFU71" s="122"/>
      <c r="HFV71" s="122"/>
      <c r="HFW71" s="122"/>
      <c r="HFX71" s="122"/>
      <c r="HFY71" s="122"/>
      <c r="HFZ71" s="122"/>
      <c r="HGA71" s="122"/>
      <c r="HGB71" s="122"/>
      <c r="HGC71" s="122"/>
      <c r="HGD71" s="122"/>
      <c r="HGE71" s="122"/>
      <c r="HGF71" s="122"/>
      <c r="HGG71" s="122"/>
      <c r="HGH71" s="122"/>
      <c r="HGI71" s="122"/>
      <c r="HGJ71" s="122"/>
      <c r="HGK71" s="122"/>
      <c r="HGL71" s="122"/>
      <c r="HGM71" s="122"/>
      <c r="HGN71" s="122"/>
      <c r="HGO71" s="122"/>
      <c r="HGP71" s="122"/>
      <c r="HGQ71" s="122"/>
      <c r="HGR71" s="122"/>
      <c r="HGS71" s="122"/>
      <c r="HGT71" s="122"/>
      <c r="HGU71" s="122"/>
      <c r="HGV71" s="122"/>
      <c r="HGW71" s="122"/>
      <c r="HGX71" s="122"/>
      <c r="HGY71" s="122"/>
      <c r="HGZ71" s="122"/>
      <c r="HHA71" s="122"/>
      <c r="HHB71" s="122"/>
      <c r="HHC71" s="122"/>
      <c r="HHD71" s="122"/>
      <c r="HHE71" s="122"/>
      <c r="HHF71" s="122"/>
      <c r="HHG71" s="122"/>
      <c r="HHH71" s="122"/>
      <c r="HHI71" s="122"/>
      <c r="HHJ71" s="122"/>
      <c r="HHK71" s="122"/>
      <c r="HHL71" s="122"/>
      <c r="HHM71" s="122"/>
      <c r="HHN71" s="122"/>
      <c r="HHO71" s="122"/>
      <c r="HHP71" s="122"/>
      <c r="HHQ71" s="122"/>
      <c r="HHR71" s="122"/>
      <c r="HHS71" s="122"/>
      <c r="HHT71" s="122"/>
      <c r="HHU71" s="122"/>
      <c r="HHV71" s="122"/>
      <c r="HHW71" s="122"/>
      <c r="HHX71" s="122"/>
      <c r="HHY71" s="122"/>
      <c r="HHZ71" s="122"/>
      <c r="HIA71" s="122"/>
      <c r="HIB71" s="122"/>
      <c r="HIC71" s="122"/>
      <c r="HID71" s="122"/>
      <c r="HIE71" s="122"/>
      <c r="HIF71" s="122"/>
      <c r="HIG71" s="122"/>
      <c r="HIH71" s="122"/>
      <c r="HII71" s="122"/>
      <c r="HIJ71" s="122"/>
      <c r="HIK71" s="122"/>
      <c r="HIL71" s="122"/>
      <c r="HIM71" s="122"/>
      <c r="HIN71" s="122"/>
      <c r="HIO71" s="122"/>
      <c r="HIP71" s="122"/>
      <c r="HIQ71" s="122"/>
      <c r="HIR71" s="122"/>
      <c r="HIS71" s="122"/>
      <c r="HIT71" s="122"/>
      <c r="HIU71" s="122"/>
      <c r="HIV71" s="122"/>
      <c r="HIW71" s="122"/>
      <c r="HIX71" s="122"/>
      <c r="HIY71" s="122"/>
      <c r="HIZ71" s="122"/>
      <c r="HJA71" s="122"/>
      <c r="HJB71" s="122"/>
      <c r="HJC71" s="122"/>
      <c r="HJD71" s="122"/>
      <c r="HJE71" s="122"/>
      <c r="HJF71" s="122"/>
      <c r="HJG71" s="122"/>
      <c r="HJH71" s="122"/>
      <c r="HJI71" s="122"/>
      <c r="HJJ71" s="122"/>
      <c r="HJK71" s="122"/>
      <c r="HJL71" s="122"/>
      <c r="HJM71" s="122"/>
      <c r="HJN71" s="122"/>
      <c r="HJO71" s="122"/>
      <c r="HJP71" s="122"/>
      <c r="HJQ71" s="122"/>
      <c r="HJR71" s="122"/>
      <c r="HJS71" s="122"/>
      <c r="HJT71" s="122"/>
      <c r="HJU71" s="122"/>
      <c r="HJV71" s="122"/>
      <c r="HJW71" s="122"/>
      <c r="HJX71" s="122"/>
      <c r="HJY71" s="122"/>
      <c r="HJZ71" s="122"/>
      <c r="HKA71" s="122"/>
      <c r="HKB71" s="122"/>
      <c r="HKC71" s="122"/>
      <c r="HKD71" s="122"/>
      <c r="HKE71" s="122"/>
      <c r="HKF71" s="122"/>
      <c r="HKG71" s="122"/>
      <c r="HKH71" s="122"/>
      <c r="HKI71" s="122"/>
      <c r="HKJ71" s="122"/>
      <c r="HKK71" s="122"/>
      <c r="HKL71" s="122"/>
      <c r="HKM71" s="122"/>
      <c r="HKN71" s="122"/>
      <c r="HKO71" s="122"/>
      <c r="HKP71" s="122"/>
      <c r="HKQ71" s="122"/>
      <c r="HKR71" s="122"/>
      <c r="HKS71" s="122"/>
      <c r="HKT71" s="122"/>
      <c r="HKU71" s="122"/>
      <c r="HKV71" s="122"/>
      <c r="HKW71" s="122"/>
      <c r="HKX71" s="122"/>
      <c r="HKY71" s="122"/>
      <c r="HKZ71" s="122"/>
      <c r="HLA71" s="122"/>
      <c r="HLB71" s="122"/>
      <c r="HLC71" s="122"/>
      <c r="HLD71" s="122"/>
      <c r="HLE71" s="122"/>
      <c r="HLF71" s="122"/>
      <c r="HLG71" s="122"/>
      <c r="HLH71" s="122"/>
      <c r="HLI71" s="122"/>
      <c r="HLJ71" s="122"/>
      <c r="HLK71" s="122"/>
      <c r="HLL71" s="122"/>
      <c r="HLM71" s="122"/>
      <c r="HLN71" s="122"/>
      <c r="HLO71" s="122"/>
      <c r="HLP71" s="122"/>
      <c r="HLQ71" s="122"/>
      <c r="HLR71" s="122"/>
      <c r="HLS71" s="122"/>
      <c r="HLT71" s="122"/>
      <c r="HLU71" s="122"/>
      <c r="HLV71" s="122"/>
      <c r="HLW71" s="122"/>
      <c r="HLX71" s="122"/>
      <c r="HLY71" s="122"/>
      <c r="HLZ71" s="122"/>
      <c r="HMA71" s="122"/>
      <c r="HMB71" s="122"/>
      <c r="HMC71" s="122"/>
      <c r="HMD71" s="122"/>
      <c r="HME71" s="122"/>
      <c r="HMF71" s="122"/>
      <c r="HMG71" s="122"/>
      <c r="HMH71" s="122"/>
      <c r="HMI71" s="122"/>
      <c r="HMJ71" s="122"/>
      <c r="HMK71" s="122"/>
      <c r="HML71" s="122"/>
      <c r="HMM71" s="122"/>
      <c r="HMN71" s="122"/>
      <c r="HMO71" s="122"/>
      <c r="HMP71" s="122"/>
      <c r="HMQ71" s="122"/>
      <c r="HMR71" s="122"/>
      <c r="HMS71" s="122"/>
      <c r="HMT71" s="122"/>
      <c r="HMU71" s="122"/>
      <c r="HMV71" s="122"/>
      <c r="HMW71" s="122"/>
      <c r="HMX71" s="122"/>
      <c r="HMY71" s="122"/>
      <c r="HMZ71" s="122"/>
      <c r="HNA71" s="122"/>
      <c r="HNB71" s="122"/>
      <c r="HNC71" s="122"/>
      <c r="HND71" s="122"/>
      <c r="HNE71" s="122"/>
      <c r="HNF71" s="122"/>
      <c r="HNG71" s="122"/>
      <c r="HNH71" s="122"/>
      <c r="HNI71" s="122"/>
      <c r="HNJ71" s="122"/>
      <c r="HNK71" s="122"/>
      <c r="HNL71" s="122"/>
      <c r="HNM71" s="122"/>
      <c r="HNN71" s="122"/>
      <c r="HNO71" s="122"/>
      <c r="HNP71" s="122"/>
      <c r="HNQ71" s="122"/>
      <c r="HNR71" s="122"/>
      <c r="HNS71" s="122"/>
      <c r="HNT71" s="122"/>
      <c r="HNU71" s="122"/>
      <c r="HNV71" s="122"/>
      <c r="HNW71" s="122"/>
      <c r="HNX71" s="122"/>
      <c r="HNY71" s="122"/>
      <c r="HNZ71" s="122"/>
      <c r="HOA71" s="122"/>
      <c r="HOB71" s="122"/>
      <c r="HOC71" s="122"/>
      <c r="HOD71" s="122"/>
      <c r="HOE71" s="122"/>
      <c r="HOF71" s="122"/>
      <c r="HOG71" s="122"/>
      <c r="HOH71" s="122"/>
      <c r="HOI71" s="122"/>
      <c r="HOJ71" s="122"/>
      <c r="HOK71" s="122"/>
      <c r="HOL71" s="122"/>
      <c r="HOM71" s="122"/>
      <c r="HON71" s="122"/>
      <c r="HOO71" s="122"/>
      <c r="HOP71" s="122"/>
      <c r="HOQ71" s="122"/>
      <c r="HOR71" s="122"/>
      <c r="HOS71" s="122"/>
      <c r="HOT71" s="122"/>
      <c r="HOU71" s="122"/>
      <c r="HOV71" s="122"/>
      <c r="HOW71" s="122"/>
      <c r="HOX71" s="122"/>
      <c r="HOY71" s="122"/>
      <c r="HOZ71" s="122"/>
      <c r="HPA71" s="122"/>
      <c r="HPB71" s="122"/>
      <c r="HPC71" s="122"/>
      <c r="HPD71" s="122"/>
      <c r="HPE71" s="122"/>
      <c r="HPF71" s="122"/>
      <c r="HPG71" s="122"/>
      <c r="HPH71" s="122"/>
      <c r="HPI71" s="122"/>
      <c r="HPJ71" s="122"/>
      <c r="HPK71" s="122"/>
      <c r="HPL71" s="122"/>
      <c r="HPM71" s="122"/>
      <c r="HPN71" s="122"/>
      <c r="HPO71" s="122"/>
      <c r="HPP71" s="122"/>
      <c r="HPQ71" s="122"/>
      <c r="HPR71" s="122"/>
      <c r="HPS71" s="122"/>
      <c r="HPT71" s="122"/>
      <c r="HPU71" s="122"/>
      <c r="HPV71" s="122"/>
      <c r="HPW71" s="122"/>
      <c r="HPX71" s="122"/>
      <c r="HPY71" s="122"/>
      <c r="HPZ71" s="122"/>
      <c r="HQA71" s="122"/>
      <c r="HQB71" s="122"/>
      <c r="HQC71" s="122"/>
      <c r="HQD71" s="122"/>
      <c r="HQE71" s="122"/>
      <c r="HQF71" s="122"/>
      <c r="HQG71" s="122"/>
      <c r="HQH71" s="122"/>
      <c r="HQI71" s="122"/>
      <c r="HQJ71" s="122"/>
      <c r="HQK71" s="122"/>
      <c r="HQL71" s="122"/>
      <c r="HQM71" s="122"/>
      <c r="HQN71" s="122"/>
      <c r="HQO71" s="122"/>
      <c r="HQP71" s="122"/>
      <c r="HQQ71" s="122"/>
      <c r="HQR71" s="122"/>
      <c r="HQS71" s="122"/>
      <c r="HQT71" s="122"/>
      <c r="HQU71" s="122"/>
      <c r="HQV71" s="122"/>
      <c r="HQW71" s="122"/>
      <c r="HQX71" s="122"/>
      <c r="HQY71" s="122"/>
      <c r="HQZ71" s="122"/>
      <c r="HRA71" s="122"/>
      <c r="HRB71" s="122"/>
      <c r="HRC71" s="122"/>
      <c r="HRD71" s="122"/>
      <c r="HRE71" s="122"/>
      <c r="HRF71" s="122"/>
      <c r="HRG71" s="122"/>
      <c r="HRH71" s="122"/>
      <c r="HRI71" s="122"/>
      <c r="HRJ71" s="122"/>
      <c r="HRK71" s="122"/>
      <c r="HRL71" s="122"/>
      <c r="HRM71" s="122"/>
      <c r="HRN71" s="122"/>
      <c r="HRO71" s="122"/>
      <c r="HRP71" s="122"/>
      <c r="HRQ71" s="122"/>
      <c r="HRR71" s="122"/>
      <c r="HRS71" s="122"/>
      <c r="HRT71" s="122"/>
      <c r="HRU71" s="122"/>
      <c r="HRV71" s="122"/>
      <c r="HRW71" s="122"/>
      <c r="HRX71" s="122"/>
      <c r="HRY71" s="122"/>
      <c r="HRZ71" s="122"/>
      <c r="HSA71" s="122"/>
      <c r="HSB71" s="122"/>
      <c r="HSC71" s="122"/>
      <c r="HSD71" s="122"/>
      <c r="HSE71" s="122"/>
      <c r="HSF71" s="122"/>
      <c r="HSG71" s="122"/>
      <c r="HSH71" s="122"/>
      <c r="HSI71" s="122"/>
      <c r="HSJ71" s="122"/>
      <c r="HSK71" s="122"/>
      <c r="HSL71" s="122"/>
      <c r="HSM71" s="122"/>
      <c r="HSN71" s="122"/>
      <c r="HSO71" s="122"/>
      <c r="HSP71" s="122"/>
      <c r="HSQ71" s="122"/>
      <c r="HSR71" s="122"/>
      <c r="HSS71" s="122"/>
      <c r="HST71" s="122"/>
      <c r="HSU71" s="122"/>
      <c r="HSV71" s="122"/>
      <c r="HSW71" s="122"/>
      <c r="HSX71" s="122"/>
      <c r="HSY71" s="122"/>
      <c r="HSZ71" s="122"/>
      <c r="HTA71" s="122"/>
      <c r="HTB71" s="122"/>
      <c r="HTC71" s="122"/>
      <c r="HTD71" s="122"/>
      <c r="HTE71" s="122"/>
      <c r="HTF71" s="122"/>
      <c r="HTG71" s="122"/>
      <c r="HTH71" s="122"/>
      <c r="HTI71" s="122"/>
      <c r="HTJ71" s="122"/>
      <c r="HTK71" s="122"/>
      <c r="HTL71" s="122"/>
      <c r="HTM71" s="122"/>
      <c r="HTN71" s="122"/>
      <c r="HTO71" s="122"/>
      <c r="HTP71" s="122"/>
      <c r="HTQ71" s="122"/>
      <c r="HTR71" s="122"/>
      <c r="HTS71" s="122"/>
      <c r="HTT71" s="122"/>
      <c r="HTU71" s="122"/>
      <c r="HTV71" s="122"/>
      <c r="HTW71" s="122"/>
      <c r="HTX71" s="122"/>
      <c r="HTY71" s="122"/>
      <c r="HTZ71" s="122"/>
      <c r="HUA71" s="122"/>
      <c r="HUB71" s="122"/>
      <c r="HUC71" s="122"/>
      <c r="HUD71" s="122"/>
      <c r="HUE71" s="122"/>
      <c r="HUF71" s="122"/>
      <c r="HUG71" s="122"/>
      <c r="HUH71" s="122"/>
      <c r="HUI71" s="122"/>
      <c r="HUJ71" s="122"/>
      <c r="HUK71" s="122"/>
      <c r="HUL71" s="122"/>
      <c r="HUM71" s="122"/>
      <c r="HUN71" s="122"/>
      <c r="HUO71" s="122"/>
      <c r="HUP71" s="122"/>
      <c r="HUQ71" s="122"/>
      <c r="HUR71" s="122"/>
      <c r="HUS71" s="122"/>
      <c r="HUT71" s="122"/>
      <c r="HUU71" s="122"/>
      <c r="HUV71" s="122"/>
      <c r="HUW71" s="122"/>
      <c r="HUX71" s="122"/>
      <c r="HUY71" s="122"/>
      <c r="HUZ71" s="122"/>
      <c r="HVA71" s="122"/>
      <c r="HVB71" s="122"/>
      <c r="HVC71" s="122"/>
      <c r="HVD71" s="122"/>
      <c r="HVE71" s="122"/>
      <c r="HVF71" s="122"/>
      <c r="HVG71" s="122"/>
      <c r="HVH71" s="122"/>
      <c r="HVI71" s="122"/>
      <c r="HVJ71" s="122"/>
      <c r="HVK71" s="122"/>
      <c r="HVL71" s="122"/>
      <c r="HVM71" s="122"/>
      <c r="HVN71" s="122"/>
      <c r="HVO71" s="122"/>
      <c r="HVP71" s="122"/>
      <c r="HVQ71" s="122"/>
      <c r="HVR71" s="122"/>
      <c r="HVS71" s="122"/>
      <c r="HVT71" s="122"/>
      <c r="HVU71" s="122"/>
      <c r="HVV71" s="122"/>
      <c r="HVW71" s="122"/>
      <c r="HVX71" s="122"/>
      <c r="HVY71" s="122"/>
      <c r="HVZ71" s="122"/>
      <c r="HWA71" s="122"/>
      <c r="HWB71" s="122"/>
      <c r="HWC71" s="122"/>
      <c r="HWD71" s="122"/>
      <c r="HWE71" s="122"/>
      <c r="HWF71" s="122"/>
      <c r="HWG71" s="122"/>
      <c r="HWH71" s="122"/>
      <c r="HWI71" s="122"/>
      <c r="HWJ71" s="122"/>
      <c r="HWK71" s="122"/>
      <c r="HWL71" s="122"/>
      <c r="HWM71" s="122"/>
      <c r="HWN71" s="122"/>
      <c r="HWO71" s="122"/>
      <c r="HWP71" s="122"/>
      <c r="HWQ71" s="122"/>
      <c r="HWR71" s="122"/>
      <c r="HWS71" s="122"/>
      <c r="HWT71" s="122"/>
      <c r="HWU71" s="122"/>
      <c r="HWV71" s="122"/>
      <c r="HWW71" s="122"/>
      <c r="HWX71" s="122"/>
      <c r="HWY71" s="122"/>
      <c r="HWZ71" s="122"/>
      <c r="HXA71" s="122"/>
      <c r="HXB71" s="122"/>
      <c r="HXC71" s="122"/>
      <c r="HXD71" s="122"/>
      <c r="HXE71" s="122"/>
      <c r="HXF71" s="122"/>
      <c r="HXG71" s="122"/>
      <c r="HXH71" s="122"/>
      <c r="HXI71" s="122"/>
      <c r="HXJ71" s="122"/>
      <c r="HXK71" s="122"/>
      <c r="HXL71" s="122"/>
      <c r="HXM71" s="122"/>
      <c r="HXN71" s="122"/>
      <c r="HXO71" s="122"/>
      <c r="HXP71" s="122"/>
      <c r="HXQ71" s="122"/>
      <c r="HXR71" s="122"/>
      <c r="HXS71" s="122"/>
      <c r="HXT71" s="122"/>
      <c r="HXU71" s="122"/>
      <c r="HXV71" s="122"/>
      <c r="HXW71" s="122"/>
      <c r="HXX71" s="122"/>
      <c r="HXY71" s="122"/>
      <c r="HXZ71" s="122"/>
      <c r="HYA71" s="122"/>
      <c r="HYB71" s="122"/>
      <c r="HYC71" s="122"/>
      <c r="HYD71" s="122"/>
      <c r="HYE71" s="122"/>
      <c r="HYF71" s="122"/>
      <c r="HYG71" s="122"/>
      <c r="HYH71" s="122"/>
      <c r="HYI71" s="122"/>
      <c r="HYJ71" s="122"/>
      <c r="HYK71" s="122"/>
      <c r="HYL71" s="122"/>
      <c r="HYM71" s="122"/>
      <c r="HYN71" s="122"/>
      <c r="HYO71" s="122"/>
      <c r="HYP71" s="122"/>
      <c r="HYQ71" s="122"/>
      <c r="HYR71" s="122"/>
      <c r="HYS71" s="122"/>
      <c r="HYT71" s="122"/>
      <c r="HYU71" s="122"/>
      <c r="HYV71" s="122"/>
      <c r="HYW71" s="122"/>
      <c r="HYX71" s="122"/>
      <c r="HYY71" s="122"/>
      <c r="HYZ71" s="122"/>
      <c r="HZA71" s="122"/>
      <c r="HZB71" s="122"/>
      <c r="HZC71" s="122"/>
      <c r="HZD71" s="122"/>
      <c r="HZE71" s="122"/>
      <c r="HZF71" s="122"/>
      <c r="HZG71" s="122"/>
      <c r="HZH71" s="122"/>
      <c r="HZI71" s="122"/>
      <c r="HZJ71" s="122"/>
      <c r="HZK71" s="122"/>
      <c r="HZL71" s="122"/>
      <c r="HZM71" s="122"/>
      <c r="HZN71" s="122"/>
      <c r="HZO71" s="122"/>
      <c r="HZP71" s="122"/>
      <c r="HZQ71" s="122"/>
      <c r="HZR71" s="122"/>
      <c r="HZS71" s="122"/>
      <c r="HZT71" s="122"/>
      <c r="HZU71" s="122"/>
      <c r="HZV71" s="122"/>
      <c r="HZW71" s="122"/>
      <c r="HZX71" s="122"/>
      <c r="HZY71" s="122"/>
      <c r="HZZ71" s="122"/>
      <c r="IAA71" s="122"/>
      <c r="IAB71" s="122"/>
      <c r="IAC71" s="122"/>
      <c r="IAD71" s="122"/>
      <c r="IAE71" s="122"/>
      <c r="IAF71" s="122"/>
      <c r="IAG71" s="122"/>
      <c r="IAH71" s="122"/>
      <c r="IAI71" s="122"/>
      <c r="IAJ71" s="122"/>
      <c r="IAK71" s="122"/>
      <c r="IAL71" s="122"/>
      <c r="IAM71" s="122"/>
      <c r="IAN71" s="122"/>
      <c r="IAO71" s="122"/>
      <c r="IAP71" s="122"/>
      <c r="IAQ71" s="122"/>
      <c r="IAR71" s="122"/>
      <c r="IAS71" s="122"/>
      <c r="IAT71" s="122"/>
      <c r="IAU71" s="122"/>
      <c r="IAV71" s="122"/>
      <c r="IAW71" s="122"/>
      <c r="IAX71" s="122"/>
      <c r="IAY71" s="122"/>
      <c r="IAZ71" s="122"/>
      <c r="IBA71" s="122"/>
      <c r="IBB71" s="122"/>
      <c r="IBC71" s="122"/>
      <c r="IBD71" s="122"/>
      <c r="IBE71" s="122"/>
      <c r="IBF71" s="122"/>
      <c r="IBG71" s="122"/>
      <c r="IBH71" s="122"/>
      <c r="IBI71" s="122"/>
      <c r="IBJ71" s="122"/>
      <c r="IBK71" s="122"/>
      <c r="IBL71" s="122"/>
      <c r="IBM71" s="122"/>
      <c r="IBN71" s="122"/>
      <c r="IBO71" s="122"/>
      <c r="IBP71" s="122"/>
      <c r="IBQ71" s="122"/>
      <c r="IBR71" s="122"/>
      <c r="IBS71" s="122"/>
      <c r="IBT71" s="122"/>
      <c r="IBU71" s="122"/>
      <c r="IBV71" s="122"/>
      <c r="IBW71" s="122"/>
      <c r="IBX71" s="122"/>
      <c r="IBY71" s="122"/>
      <c r="IBZ71" s="122"/>
      <c r="ICA71" s="122"/>
      <c r="ICB71" s="122"/>
      <c r="ICC71" s="122"/>
      <c r="ICD71" s="122"/>
      <c r="ICE71" s="122"/>
      <c r="ICF71" s="122"/>
      <c r="ICG71" s="122"/>
      <c r="ICH71" s="122"/>
      <c r="ICI71" s="122"/>
      <c r="ICJ71" s="122"/>
      <c r="ICK71" s="122"/>
      <c r="ICL71" s="122"/>
      <c r="ICM71" s="122"/>
      <c r="ICN71" s="122"/>
      <c r="ICO71" s="122"/>
      <c r="ICP71" s="122"/>
      <c r="ICQ71" s="122"/>
      <c r="ICR71" s="122"/>
      <c r="ICS71" s="122"/>
      <c r="ICT71" s="122"/>
      <c r="ICU71" s="122"/>
      <c r="ICV71" s="122"/>
      <c r="ICW71" s="122"/>
      <c r="ICX71" s="122"/>
      <c r="ICY71" s="122"/>
      <c r="ICZ71" s="122"/>
      <c r="IDA71" s="122"/>
      <c r="IDB71" s="122"/>
      <c r="IDC71" s="122"/>
      <c r="IDD71" s="122"/>
      <c r="IDE71" s="122"/>
      <c r="IDF71" s="122"/>
      <c r="IDG71" s="122"/>
      <c r="IDH71" s="122"/>
      <c r="IDI71" s="122"/>
      <c r="IDJ71" s="122"/>
      <c r="IDK71" s="122"/>
      <c r="IDL71" s="122"/>
      <c r="IDM71" s="122"/>
      <c r="IDN71" s="122"/>
      <c r="IDO71" s="122"/>
      <c r="IDP71" s="122"/>
      <c r="IDQ71" s="122"/>
      <c r="IDR71" s="122"/>
      <c r="IDS71" s="122"/>
      <c r="IDT71" s="122"/>
      <c r="IDU71" s="122"/>
      <c r="IDV71" s="122"/>
      <c r="IDW71" s="122"/>
      <c r="IDX71" s="122"/>
      <c r="IDY71" s="122"/>
      <c r="IDZ71" s="122"/>
      <c r="IEA71" s="122"/>
      <c r="IEB71" s="122"/>
      <c r="IEC71" s="122"/>
      <c r="IED71" s="122"/>
      <c r="IEE71" s="122"/>
      <c r="IEF71" s="122"/>
      <c r="IEG71" s="122"/>
      <c r="IEH71" s="122"/>
      <c r="IEI71" s="122"/>
      <c r="IEJ71" s="122"/>
      <c r="IEK71" s="122"/>
      <c r="IEL71" s="122"/>
      <c r="IEM71" s="122"/>
      <c r="IEN71" s="122"/>
      <c r="IEO71" s="122"/>
      <c r="IEP71" s="122"/>
      <c r="IEQ71" s="122"/>
      <c r="IER71" s="122"/>
      <c r="IES71" s="122"/>
      <c r="IET71" s="122"/>
      <c r="IEU71" s="122"/>
      <c r="IEV71" s="122"/>
      <c r="IEW71" s="122"/>
      <c r="IEX71" s="122"/>
      <c r="IEY71" s="122"/>
      <c r="IEZ71" s="122"/>
      <c r="IFA71" s="122"/>
      <c r="IFB71" s="122"/>
      <c r="IFC71" s="122"/>
      <c r="IFD71" s="122"/>
      <c r="IFE71" s="122"/>
      <c r="IFF71" s="122"/>
      <c r="IFG71" s="122"/>
      <c r="IFH71" s="122"/>
      <c r="IFI71" s="122"/>
      <c r="IFJ71" s="122"/>
      <c r="IFK71" s="122"/>
      <c r="IFL71" s="122"/>
      <c r="IFM71" s="122"/>
      <c r="IFN71" s="122"/>
      <c r="IFO71" s="122"/>
      <c r="IFP71" s="122"/>
      <c r="IFQ71" s="122"/>
      <c r="IFR71" s="122"/>
      <c r="IFS71" s="122"/>
      <c r="IFT71" s="122"/>
      <c r="IFU71" s="122"/>
      <c r="IFV71" s="122"/>
      <c r="IFW71" s="122"/>
      <c r="IFX71" s="122"/>
      <c r="IFY71" s="122"/>
      <c r="IFZ71" s="122"/>
      <c r="IGA71" s="122"/>
      <c r="IGB71" s="122"/>
      <c r="IGC71" s="122"/>
      <c r="IGD71" s="122"/>
      <c r="IGE71" s="122"/>
      <c r="IGF71" s="122"/>
      <c r="IGG71" s="122"/>
      <c r="IGH71" s="122"/>
      <c r="IGI71" s="122"/>
      <c r="IGJ71" s="122"/>
      <c r="IGK71" s="122"/>
      <c r="IGL71" s="122"/>
      <c r="IGM71" s="122"/>
      <c r="IGN71" s="122"/>
      <c r="IGO71" s="122"/>
      <c r="IGP71" s="122"/>
      <c r="IGQ71" s="122"/>
      <c r="IGR71" s="122"/>
      <c r="IGS71" s="122"/>
      <c r="IGT71" s="122"/>
      <c r="IGU71" s="122"/>
      <c r="IGV71" s="122"/>
      <c r="IGW71" s="122"/>
      <c r="IGX71" s="122"/>
      <c r="IGY71" s="122"/>
      <c r="IGZ71" s="122"/>
      <c r="IHA71" s="122"/>
      <c r="IHB71" s="122"/>
      <c r="IHC71" s="122"/>
      <c r="IHD71" s="122"/>
      <c r="IHE71" s="122"/>
      <c r="IHF71" s="122"/>
      <c r="IHG71" s="122"/>
      <c r="IHH71" s="122"/>
      <c r="IHI71" s="122"/>
      <c r="IHJ71" s="122"/>
      <c r="IHK71" s="122"/>
      <c r="IHL71" s="122"/>
      <c r="IHM71" s="122"/>
      <c r="IHN71" s="122"/>
      <c r="IHO71" s="122"/>
      <c r="IHP71" s="122"/>
      <c r="IHQ71" s="122"/>
      <c r="IHR71" s="122"/>
      <c r="IHS71" s="122"/>
      <c r="IHT71" s="122"/>
      <c r="IHU71" s="122"/>
      <c r="IHV71" s="122"/>
      <c r="IHW71" s="122"/>
      <c r="IHX71" s="122"/>
      <c r="IHY71" s="122"/>
      <c r="IHZ71" s="122"/>
      <c r="IIA71" s="122"/>
      <c r="IIB71" s="122"/>
      <c r="IIC71" s="122"/>
      <c r="IID71" s="122"/>
      <c r="IIE71" s="122"/>
      <c r="IIF71" s="122"/>
      <c r="IIG71" s="122"/>
      <c r="IIH71" s="122"/>
      <c r="III71" s="122"/>
      <c r="IIJ71" s="122"/>
      <c r="IIK71" s="122"/>
      <c r="IIL71" s="122"/>
      <c r="IIM71" s="122"/>
      <c r="IIN71" s="122"/>
      <c r="IIO71" s="122"/>
      <c r="IIP71" s="122"/>
      <c r="IIQ71" s="122"/>
      <c r="IIR71" s="122"/>
      <c r="IIS71" s="122"/>
      <c r="IIT71" s="122"/>
      <c r="IIU71" s="122"/>
      <c r="IIV71" s="122"/>
      <c r="IIW71" s="122"/>
      <c r="IIX71" s="122"/>
      <c r="IIY71" s="122"/>
      <c r="IIZ71" s="122"/>
      <c r="IJA71" s="122"/>
      <c r="IJB71" s="122"/>
      <c r="IJC71" s="122"/>
      <c r="IJD71" s="122"/>
      <c r="IJE71" s="122"/>
      <c r="IJF71" s="122"/>
      <c r="IJG71" s="122"/>
      <c r="IJH71" s="122"/>
      <c r="IJI71" s="122"/>
      <c r="IJJ71" s="122"/>
      <c r="IJK71" s="122"/>
      <c r="IJL71" s="122"/>
      <c r="IJM71" s="122"/>
      <c r="IJN71" s="122"/>
      <c r="IJO71" s="122"/>
      <c r="IJP71" s="122"/>
      <c r="IJQ71" s="122"/>
      <c r="IJR71" s="122"/>
      <c r="IJS71" s="122"/>
      <c r="IJT71" s="122"/>
      <c r="IJU71" s="122"/>
      <c r="IJV71" s="122"/>
      <c r="IJW71" s="122"/>
      <c r="IJX71" s="122"/>
      <c r="IJY71" s="122"/>
      <c r="IJZ71" s="122"/>
      <c r="IKA71" s="122"/>
      <c r="IKB71" s="122"/>
      <c r="IKC71" s="122"/>
      <c r="IKD71" s="122"/>
      <c r="IKE71" s="122"/>
      <c r="IKF71" s="122"/>
      <c r="IKG71" s="122"/>
      <c r="IKH71" s="122"/>
      <c r="IKI71" s="122"/>
      <c r="IKJ71" s="122"/>
      <c r="IKK71" s="122"/>
      <c r="IKL71" s="122"/>
      <c r="IKM71" s="122"/>
      <c r="IKN71" s="122"/>
      <c r="IKO71" s="122"/>
      <c r="IKP71" s="122"/>
      <c r="IKQ71" s="122"/>
      <c r="IKR71" s="122"/>
      <c r="IKS71" s="122"/>
      <c r="IKT71" s="122"/>
      <c r="IKU71" s="122"/>
      <c r="IKV71" s="122"/>
      <c r="IKW71" s="122"/>
      <c r="IKX71" s="122"/>
      <c r="IKY71" s="122"/>
      <c r="IKZ71" s="122"/>
      <c r="ILA71" s="122"/>
      <c r="ILB71" s="122"/>
      <c r="ILC71" s="122"/>
      <c r="ILD71" s="122"/>
      <c r="ILE71" s="122"/>
      <c r="ILF71" s="122"/>
      <c r="ILG71" s="122"/>
      <c r="ILH71" s="122"/>
      <c r="ILI71" s="122"/>
      <c r="ILJ71" s="122"/>
      <c r="ILK71" s="122"/>
      <c r="ILL71" s="122"/>
      <c r="ILM71" s="122"/>
      <c r="ILN71" s="122"/>
      <c r="ILO71" s="122"/>
      <c r="ILP71" s="122"/>
      <c r="ILQ71" s="122"/>
      <c r="ILR71" s="122"/>
      <c r="ILS71" s="122"/>
      <c r="ILT71" s="122"/>
      <c r="ILU71" s="122"/>
      <c r="ILV71" s="122"/>
      <c r="ILW71" s="122"/>
      <c r="ILX71" s="122"/>
      <c r="ILY71" s="122"/>
      <c r="ILZ71" s="122"/>
      <c r="IMA71" s="122"/>
      <c r="IMB71" s="122"/>
      <c r="IMC71" s="122"/>
      <c r="IMD71" s="122"/>
      <c r="IME71" s="122"/>
      <c r="IMF71" s="122"/>
      <c r="IMG71" s="122"/>
      <c r="IMH71" s="122"/>
      <c r="IMI71" s="122"/>
      <c r="IMJ71" s="122"/>
      <c r="IMK71" s="122"/>
      <c r="IML71" s="122"/>
      <c r="IMM71" s="122"/>
      <c r="IMN71" s="122"/>
      <c r="IMO71" s="122"/>
      <c r="IMP71" s="122"/>
      <c r="IMQ71" s="122"/>
      <c r="IMR71" s="122"/>
      <c r="IMS71" s="122"/>
      <c r="IMT71" s="122"/>
      <c r="IMU71" s="122"/>
      <c r="IMV71" s="122"/>
      <c r="IMW71" s="122"/>
      <c r="IMX71" s="122"/>
      <c r="IMY71" s="122"/>
      <c r="IMZ71" s="122"/>
      <c r="INA71" s="122"/>
      <c r="INB71" s="122"/>
      <c r="INC71" s="122"/>
      <c r="IND71" s="122"/>
      <c r="INE71" s="122"/>
      <c r="INF71" s="122"/>
      <c r="ING71" s="122"/>
      <c r="INH71" s="122"/>
      <c r="INI71" s="122"/>
      <c r="INJ71" s="122"/>
      <c r="INK71" s="122"/>
      <c r="INL71" s="122"/>
      <c r="INM71" s="122"/>
      <c r="INN71" s="122"/>
      <c r="INO71" s="122"/>
      <c r="INP71" s="122"/>
      <c r="INQ71" s="122"/>
      <c r="INR71" s="122"/>
      <c r="INS71" s="122"/>
      <c r="INT71" s="122"/>
      <c r="INU71" s="122"/>
      <c r="INV71" s="122"/>
      <c r="INW71" s="122"/>
      <c r="INX71" s="122"/>
      <c r="INY71" s="122"/>
      <c r="INZ71" s="122"/>
      <c r="IOA71" s="122"/>
      <c r="IOB71" s="122"/>
      <c r="IOC71" s="122"/>
      <c r="IOD71" s="122"/>
      <c r="IOE71" s="122"/>
      <c r="IOF71" s="122"/>
      <c r="IOG71" s="122"/>
      <c r="IOH71" s="122"/>
      <c r="IOI71" s="122"/>
      <c r="IOJ71" s="122"/>
      <c r="IOK71" s="122"/>
      <c r="IOL71" s="122"/>
      <c r="IOM71" s="122"/>
      <c r="ION71" s="122"/>
      <c r="IOO71" s="122"/>
      <c r="IOP71" s="122"/>
      <c r="IOQ71" s="122"/>
      <c r="IOR71" s="122"/>
      <c r="IOS71" s="122"/>
      <c r="IOT71" s="122"/>
      <c r="IOU71" s="122"/>
      <c r="IOV71" s="122"/>
      <c r="IOW71" s="122"/>
      <c r="IOX71" s="122"/>
      <c r="IOY71" s="122"/>
      <c r="IOZ71" s="122"/>
      <c r="IPA71" s="122"/>
      <c r="IPB71" s="122"/>
      <c r="IPC71" s="122"/>
      <c r="IPD71" s="122"/>
      <c r="IPE71" s="122"/>
      <c r="IPF71" s="122"/>
      <c r="IPG71" s="122"/>
      <c r="IPH71" s="122"/>
      <c r="IPI71" s="122"/>
      <c r="IPJ71" s="122"/>
      <c r="IPK71" s="122"/>
      <c r="IPL71" s="122"/>
      <c r="IPM71" s="122"/>
      <c r="IPN71" s="122"/>
      <c r="IPO71" s="122"/>
      <c r="IPP71" s="122"/>
      <c r="IPQ71" s="122"/>
      <c r="IPR71" s="122"/>
      <c r="IPS71" s="122"/>
      <c r="IPT71" s="122"/>
      <c r="IPU71" s="122"/>
      <c r="IPV71" s="122"/>
      <c r="IPW71" s="122"/>
      <c r="IPX71" s="122"/>
      <c r="IPY71" s="122"/>
      <c r="IPZ71" s="122"/>
      <c r="IQA71" s="122"/>
      <c r="IQB71" s="122"/>
      <c r="IQC71" s="122"/>
      <c r="IQD71" s="122"/>
      <c r="IQE71" s="122"/>
      <c r="IQF71" s="122"/>
      <c r="IQG71" s="122"/>
      <c r="IQH71" s="122"/>
      <c r="IQI71" s="122"/>
      <c r="IQJ71" s="122"/>
      <c r="IQK71" s="122"/>
      <c r="IQL71" s="122"/>
      <c r="IQM71" s="122"/>
      <c r="IQN71" s="122"/>
      <c r="IQO71" s="122"/>
      <c r="IQP71" s="122"/>
      <c r="IQQ71" s="122"/>
      <c r="IQR71" s="122"/>
      <c r="IQS71" s="122"/>
      <c r="IQT71" s="122"/>
      <c r="IQU71" s="122"/>
      <c r="IQV71" s="122"/>
      <c r="IQW71" s="122"/>
      <c r="IQX71" s="122"/>
      <c r="IQY71" s="122"/>
      <c r="IQZ71" s="122"/>
      <c r="IRA71" s="122"/>
      <c r="IRB71" s="122"/>
      <c r="IRC71" s="122"/>
      <c r="IRD71" s="122"/>
      <c r="IRE71" s="122"/>
      <c r="IRF71" s="122"/>
      <c r="IRG71" s="122"/>
      <c r="IRH71" s="122"/>
      <c r="IRI71" s="122"/>
      <c r="IRJ71" s="122"/>
      <c r="IRK71" s="122"/>
      <c r="IRL71" s="122"/>
      <c r="IRM71" s="122"/>
      <c r="IRN71" s="122"/>
      <c r="IRO71" s="122"/>
      <c r="IRP71" s="122"/>
      <c r="IRQ71" s="122"/>
      <c r="IRR71" s="122"/>
      <c r="IRS71" s="122"/>
      <c r="IRT71" s="122"/>
      <c r="IRU71" s="122"/>
      <c r="IRV71" s="122"/>
      <c r="IRW71" s="122"/>
      <c r="IRX71" s="122"/>
      <c r="IRY71" s="122"/>
      <c r="IRZ71" s="122"/>
      <c r="ISA71" s="122"/>
      <c r="ISB71" s="122"/>
      <c r="ISC71" s="122"/>
      <c r="ISD71" s="122"/>
      <c r="ISE71" s="122"/>
      <c r="ISF71" s="122"/>
      <c r="ISG71" s="122"/>
      <c r="ISH71" s="122"/>
      <c r="ISI71" s="122"/>
      <c r="ISJ71" s="122"/>
      <c r="ISK71" s="122"/>
      <c r="ISL71" s="122"/>
      <c r="ISM71" s="122"/>
      <c r="ISN71" s="122"/>
      <c r="ISO71" s="122"/>
      <c r="ISP71" s="122"/>
      <c r="ISQ71" s="122"/>
      <c r="ISR71" s="122"/>
      <c r="ISS71" s="122"/>
      <c r="IST71" s="122"/>
      <c r="ISU71" s="122"/>
      <c r="ISV71" s="122"/>
      <c r="ISW71" s="122"/>
      <c r="ISX71" s="122"/>
      <c r="ISY71" s="122"/>
      <c r="ISZ71" s="122"/>
      <c r="ITA71" s="122"/>
      <c r="ITB71" s="122"/>
      <c r="ITC71" s="122"/>
      <c r="ITD71" s="122"/>
      <c r="ITE71" s="122"/>
      <c r="ITF71" s="122"/>
      <c r="ITG71" s="122"/>
      <c r="ITH71" s="122"/>
      <c r="ITI71" s="122"/>
      <c r="ITJ71" s="122"/>
      <c r="ITK71" s="122"/>
      <c r="ITL71" s="122"/>
      <c r="ITM71" s="122"/>
      <c r="ITN71" s="122"/>
      <c r="ITO71" s="122"/>
      <c r="ITP71" s="122"/>
      <c r="ITQ71" s="122"/>
      <c r="ITR71" s="122"/>
      <c r="ITS71" s="122"/>
      <c r="ITT71" s="122"/>
      <c r="ITU71" s="122"/>
      <c r="ITV71" s="122"/>
      <c r="ITW71" s="122"/>
      <c r="ITX71" s="122"/>
      <c r="ITY71" s="122"/>
      <c r="ITZ71" s="122"/>
      <c r="IUA71" s="122"/>
      <c r="IUB71" s="122"/>
      <c r="IUC71" s="122"/>
      <c r="IUD71" s="122"/>
      <c r="IUE71" s="122"/>
      <c r="IUF71" s="122"/>
      <c r="IUG71" s="122"/>
      <c r="IUH71" s="122"/>
      <c r="IUI71" s="122"/>
      <c r="IUJ71" s="122"/>
      <c r="IUK71" s="122"/>
      <c r="IUL71" s="122"/>
      <c r="IUM71" s="122"/>
      <c r="IUN71" s="122"/>
      <c r="IUO71" s="122"/>
      <c r="IUP71" s="122"/>
      <c r="IUQ71" s="122"/>
      <c r="IUR71" s="122"/>
      <c r="IUS71" s="122"/>
      <c r="IUT71" s="122"/>
      <c r="IUU71" s="122"/>
      <c r="IUV71" s="122"/>
      <c r="IUW71" s="122"/>
      <c r="IUX71" s="122"/>
      <c r="IUY71" s="122"/>
      <c r="IUZ71" s="122"/>
      <c r="IVA71" s="122"/>
      <c r="IVB71" s="122"/>
      <c r="IVC71" s="122"/>
      <c r="IVD71" s="122"/>
      <c r="IVE71" s="122"/>
      <c r="IVF71" s="122"/>
      <c r="IVG71" s="122"/>
      <c r="IVH71" s="122"/>
      <c r="IVI71" s="122"/>
      <c r="IVJ71" s="122"/>
      <c r="IVK71" s="122"/>
      <c r="IVL71" s="122"/>
      <c r="IVM71" s="122"/>
      <c r="IVN71" s="122"/>
      <c r="IVO71" s="122"/>
      <c r="IVP71" s="122"/>
      <c r="IVQ71" s="122"/>
      <c r="IVR71" s="122"/>
      <c r="IVS71" s="122"/>
      <c r="IVT71" s="122"/>
      <c r="IVU71" s="122"/>
      <c r="IVV71" s="122"/>
      <c r="IVW71" s="122"/>
      <c r="IVX71" s="122"/>
      <c r="IVY71" s="122"/>
      <c r="IVZ71" s="122"/>
      <c r="IWA71" s="122"/>
      <c r="IWB71" s="122"/>
      <c r="IWC71" s="122"/>
      <c r="IWD71" s="122"/>
      <c r="IWE71" s="122"/>
      <c r="IWF71" s="122"/>
      <c r="IWG71" s="122"/>
      <c r="IWH71" s="122"/>
      <c r="IWI71" s="122"/>
      <c r="IWJ71" s="122"/>
      <c r="IWK71" s="122"/>
      <c r="IWL71" s="122"/>
      <c r="IWM71" s="122"/>
      <c r="IWN71" s="122"/>
      <c r="IWO71" s="122"/>
      <c r="IWP71" s="122"/>
      <c r="IWQ71" s="122"/>
      <c r="IWR71" s="122"/>
      <c r="IWS71" s="122"/>
      <c r="IWT71" s="122"/>
      <c r="IWU71" s="122"/>
      <c r="IWV71" s="122"/>
      <c r="IWW71" s="122"/>
      <c r="IWX71" s="122"/>
      <c r="IWY71" s="122"/>
      <c r="IWZ71" s="122"/>
      <c r="IXA71" s="122"/>
      <c r="IXB71" s="122"/>
      <c r="IXC71" s="122"/>
      <c r="IXD71" s="122"/>
      <c r="IXE71" s="122"/>
      <c r="IXF71" s="122"/>
      <c r="IXG71" s="122"/>
      <c r="IXH71" s="122"/>
      <c r="IXI71" s="122"/>
      <c r="IXJ71" s="122"/>
      <c r="IXK71" s="122"/>
      <c r="IXL71" s="122"/>
      <c r="IXM71" s="122"/>
      <c r="IXN71" s="122"/>
      <c r="IXO71" s="122"/>
      <c r="IXP71" s="122"/>
      <c r="IXQ71" s="122"/>
      <c r="IXR71" s="122"/>
      <c r="IXS71" s="122"/>
      <c r="IXT71" s="122"/>
      <c r="IXU71" s="122"/>
      <c r="IXV71" s="122"/>
      <c r="IXW71" s="122"/>
      <c r="IXX71" s="122"/>
      <c r="IXY71" s="122"/>
      <c r="IXZ71" s="122"/>
      <c r="IYA71" s="122"/>
      <c r="IYB71" s="122"/>
      <c r="IYC71" s="122"/>
      <c r="IYD71" s="122"/>
      <c r="IYE71" s="122"/>
      <c r="IYF71" s="122"/>
      <c r="IYG71" s="122"/>
      <c r="IYH71" s="122"/>
      <c r="IYI71" s="122"/>
      <c r="IYJ71" s="122"/>
      <c r="IYK71" s="122"/>
      <c r="IYL71" s="122"/>
      <c r="IYM71" s="122"/>
      <c r="IYN71" s="122"/>
      <c r="IYO71" s="122"/>
      <c r="IYP71" s="122"/>
      <c r="IYQ71" s="122"/>
      <c r="IYR71" s="122"/>
      <c r="IYS71" s="122"/>
      <c r="IYT71" s="122"/>
      <c r="IYU71" s="122"/>
      <c r="IYV71" s="122"/>
      <c r="IYW71" s="122"/>
      <c r="IYX71" s="122"/>
      <c r="IYY71" s="122"/>
      <c r="IYZ71" s="122"/>
      <c r="IZA71" s="122"/>
      <c r="IZB71" s="122"/>
      <c r="IZC71" s="122"/>
      <c r="IZD71" s="122"/>
      <c r="IZE71" s="122"/>
      <c r="IZF71" s="122"/>
      <c r="IZG71" s="122"/>
      <c r="IZH71" s="122"/>
      <c r="IZI71" s="122"/>
      <c r="IZJ71" s="122"/>
      <c r="IZK71" s="122"/>
      <c r="IZL71" s="122"/>
      <c r="IZM71" s="122"/>
      <c r="IZN71" s="122"/>
      <c r="IZO71" s="122"/>
      <c r="IZP71" s="122"/>
      <c r="IZQ71" s="122"/>
      <c r="IZR71" s="122"/>
      <c r="IZS71" s="122"/>
      <c r="IZT71" s="122"/>
      <c r="IZU71" s="122"/>
      <c r="IZV71" s="122"/>
      <c r="IZW71" s="122"/>
      <c r="IZX71" s="122"/>
      <c r="IZY71" s="122"/>
      <c r="IZZ71" s="122"/>
      <c r="JAA71" s="122"/>
      <c r="JAB71" s="122"/>
      <c r="JAC71" s="122"/>
      <c r="JAD71" s="122"/>
      <c r="JAE71" s="122"/>
      <c r="JAF71" s="122"/>
      <c r="JAG71" s="122"/>
      <c r="JAH71" s="122"/>
      <c r="JAI71" s="122"/>
      <c r="JAJ71" s="122"/>
      <c r="JAK71" s="122"/>
      <c r="JAL71" s="122"/>
      <c r="JAM71" s="122"/>
      <c r="JAN71" s="122"/>
      <c r="JAO71" s="122"/>
      <c r="JAP71" s="122"/>
      <c r="JAQ71" s="122"/>
      <c r="JAR71" s="122"/>
      <c r="JAS71" s="122"/>
      <c r="JAT71" s="122"/>
      <c r="JAU71" s="122"/>
      <c r="JAV71" s="122"/>
      <c r="JAW71" s="122"/>
      <c r="JAX71" s="122"/>
      <c r="JAY71" s="122"/>
      <c r="JAZ71" s="122"/>
      <c r="JBA71" s="122"/>
      <c r="JBB71" s="122"/>
      <c r="JBC71" s="122"/>
      <c r="JBD71" s="122"/>
      <c r="JBE71" s="122"/>
      <c r="JBF71" s="122"/>
      <c r="JBG71" s="122"/>
      <c r="JBH71" s="122"/>
      <c r="JBI71" s="122"/>
      <c r="JBJ71" s="122"/>
      <c r="JBK71" s="122"/>
      <c r="JBL71" s="122"/>
      <c r="JBM71" s="122"/>
      <c r="JBN71" s="122"/>
      <c r="JBO71" s="122"/>
      <c r="JBP71" s="122"/>
      <c r="JBQ71" s="122"/>
      <c r="JBR71" s="122"/>
      <c r="JBS71" s="122"/>
      <c r="JBT71" s="122"/>
      <c r="JBU71" s="122"/>
      <c r="JBV71" s="122"/>
      <c r="JBW71" s="122"/>
      <c r="JBX71" s="122"/>
      <c r="JBY71" s="122"/>
      <c r="JBZ71" s="122"/>
      <c r="JCA71" s="122"/>
      <c r="JCB71" s="122"/>
      <c r="JCC71" s="122"/>
      <c r="JCD71" s="122"/>
      <c r="JCE71" s="122"/>
      <c r="JCF71" s="122"/>
      <c r="JCG71" s="122"/>
      <c r="JCH71" s="122"/>
      <c r="JCI71" s="122"/>
      <c r="JCJ71" s="122"/>
      <c r="JCK71" s="122"/>
      <c r="JCL71" s="122"/>
      <c r="JCM71" s="122"/>
      <c r="JCN71" s="122"/>
      <c r="JCO71" s="122"/>
      <c r="JCP71" s="122"/>
      <c r="JCQ71" s="122"/>
      <c r="JCR71" s="122"/>
      <c r="JCS71" s="122"/>
      <c r="JCT71" s="122"/>
      <c r="JCU71" s="122"/>
      <c r="JCV71" s="122"/>
      <c r="JCW71" s="122"/>
      <c r="JCX71" s="122"/>
      <c r="JCY71" s="122"/>
      <c r="JCZ71" s="122"/>
      <c r="JDA71" s="122"/>
      <c r="JDB71" s="122"/>
      <c r="JDC71" s="122"/>
      <c r="JDD71" s="122"/>
      <c r="JDE71" s="122"/>
      <c r="JDF71" s="122"/>
      <c r="JDG71" s="122"/>
      <c r="JDH71" s="122"/>
      <c r="JDI71" s="122"/>
      <c r="JDJ71" s="122"/>
      <c r="JDK71" s="122"/>
      <c r="JDL71" s="122"/>
      <c r="JDM71" s="122"/>
      <c r="JDN71" s="122"/>
      <c r="JDO71" s="122"/>
      <c r="JDP71" s="122"/>
      <c r="JDQ71" s="122"/>
      <c r="JDR71" s="122"/>
      <c r="JDS71" s="122"/>
      <c r="JDT71" s="122"/>
      <c r="JDU71" s="122"/>
      <c r="JDV71" s="122"/>
      <c r="JDW71" s="122"/>
      <c r="JDX71" s="122"/>
      <c r="JDY71" s="122"/>
      <c r="JDZ71" s="122"/>
      <c r="JEA71" s="122"/>
      <c r="JEB71" s="122"/>
      <c r="JEC71" s="122"/>
      <c r="JED71" s="122"/>
      <c r="JEE71" s="122"/>
      <c r="JEF71" s="122"/>
      <c r="JEG71" s="122"/>
      <c r="JEH71" s="122"/>
      <c r="JEI71" s="122"/>
      <c r="JEJ71" s="122"/>
      <c r="JEK71" s="122"/>
      <c r="JEL71" s="122"/>
      <c r="JEM71" s="122"/>
      <c r="JEN71" s="122"/>
      <c r="JEO71" s="122"/>
      <c r="JEP71" s="122"/>
      <c r="JEQ71" s="122"/>
      <c r="JER71" s="122"/>
      <c r="JES71" s="122"/>
      <c r="JET71" s="122"/>
      <c r="JEU71" s="122"/>
      <c r="JEV71" s="122"/>
      <c r="JEW71" s="122"/>
      <c r="JEX71" s="122"/>
      <c r="JEY71" s="122"/>
      <c r="JEZ71" s="122"/>
      <c r="JFA71" s="122"/>
      <c r="JFB71" s="122"/>
      <c r="JFC71" s="122"/>
      <c r="JFD71" s="122"/>
      <c r="JFE71" s="122"/>
      <c r="JFF71" s="122"/>
      <c r="JFG71" s="122"/>
      <c r="JFH71" s="122"/>
      <c r="JFI71" s="122"/>
      <c r="JFJ71" s="122"/>
      <c r="JFK71" s="122"/>
      <c r="JFL71" s="122"/>
      <c r="JFM71" s="122"/>
      <c r="JFN71" s="122"/>
      <c r="JFO71" s="122"/>
      <c r="JFP71" s="122"/>
      <c r="JFQ71" s="122"/>
      <c r="JFR71" s="122"/>
      <c r="JFS71" s="122"/>
      <c r="JFT71" s="122"/>
      <c r="JFU71" s="122"/>
      <c r="JFV71" s="122"/>
      <c r="JFW71" s="122"/>
      <c r="JFX71" s="122"/>
      <c r="JFY71" s="122"/>
      <c r="JFZ71" s="122"/>
      <c r="JGA71" s="122"/>
      <c r="JGB71" s="122"/>
      <c r="JGC71" s="122"/>
      <c r="JGD71" s="122"/>
      <c r="JGE71" s="122"/>
      <c r="JGF71" s="122"/>
      <c r="JGG71" s="122"/>
      <c r="JGH71" s="122"/>
      <c r="JGI71" s="122"/>
      <c r="JGJ71" s="122"/>
      <c r="JGK71" s="122"/>
      <c r="JGL71" s="122"/>
      <c r="JGM71" s="122"/>
      <c r="JGN71" s="122"/>
      <c r="JGO71" s="122"/>
      <c r="JGP71" s="122"/>
      <c r="JGQ71" s="122"/>
      <c r="JGR71" s="122"/>
      <c r="JGS71" s="122"/>
      <c r="JGT71" s="122"/>
      <c r="JGU71" s="122"/>
      <c r="JGV71" s="122"/>
      <c r="JGW71" s="122"/>
      <c r="JGX71" s="122"/>
      <c r="JGY71" s="122"/>
      <c r="JGZ71" s="122"/>
      <c r="JHA71" s="122"/>
      <c r="JHB71" s="122"/>
      <c r="JHC71" s="122"/>
      <c r="JHD71" s="122"/>
      <c r="JHE71" s="122"/>
      <c r="JHF71" s="122"/>
      <c r="JHG71" s="122"/>
      <c r="JHH71" s="122"/>
      <c r="JHI71" s="122"/>
      <c r="JHJ71" s="122"/>
      <c r="JHK71" s="122"/>
      <c r="JHL71" s="122"/>
      <c r="JHM71" s="122"/>
      <c r="JHN71" s="122"/>
      <c r="JHO71" s="122"/>
      <c r="JHP71" s="122"/>
      <c r="JHQ71" s="122"/>
      <c r="JHR71" s="122"/>
      <c r="JHS71" s="122"/>
      <c r="JHT71" s="122"/>
      <c r="JHU71" s="122"/>
      <c r="JHV71" s="122"/>
      <c r="JHW71" s="122"/>
      <c r="JHX71" s="122"/>
      <c r="JHY71" s="122"/>
      <c r="JHZ71" s="122"/>
      <c r="JIA71" s="122"/>
      <c r="JIB71" s="122"/>
      <c r="JIC71" s="122"/>
      <c r="JID71" s="122"/>
      <c r="JIE71" s="122"/>
      <c r="JIF71" s="122"/>
      <c r="JIG71" s="122"/>
      <c r="JIH71" s="122"/>
      <c r="JII71" s="122"/>
      <c r="JIJ71" s="122"/>
      <c r="JIK71" s="122"/>
      <c r="JIL71" s="122"/>
      <c r="JIM71" s="122"/>
      <c r="JIN71" s="122"/>
      <c r="JIO71" s="122"/>
      <c r="JIP71" s="122"/>
      <c r="JIQ71" s="122"/>
      <c r="JIR71" s="122"/>
      <c r="JIS71" s="122"/>
      <c r="JIT71" s="122"/>
      <c r="JIU71" s="122"/>
      <c r="JIV71" s="122"/>
      <c r="JIW71" s="122"/>
      <c r="JIX71" s="122"/>
      <c r="JIY71" s="122"/>
      <c r="JIZ71" s="122"/>
      <c r="JJA71" s="122"/>
      <c r="JJB71" s="122"/>
      <c r="JJC71" s="122"/>
      <c r="JJD71" s="122"/>
      <c r="JJE71" s="122"/>
      <c r="JJF71" s="122"/>
      <c r="JJG71" s="122"/>
      <c r="JJH71" s="122"/>
      <c r="JJI71" s="122"/>
      <c r="JJJ71" s="122"/>
      <c r="JJK71" s="122"/>
      <c r="JJL71" s="122"/>
      <c r="JJM71" s="122"/>
      <c r="JJN71" s="122"/>
      <c r="JJO71" s="122"/>
      <c r="JJP71" s="122"/>
      <c r="JJQ71" s="122"/>
      <c r="JJR71" s="122"/>
      <c r="JJS71" s="122"/>
      <c r="JJT71" s="122"/>
      <c r="JJU71" s="122"/>
      <c r="JJV71" s="122"/>
      <c r="JJW71" s="122"/>
      <c r="JJX71" s="122"/>
      <c r="JJY71" s="122"/>
      <c r="JJZ71" s="122"/>
      <c r="JKA71" s="122"/>
      <c r="JKB71" s="122"/>
      <c r="JKC71" s="122"/>
      <c r="JKD71" s="122"/>
      <c r="JKE71" s="122"/>
      <c r="JKF71" s="122"/>
      <c r="JKG71" s="122"/>
      <c r="JKH71" s="122"/>
      <c r="JKI71" s="122"/>
      <c r="JKJ71" s="122"/>
      <c r="JKK71" s="122"/>
      <c r="JKL71" s="122"/>
      <c r="JKM71" s="122"/>
      <c r="JKN71" s="122"/>
      <c r="JKO71" s="122"/>
      <c r="JKP71" s="122"/>
      <c r="JKQ71" s="122"/>
      <c r="JKR71" s="122"/>
      <c r="JKS71" s="122"/>
      <c r="JKT71" s="122"/>
      <c r="JKU71" s="122"/>
      <c r="JKV71" s="122"/>
      <c r="JKW71" s="122"/>
      <c r="JKX71" s="122"/>
      <c r="JKY71" s="122"/>
      <c r="JKZ71" s="122"/>
      <c r="JLA71" s="122"/>
      <c r="JLB71" s="122"/>
      <c r="JLC71" s="122"/>
      <c r="JLD71" s="122"/>
      <c r="JLE71" s="122"/>
      <c r="JLF71" s="122"/>
      <c r="JLG71" s="122"/>
      <c r="JLH71" s="122"/>
      <c r="JLI71" s="122"/>
      <c r="JLJ71" s="122"/>
      <c r="JLK71" s="122"/>
      <c r="JLL71" s="122"/>
      <c r="JLM71" s="122"/>
      <c r="JLN71" s="122"/>
      <c r="JLO71" s="122"/>
      <c r="JLP71" s="122"/>
      <c r="JLQ71" s="122"/>
      <c r="JLR71" s="122"/>
      <c r="JLS71" s="122"/>
      <c r="JLT71" s="122"/>
      <c r="JLU71" s="122"/>
      <c r="JLV71" s="122"/>
      <c r="JLW71" s="122"/>
      <c r="JLX71" s="122"/>
      <c r="JLY71" s="122"/>
      <c r="JLZ71" s="122"/>
      <c r="JMA71" s="122"/>
      <c r="JMB71" s="122"/>
      <c r="JMC71" s="122"/>
      <c r="JMD71" s="122"/>
      <c r="JME71" s="122"/>
      <c r="JMF71" s="122"/>
      <c r="JMG71" s="122"/>
      <c r="JMH71" s="122"/>
      <c r="JMI71" s="122"/>
      <c r="JMJ71" s="122"/>
      <c r="JMK71" s="122"/>
      <c r="JML71" s="122"/>
      <c r="JMM71" s="122"/>
      <c r="JMN71" s="122"/>
      <c r="JMO71" s="122"/>
      <c r="JMP71" s="122"/>
      <c r="JMQ71" s="122"/>
      <c r="JMR71" s="122"/>
      <c r="JMS71" s="122"/>
      <c r="JMT71" s="122"/>
      <c r="JMU71" s="122"/>
      <c r="JMV71" s="122"/>
      <c r="JMW71" s="122"/>
      <c r="JMX71" s="122"/>
      <c r="JMY71" s="122"/>
      <c r="JMZ71" s="122"/>
      <c r="JNA71" s="122"/>
      <c r="JNB71" s="122"/>
      <c r="JNC71" s="122"/>
      <c r="JND71" s="122"/>
      <c r="JNE71" s="122"/>
      <c r="JNF71" s="122"/>
      <c r="JNG71" s="122"/>
      <c r="JNH71" s="122"/>
      <c r="JNI71" s="122"/>
      <c r="JNJ71" s="122"/>
      <c r="JNK71" s="122"/>
      <c r="JNL71" s="122"/>
      <c r="JNM71" s="122"/>
      <c r="JNN71" s="122"/>
      <c r="JNO71" s="122"/>
      <c r="JNP71" s="122"/>
      <c r="JNQ71" s="122"/>
      <c r="JNR71" s="122"/>
      <c r="JNS71" s="122"/>
      <c r="JNT71" s="122"/>
      <c r="JNU71" s="122"/>
      <c r="JNV71" s="122"/>
      <c r="JNW71" s="122"/>
      <c r="JNX71" s="122"/>
      <c r="JNY71" s="122"/>
      <c r="JNZ71" s="122"/>
      <c r="JOA71" s="122"/>
      <c r="JOB71" s="122"/>
      <c r="JOC71" s="122"/>
      <c r="JOD71" s="122"/>
      <c r="JOE71" s="122"/>
      <c r="JOF71" s="122"/>
      <c r="JOG71" s="122"/>
      <c r="JOH71" s="122"/>
      <c r="JOI71" s="122"/>
      <c r="JOJ71" s="122"/>
      <c r="JOK71" s="122"/>
      <c r="JOL71" s="122"/>
      <c r="JOM71" s="122"/>
      <c r="JON71" s="122"/>
      <c r="JOO71" s="122"/>
      <c r="JOP71" s="122"/>
      <c r="JOQ71" s="122"/>
      <c r="JOR71" s="122"/>
      <c r="JOS71" s="122"/>
      <c r="JOT71" s="122"/>
      <c r="JOU71" s="122"/>
      <c r="JOV71" s="122"/>
      <c r="JOW71" s="122"/>
      <c r="JOX71" s="122"/>
      <c r="JOY71" s="122"/>
      <c r="JOZ71" s="122"/>
      <c r="JPA71" s="122"/>
      <c r="JPB71" s="122"/>
      <c r="JPC71" s="122"/>
      <c r="JPD71" s="122"/>
      <c r="JPE71" s="122"/>
      <c r="JPF71" s="122"/>
      <c r="JPG71" s="122"/>
      <c r="JPH71" s="122"/>
      <c r="JPI71" s="122"/>
      <c r="JPJ71" s="122"/>
      <c r="JPK71" s="122"/>
      <c r="JPL71" s="122"/>
      <c r="JPM71" s="122"/>
      <c r="JPN71" s="122"/>
      <c r="JPO71" s="122"/>
      <c r="JPP71" s="122"/>
      <c r="JPQ71" s="122"/>
      <c r="JPR71" s="122"/>
      <c r="JPS71" s="122"/>
      <c r="JPT71" s="122"/>
      <c r="JPU71" s="122"/>
      <c r="JPV71" s="122"/>
      <c r="JPW71" s="122"/>
      <c r="JPX71" s="122"/>
      <c r="JPY71" s="122"/>
      <c r="JPZ71" s="122"/>
      <c r="JQA71" s="122"/>
      <c r="JQB71" s="122"/>
      <c r="JQC71" s="122"/>
      <c r="JQD71" s="122"/>
      <c r="JQE71" s="122"/>
      <c r="JQF71" s="122"/>
      <c r="JQG71" s="122"/>
      <c r="JQH71" s="122"/>
      <c r="JQI71" s="122"/>
      <c r="JQJ71" s="122"/>
      <c r="JQK71" s="122"/>
      <c r="JQL71" s="122"/>
      <c r="JQM71" s="122"/>
      <c r="JQN71" s="122"/>
      <c r="JQO71" s="122"/>
      <c r="JQP71" s="122"/>
      <c r="JQQ71" s="122"/>
      <c r="JQR71" s="122"/>
      <c r="JQS71" s="122"/>
      <c r="JQT71" s="122"/>
      <c r="JQU71" s="122"/>
      <c r="JQV71" s="122"/>
      <c r="JQW71" s="122"/>
      <c r="JQX71" s="122"/>
      <c r="JQY71" s="122"/>
      <c r="JQZ71" s="122"/>
      <c r="JRA71" s="122"/>
      <c r="JRB71" s="122"/>
      <c r="JRC71" s="122"/>
      <c r="JRD71" s="122"/>
      <c r="JRE71" s="122"/>
      <c r="JRF71" s="122"/>
      <c r="JRG71" s="122"/>
      <c r="JRH71" s="122"/>
      <c r="JRI71" s="122"/>
      <c r="JRJ71" s="122"/>
      <c r="JRK71" s="122"/>
      <c r="JRL71" s="122"/>
      <c r="JRM71" s="122"/>
      <c r="JRN71" s="122"/>
      <c r="JRO71" s="122"/>
      <c r="JRP71" s="122"/>
      <c r="JRQ71" s="122"/>
      <c r="JRR71" s="122"/>
      <c r="JRS71" s="122"/>
      <c r="JRT71" s="122"/>
      <c r="JRU71" s="122"/>
      <c r="JRV71" s="122"/>
      <c r="JRW71" s="122"/>
      <c r="JRX71" s="122"/>
      <c r="JRY71" s="122"/>
      <c r="JRZ71" s="122"/>
      <c r="JSA71" s="122"/>
      <c r="JSB71" s="122"/>
      <c r="JSC71" s="122"/>
      <c r="JSD71" s="122"/>
      <c r="JSE71" s="122"/>
      <c r="JSF71" s="122"/>
      <c r="JSG71" s="122"/>
      <c r="JSH71" s="122"/>
      <c r="JSI71" s="122"/>
      <c r="JSJ71" s="122"/>
      <c r="JSK71" s="122"/>
      <c r="JSL71" s="122"/>
      <c r="JSM71" s="122"/>
      <c r="JSN71" s="122"/>
      <c r="JSO71" s="122"/>
      <c r="JSP71" s="122"/>
      <c r="JSQ71" s="122"/>
      <c r="JSR71" s="122"/>
      <c r="JSS71" s="122"/>
      <c r="JST71" s="122"/>
      <c r="JSU71" s="122"/>
      <c r="JSV71" s="122"/>
      <c r="JSW71" s="122"/>
      <c r="JSX71" s="122"/>
      <c r="JSY71" s="122"/>
      <c r="JSZ71" s="122"/>
      <c r="JTA71" s="122"/>
      <c r="JTB71" s="122"/>
      <c r="JTC71" s="122"/>
      <c r="JTD71" s="122"/>
      <c r="JTE71" s="122"/>
      <c r="JTF71" s="122"/>
      <c r="JTG71" s="122"/>
      <c r="JTH71" s="122"/>
      <c r="JTI71" s="122"/>
      <c r="JTJ71" s="122"/>
      <c r="JTK71" s="122"/>
      <c r="JTL71" s="122"/>
      <c r="JTM71" s="122"/>
      <c r="JTN71" s="122"/>
      <c r="JTO71" s="122"/>
      <c r="JTP71" s="122"/>
      <c r="JTQ71" s="122"/>
      <c r="JTR71" s="122"/>
      <c r="JTS71" s="122"/>
      <c r="JTT71" s="122"/>
      <c r="JTU71" s="122"/>
      <c r="JTV71" s="122"/>
      <c r="JTW71" s="122"/>
      <c r="JTX71" s="122"/>
      <c r="JTY71" s="122"/>
      <c r="JTZ71" s="122"/>
      <c r="JUA71" s="122"/>
      <c r="JUB71" s="122"/>
      <c r="JUC71" s="122"/>
      <c r="JUD71" s="122"/>
      <c r="JUE71" s="122"/>
      <c r="JUF71" s="122"/>
      <c r="JUG71" s="122"/>
      <c r="JUH71" s="122"/>
      <c r="JUI71" s="122"/>
      <c r="JUJ71" s="122"/>
      <c r="JUK71" s="122"/>
      <c r="JUL71" s="122"/>
      <c r="JUM71" s="122"/>
      <c r="JUN71" s="122"/>
      <c r="JUO71" s="122"/>
      <c r="JUP71" s="122"/>
      <c r="JUQ71" s="122"/>
      <c r="JUR71" s="122"/>
      <c r="JUS71" s="122"/>
      <c r="JUT71" s="122"/>
      <c r="JUU71" s="122"/>
      <c r="JUV71" s="122"/>
      <c r="JUW71" s="122"/>
      <c r="JUX71" s="122"/>
      <c r="JUY71" s="122"/>
      <c r="JUZ71" s="122"/>
      <c r="JVA71" s="122"/>
      <c r="JVB71" s="122"/>
      <c r="JVC71" s="122"/>
      <c r="JVD71" s="122"/>
      <c r="JVE71" s="122"/>
      <c r="JVF71" s="122"/>
      <c r="JVG71" s="122"/>
      <c r="JVH71" s="122"/>
      <c r="JVI71" s="122"/>
      <c r="JVJ71" s="122"/>
      <c r="JVK71" s="122"/>
      <c r="JVL71" s="122"/>
      <c r="JVM71" s="122"/>
      <c r="JVN71" s="122"/>
      <c r="JVO71" s="122"/>
      <c r="JVP71" s="122"/>
      <c r="JVQ71" s="122"/>
      <c r="JVR71" s="122"/>
      <c r="JVS71" s="122"/>
      <c r="JVT71" s="122"/>
      <c r="JVU71" s="122"/>
      <c r="JVV71" s="122"/>
      <c r="JVW71" s="122"/>
      <c r="JVX71" s="122"/>
      <c r="JVY71" s="122"/>
      <c r="JVZ71" s="122"/>
      <c r="JWA71" s="122"/>
      <c r="JWB71" s="122"/>
      <c r="JWC71" s="122"/>
      <c r="JWD71" s="122"/>
      <c r="JWE71" s="122"/>
      <c r="JWF71" s="122"/>
      <c r="JWG71" s="122"/>
      <c r="JWH71" s="122"/>
      <c r="JWI71" s="122"/>
      <c r="JWJ71" s="122"/>
      <c r="JWK71" s="122"/>
      <c r="JWL71" s="122"/>
      <c r="JWM71" s="122"/>
      <c r="JWN71" s="122"/>
      <c r="JWO71" s="122"/>
      <c r="JWP71" s="122"/>
      <c r="JWQ71" s="122"/>
      <c r="JWR71" s="122"/>
      <c r="JWS71" s="122"/>
      <c r="JWT71" s="122"/>
      <c r="JWU71" s="122"/>
      <c r="JWV71" s="122"/>
      <c r="JWW71" s="122"/>
      <c r="JWX71" s="122"/>
      <c r="JWY71" s="122"/>
      <c r="JWZ71" s="122"/>
      <c r="JXA71" s="122"/>
      <c r="JXB71" s="122"/>
      <c r="JXC71" s="122"/>
      <c r="JXD71" s="122"/>
      <c r="JXE71" s="122"/>
      <c r="JXF71" s="122"/>
      <c r="JXG71" s="122"/>
      <c r="JXH71" s="122"/>
      <c r="JXI71" s="122"/>
      <c r="JXJ71" s="122"/>
      <c r="JXK71" s="122"/>
      <c r="JXL71" s="122"/>
      <c r="JXM71" s="122"/>
      <c r="JXN71" s="122"/>
      <c r="JXO71" s="122"/>
      <c r="JXP71" s="122"/>
      <c r="JXQ71" s="122"/>
      <c r="JXR71" s="122"/>
      <c r="JXS71" s="122"/>
      <c r="JXT71" s="122"/>
      <c r="JXU71" s="122"/>
      <c r="JXV71" s="122"/>
      <c r="JXW71" s="122"/>
      <c r="JXX71" s="122"/>
      <c r="JXY71" s="122"/>
      <c r="JXZ71" s="122"/>
      <c r="JYA71" s="122"/>
      <c r="JYB71" s="122"/>
      <c r="JYC71" s="122"/>
      <c r="JYD71" s="122"/>
      <c r="JYE71" s="122"/>
      <c r="JYF71" s="122"/>
      <c r="JYG71" s="122"/>
      <c r="JYH71" s="122"/>
      <c r="JYI71" s="122"/>
      <c r="JYJ71" s="122"/>
      <c r="JYK71" s="122"/>
      <c r="JYL71" s="122"/>
      <c r="JYM71" s="122"/>
      <c r="JYN71" s="122"/>
      <c r="JYO71" s="122"/>
      <c r="JYP71" s="122"/>
      <c r="JYQ71" s="122"/>
      <c r="JYR71" s="122"/>
      <c r="JYS71" s="122"/>
      <c r="JYT71" s="122"/>
      <c r="JYU71" s="122"/>
      <c r="JYV71" s="122"/>
      <c r="JYW71" s="122"/>
      <c r="JYX71" s="122"/>
      <c r="JYY71" s="122"/>
      <c r="JYZ71" s="122"/>
      <c r="JZA71" s="122"/>
      <c r="JZB71" s="122"/>
      <c r="JZC71" s="122"/>
      <c r="JZD71" s="122"/>
      <c r="JZE71" s="122"/>
      <c r="JZF71" s="122"/>
      <c r="JZG71" s="122"/>
      <c r="JZH71" s="122"/>
      <c r="JZI71" s="122"/>
      <c r="JZJ71" s="122"/>
      <c r="JZK71" s="122"/>
      <c r="JZL71" s="122"/>
      <c r="JZM71" s="122"/>
      <c r="JZN71" s="122"/>
      <c r="JZO71" s="122"/>
      <c r="JZP71" s="122"/>
      <c r="JZQ71" s="122"/>
      <c r="JZR71" s="122"/>
      <c r="JZS71" s="122"/>
      <c r="JZT71" s="122"/>
      <c r="JZU71" s="122"/>
      <c r="JZV71" s="122"/>
      <c r="JZW71" s="122"/>
      <c r="JZX71" s="122"/>
      <c r="JZY71" s="122"/>
      <c r="JZZ71" s="122"/>
      <c r="KAA71" s="122"/>
      <c r="KAB71" s="122"/>
      <c r="KAC71" s="122"/>
      <c r="KAD71" s="122"/>
      <c r="KAE71" s="122"/>
      <c r="KAF71" s="122"/>
      <c r="KAG71" s="122"/>
      <c r="KAH71" s="122"/>
      <c r="KAI71" s="122"/>
      <c r="KAJ71" s="122"/>
      <c r="KAK71" s="122"/>
      <c r="KAL71" s="122"/>
      <c r="KAM71" s="122"/>
      <c r="KAN71" s="122"/>
      <c r="KAO71" s="122"/>
      <c r="KAP71" s="122"/>
      <c r="KAQ71" s="122"/>
      <c r="KAR71" s="122"/>
      <c r="KAS71" s="122"/>
      <c r="KAT71" s="122"/>
      <c r="KAU71" s="122"/>
      <c r="KAV71" s="122"/>
      <c r="KAW71" s="122"/>
      <c r="KAX71" s="122"/>
      <c r="KAY71" s="122"/>
      <c r="KAZ71" s="122"/>
      <c r="KBA71" s="122"/>
      <c r="KBB71" s="122"/>
      <c r="KBC71" s="122"/>
      <c r="KBD71" s="122"/>
      <c r="KBE71" s="122"/>
      <c r="KBF71" s="122"/>
      <c r="KBG71" s="122"/>
      <c r="KBH71" s="122"/>
      <c r="KBI71" s="122"/>
      <c r="KBJ71" s="122"/>
      <c r="KBK71" s="122"/>
      <c r="KBL71" s="122"/>
      <c r="KBM71" s="122"/>
      <c r="KBN71" s="122"/>
      <c r="KBO71" s="122"/>
      <c r="KBP71" s="122"/>
      <c r="KBQ71" s="122"/>
      <c r="KBR71" s="122"/>
      <c r="KBS71" s="122"/>
      <c r="KBT71" s="122"/>
      <c r="KBU71" s="122"/>
      <c r="KBV71" s="122"/>
      <c r="KBW71" s="122"/>
      <c r="KBX71" s="122"/>
      <c r="KBY71" s="122"/>
      <c r="KBZ71" s="122"/>
      <c r="KCA71" s="122"/>
      <c r="KCB71" s="122"/>
      <c r="KCC71" s="122"/>
      <c r="KCD71" s="122"/>
      <c r="KCE71" s="122"/>
      <c r="KCF71" s="122"/>
      <c r="KCG71" s="122"/>
      <c r="KCH71" s="122"/>
      <c r="KCI71" s="122"/>
      <c r="KCJ71" s="122"/>
      <c r="KCK71" s="122"/>
      <c r="KCL71" s="122"/>
      <c r="KCM71" s="122"/>
      <c r="KCN71" s="122"/>
      <c r="KCO71" s="122"/>
      <c r="KCP71" s="122"/>
      <c r="KCQ71" s="122"/>
      <c r="KCR71" s="122"/>
      <c r="KCS71" s="122"/>
      <c r="KCT71" s="122"/>
      <c r="KCU71" s="122"/>
      <c r="KCV71" s="122"/>
      <c r="KCW71" s="122"/>
      <c r="KCX71" s="122"/>
      <c r="KCY71" s="122"/>
      <c r="KCZ71" s="122"/>
      <c r="KDA71" s="122"/>
      <c r="KDB71" s="122"/>
      <c r="KDC71" s="122"/>
      <c r="KDD71" s="122"/>
      <c r="KDE71" s="122"/>
      <c r="KDF71" s="122"/>
      <c r="KDG71" s="122"/>
      <c r="KDH71" s="122"/>
      <c r="KDI71" s="122"/>
      <c r="KDJ71" s="122"/>
      <c r="KDK71" s="122"/>
      <c r="KDL71" s="122"/>
      <c r="KDM71" s="122"/>
      <c r="KDN71" s="122"/>
      <c r="KDO71" s="122"/>
      <c r="KDP71" s="122"/>
      <c r="KDQ71" s="122"/>
      <c r="KDR71" s="122"/>
      <c r="KDS71" s="122"/>
      <c r="KDT71" s="122"/>
      <c r="KDU71" s="122"/>
      <c r="KDV71" s="122"/>
      <c r="KDW71" s="122"/>
      <c r="KDX71" s="122"/>
      <c r="KDY71" s="122"/>
      <c r="KDZ71" s="122"/>
      <c r="KEA71" s="122"/>
      <c r="KEB71" s="122"/>
      <c r="KEC71" s="122"/>
      <c r="KED71" s="122"/>
      <c r="KEE71" s="122"/>
      <c r="KEF71" s="122"/>
      <c r="KEG71" s="122"/>
      <c r="KEH71" s="122"/>
      <c r="KEI71" s="122"/>
      <c r="KEJ71" s="122"/>
      <c r="KEK71" s="122"/>
      <c r="KEL71" s="122"/>
      <c r="KEM71" s="122"/>
      <c r="KEN71" s="122"/>
      <c r="KEO71" s="122"/>
      <c r="KEP71" s="122"/>
      <c r="KEQ71" s="122"/>
      <c r="KER71" s="122"/>
      <c r="KES71" s="122"/>
      <c r="KET71" s="122"/>
      <c r="KEU71" s="122"/>
      <c r="KEV71" s="122"/>
      <c r="KEW71" s="122"/>
      <c r="KEX71" s="122"/>
      <c r="KEY71" s="122"/>
      <c r="KEZ71" s="122"/>
      <c r="KFA71" s="122"/>
      <c r="KFB71" s="122"/>
      <c r="KFC71" s="122"/>
      <c r="KFD71" s="122"/>
      <c r="KFE71" s="122"/>
      <c r="KFF71" s="122"/>
      <c r="KFG71" s="122"/>
      <c r="KFH71" s="122"/>
      <c r="KFI71" s="122"/>
      <c r="KFJ71" s="122"/>
      <c r="KFK71" s="122"/>
      <c r="KFL71" s="122"/>
      <c r="KFM71" s="122"/>
      <c r="KFN71" s="122"/>
      <c r="KFO71" s="122"/>
      <c r="KFP71" s="122"/>
      <c r="KFQ71" s="122"/>
      <c r="KFR71" s="122"/>
      <c r="KFS71" s="122"/>
      <c r="KFT71" s="122"/>
      <c r="KFU71" s="122"/>
      <c r="KFV71" s="122"/>
      <c r="KFW71" s="122"/>
      <c r="KFX71" s="122"/>
      <c r="KFY71" s="122"/>
      <c r="KFZ71" s="122"/>
      <c r="KGA71" s="122"/>
      <c r="KGB71" s="122"/>
      <c r="KGC71" s="122"/>
      <c r="KGD71" s="122"/>
      <c r="KGE71" s="122"/>
      <c r="KGF71" s="122"/>
      <c r="KGG71" s="122"/>
      <c r="KGH71" s="122"/>
      <c r="KGI71" s="122"/>
      <c r="KGJ71" s="122"/>
      <c r="KGK71" s="122"/>
      <c r="KGL71" s="122"/>
      <c r="KGM71" s="122"/>
      <c r="KGN71" s="122"/>
      <c r="KGO71" s="122"/>
      <c r="KGP71" s="122"/>
      <c r="KGQ71" s="122"/>
      <c r="KGR71" s="122"/>
      <c r="KGS71" s="122"/>
      <c r="KGT71" s="122"/>
      <c r="KGU71" s="122"/>
      <c r="KGV71" s="122"/>
      <c r="KGW71" s="122"/>
      <c r="KGX71" s="122"/>
      <c r="KGY71" s="122"/>
      <c r="KGZ71" s="122"/>
      <c r="KHA71" s="122"/>
      <c r="KHB71" s="122"/>
      <c r="KHC71" s="122"/>
      <c r="KHD71" s="122"/>
      <c r="KHE71" s="122"/>
      <c r="KHF71" s="122"/>
      <c r="KHG71" s="122"/>
      <c r="KHH71" s="122"/>
      <c r="KHI71" s="122"/>
      <c r="KHJ71" s="122"/>
      <c r="KHK71" s="122"/>
      <c r="KHL71" s="122"/>
      <c r="KHM71" s="122"/>
      <c r="KHN71" s="122"/>
      <c r="KHO71" s="122"/>
      <c r="KHP71" s="122"/>
      <c r="KHQ71" s="122"/>
      <c r="KHR71" s="122"/>
      <c r="KHS71" s="122"/>
      <c r="KHT71" s="122"/>
      <c r="KHU71" s="122"/>
      <c r="KHV71" s="122"/>
      <c r="KHW71" s="122"/>
      <c r="KHX71" s="122"/>
      <c r="KHY71" s="122"/>
      <c r="KHZ71" s="122"/>
      <c r="KIA71" s="122"/>
      <c r="KIB71" s="122"/>
      <c r="KIC71" s="122"/>
      <c r="KID71" s="122"/>
      <c r="KIE71" s="122"/>
      <c r="KIF71" s="122"/>
      <c r="KIG71" s="122"/>
      <c r="KIH71" s="122"/>
      <c r="KII71" s="122"/>
      <c r="KIJ71" s="122"/>
      <c r="KIK71" s="122"/>
      <c r="KIL71" s="122"/>
      <c r="KIM71" s="122"/>
      <c r="KIN71" s="122"/>
      <c r="KIO71" s="122"/>
      <c r="KIP71" s="122"/>
      <c r="KIQ71" s="122"/>
      <c r="KIR71" s="122"/>
      <c r="KIS71" s="122"/>
      <c r="KIT71" s="122"/>
      <c r="KIU71" s="122"/>
      <c r="KIV71" s="122"/>
      <c r="KIW71" s="122"/>
      <c r="KIX71" s="122"/>
      <c r="KIY71" s="122"/>
      <c r="KIZ71" s="122"/>
      <c r="KJA71" s="122"/>
      <c r="KJB71" s="122"/>
      <c r="KJC71" s="122"/>
      <c r="KJD71" s="122"/>
      <c r="KJE71" s="122"/>
      <c r="KJF71" s="122"/>
      <c r="KJG71" s="122"/>
      <c r="KJH71" s="122"/>
      <c r="KJI71" s="122"/>
      <c r="KJJ71" s="122"/>
      <c r="KJK71" s="122"/>
      <c r="KJL71" s="122"/>
      <c r="KJM71" s="122"/>
      <c r="KJN71" s="122"/>
      <c r="KJO71" s="122"/>
      <c r="KJP71" s="122"/>
      <c r="KJQ71" s="122"/>
      <c r="KJR71" s="122"/>
      <c r="KJS71" s="122"/>
      <c r="KJT71" s="122"/>
      <c r="KJU71" s="122"/>
      <c r="KJV71" s="122"/>
      <c r="KJW71" s="122"/>
      <c r="KJX71" s="122"/>
      <c r="KJY71" s="122"/>
      <c r="KJZ71" s="122"/>
      <c r="KKA71" s="122"/>
      <c r="KKB71" s="122"/>
      <c r="KKC71" s="122"/>
      <c r="KKD71" s="122"/>
      <c r="KKE71" s="122"/>
      <c r="KKF71" s="122"/>
      <c r="KKG71" s="122"/>
      <c r="KKH71" s="122"/>
      <c r="KKI71" s="122"/>
      <c r="KKJ71" s="122"/>
      <c r="KKK71" s="122"/>
      <c r="KKL71" s="122"/>
      <c r="KKM71" s="122"/>
      <c r="KKN71" s="122"/>
      <c r="KKO71" s="122"/>
      <c r="KKP71" s="122"/>
      <c r="KKQ71" s="122"/>
      <c r="KKR71" s="122"/>
      <c r="KKS71" s="122"/>
      <c r="KKT71" s="122"/>
      <c r="KKU71" s="122"/>
      <c r="KKV71" s="122"/>
      <c r="KKW71" s="122"/>
      <c r="KKX71" s="122"/>
      <c r="KKY71" s="122"/>
      <c r="KKZ71" s="122"/>
      <c r="KLA71" s="122"/>
      <c r="KLB71" s="122"/>
      <c r="KLC71" s="122"/>
      <c r="KLD71" s="122"/>
      <c r="KLE71" s="122"/>
      <c r="KLF71" s="122"/>
      <c r="KLG71" s="122"/>
      <c r="KLH71" s="122"/>
      <c r="KLI71" s="122"/>
      <c r="KLJ71" s="122"/>
      <c r="KLK71" s="122"/>
      <c r="KLL71" s="122"/>
      <c r="KLM71" s="122"/>
      <c r="KLN71" s="122"/>
      <c r="KLO71" s="122"/>
      <c r="KLP71" s="122"/>
      <c r="KLQ71" s="122"/>
      <c r="KLR71" s="122"/>
      <c r="KLS71" s="122"/>
      <c r="KLT71" s="122"/>
      <c r="KLU71" s="122"/>
      <c r="KLV71" s="122"/>
      <c r="KLW71" s="122"/>
      <c r="KLX71" s="122"/>
      <c r="KLY71" s="122"/>
      <c r="KLZ71" s="122"/>
      <c r="KMA71" s="122"/>
      <c r="KMB71" s="122"/>
      <c r="KMC71" s="122"/>
      <c r="KMD71" s="122"/>
      <c r="KME71" s="122"/>
      <c r="KMF71" s="122"/>
      <c r="KMG71" s="122"/>
      <c r="KMH71" s="122"/>
      <c r="KMI71" s="122"/>
      <c r="KMJ71" s="122"/>
      <c r="KMK71" s="122"/>
      <c r="KML71" s="122"/>
      <c r="KMM71" s="122"/>
      <c r="KMN71" s="122"/>
      <c r="KMO71" s="122"/>
      <c r="KMP71" s="122"/>
      <c r="KMQ71" s="122"/>
      <c r="KMR71" s="122"/>
      <c r="KMS71" s="122"/>
      <c r="KMT71" s="122"/>
      <c r="KMU71" s="122"/>
      <c r="KMV71" s="122"/>
      <c r="KMW71" s="122"/>
      <c r="KMX71" s="122"/>
      <c r="KMY71" s="122"/>
      <c r="KMZ71" s="122"/>
      <c r="KNA71" s="122"/>
      <c r="KNB71" s="122"/>
      <c r="KNC71" s="122"/>
      <c r="KND71" s="122"/>
      <c r="KNE71" s="122"/>
      <c r="KNF71" s="122"/>
      <c r="KNG71" s="122"/>
      <c r="KNH71" s="122"/>
      <c r="KNI71" s="122"/>
      <c r="KNJ71" s="122"/>
      <c r="KNK71" s="122"/>
      <c r="KNL71" s="122"/>
      <c r="KNM71" s="122"/>
      <c r="KNN71" s="122"/>
      <c r="KNO71" s="122"/>
      <c r="KNP71" s="122"/>
      <c r="KNQ71" s="122"/>
      <c r="KNR71" s="122"/>
      <c r="KNS71" s="122"/>
      <c r="KNT71" s="122"/>
      <c r="KNU71" s="122"/>
      <c r="KNV71" s="122"/>
      <c r="KNW71" s="122"/>
      <c r="KNX71" s="122"/>
      <c r="KNY71" s="122"/>
      <c r="KNZ71" s="122"/>
      <c r="KOA71" s="122"/>
      <c r="KOB71" s="122"/>
      <c r="KOC71" s="122"/>
      <c r="KOD71" s="122"/>
      <c r="KOE71" s="122"/>
      <c r="KOF71" s="122"/>
      <c r="KOG71" s="122"/>
      <c r="KOH71" s="122"/>
      <c r="KOI71" s="122"/>
      <c r="KOJ71" s="122"/>
      <c r="KOK71" s="122"/>
      <c r="KOL71" s="122"/>
      <c r="KOM71" s="122"/>
      <c r="KON71" s="122"/>
      <c r="KOO71" s="122"/>
      <c r="KOP71" s="122"/>
      <c r="KOQ71" s="122"/>
      <c r="KOR71" s="122"/>
      <c r="KOS71" s="122"/>
      <c r="KOT71" s="122"/>
      <c r="KOU71" s="122"/>
      <c r="KOV71" s="122"/>
      <c r="KOW71" s="122"/>
      <c r="KOX71" s="122"/>
      <c r="KOY71" s="122"/>
      <c r="KOZ71" s="122"/>
      <c r="KPA71" s="122"/>
      <c r="KPB71" s="122"/>
      <c r="KPC71" s="122"/>
      <c r="KPD71" s="122"/>
      <c r="KPE71" s="122"/>
      <c r="KPF71" s="122"/>
      <c r="KPG71" s="122"/>
      <c r="KPH71" s="122"/>
      <c r="KPI71" s="122"/>
      <c r="KPJ71" s="122"/>
      <c r="KPK71" s="122"/>
      <c r="KPL71" s="122"/>
      <c r="KPM71" s="122"/>
      <c r="KPN71" s="122"/>
      <c r="KPO71" s="122"/>
      <c r="KPP71" s="122"/>
      <c r="KPQ71" s="122"/>
      <c r="KPR71" s="122"/>
      <c r="KPS71" s="122"/>
      <c r="KPT71" s="122"/>
      <c r="KPU71" s="122"/>
      <c r="KPV71" s="122"/>
      <c r="KPW71" s="122"/>
      <c r="KPX71" s="122"/>
      <c r="KPY71" s="122"/>
      <c r="KPZ71" s="122"/>
      <c r="KQA71" s="122"/>
      <c r="KQB71" s="122"/>
      <c r="KQC71" s="122"/>
      <c r="KQD71" s="122"/>
      <c r="KQE71" s="122"/>
      <c r="KQF71" s="122"/>
      <c r="KQG71" s="122"/>
      <c r="KQH71" s="122"/>
      <c r="KQI71" s="122"/>
      <c r="KQJ71" s="122"/>
      <c r="KQK71" s="122"/>
      <c r="KQL71" s="122"/>
      <c r="KQM71" s="122"/>
      <c r="KQN71" s="122"/>
      <c r="KQO71" s="122"/>
      <c r="KQP71" s="122"/>
      <c r="KQQ71" s="122"/>
      <c r="KQR71" s="122"/>
      <c r="KQS71" s="122"/>
      <c r="KQT71" s="122"/>
      <c r="KQU71" s="122"/>
      <c r="KQV71" s="122"/>
      <c r="KQW71" s="122"/>
      <c r="KQX71" s="122"/>
      <c r="KQY71" s="122"/>
      <c r="KQZ71" s="122"/>
      <c r="KRA71" s="122"/>
      <c r="KRB71" s="122"/>
      <c r="KRC71" s="122"/>
      <c r="KRD71" s="122"/>
      <c r="KRE71" s="122"/>
      <c r="KRF71" s="122"/>
      <c r="KRG71" s="122"/>
      <c r="KRH71" s="122"/>
      <c r="KRI71" s="122"/>
      <c r="KRJ71" s="122"/>
      <c r="KRK71" s="122"/>
      <c r="KRL71" s="122"/>
      <c r="KRM71" s="122"/>
      <c r="KRN71" s="122"/>
      <c r="KRO71" s="122"/>
      <c r="KRP71" s="122"/>
      <c r="KRQ71" s="122"/>
      <c r="KRR71" s="122"/>
      <c r="KRS71" s="122"/>
      <c r="KRT71" s="122"/>
      <c r="KRU71" s="122"/>
      <c r="KRV71" s="122"/>
      <c r="KRW71" s="122"/>
      <c r="KRX71" s="122"/>
      <c r="KRY71" s="122"/>
      <c r="KRZ71" s="122"/>
      <c r="KSA71" s="122"/>
      <c r="KSB71" s="122"/>
      <c r="KSC71" s="122"/>
      <c r="KSD71" s="122"/>
      <c r="KSE71" s="122"/>
      <c r="KSF71" s="122"/>
      <c r="KSG71" s="122"/>
      <c r="KSH71" s="122"/>
      <c r="KSI71" s="122"/>
      <c r="KSJ71" s="122"/>
      <c r="KSK71" s="122"/>
      <c r="KSL71" s="122"/>
      <c r="KSM71" s="122"/>
      <c r="KSN71" s="122"/>
      <c r="KSO71" s="122"/>
      <c r="KSP71" s="122"/>
      <c r="KSQ71" s="122"/>
      <c r="KSR71" s="122"/>
      <c r="KSS71" s="122"/>
      <c r="KST71" s="122"/>
      <c r="KSU71" s="122"/>
      <c r="KSV71" s="122"/>
      <c r="KSW71" s="122"/>
      <c r="KSX71" s="122"/>
      <c r="KSY71" s="122"/>
      <c r="KSZ71" s="122"/>
      <c r="KTA71" s="122"/>
      <c r="KTB71" s="122"/>
      <c r="KTC71" s="122"/>
      <c r="KTD71" s="122"/>
      <c r="KTE71" s="122"/>
      <c r="KTF71" s="122"/>
      <c r="KTG71" s="122"/>
      <c r="KTH71" s="122"/>
      <c r="KTI71" s="122"/>
      <c r="KTJ71" s="122"/>
      <c r="KTK71" s="122"/>
      <c r="KTL71" s="122"/>
      <c r="KTM71" s="122"/>
      <c r="KTN71" s="122"/>
      <c r="KTO71" s="122"/>
      <c r="KTP71" s="122"/>
      <c r="KTQ71" s="122"/>
      <c r="KTR71" s="122"/>
      <c r="KTS71" s="122"/>
      <c r="KTT71" s="122"/>
      <c r="KTU71" s="122"/>
      <c r="KTV71" s="122"/>
      <c r="KTW71" s="122"/>
      <c r="KTX71" s="122"/>
      <c r="KTY71" s="122"/>
      <c r="KTZ71" s="122"/>
      <c r="KUA71" s="122"/>
      <c r="KUB71" s="122"/>
      <c r="KUC71" s="122"/>
      <c r="KUD71" s="122"/>
      <c r="KUE71" s="122"/>
      <c r="KUF71" s="122"/>
      <c r="KUG71" s="122"/>
      <c r="KUH71" s="122"/>
      <c r="KUI71" s="122"/>
      <c r="KUJ71" s="122"/>
      <c r="KUK71" s="122"/>
      <c r="KUL71" s="122"/>
      <c r="KUM71" s="122"/>
      <c r="KUN71" s="122"/>
      <c r="KUO71" s="122"/>
      <c r="KUP71" s="122"/>
      <c r="KUQ71" s="122"/>
      <c r="KUR71" s="122"/>
      <c r="KUS71" s="122"/>
      <c r="KUT71" s="122"/>
      <c r="KUU71" s="122"/>
      <c r="KUV71" s="122"/>
      <c r="KUW71" s="122"/>
      <c r="KUX71" s="122"/>
      <c r="KUY71" s="122"/>
      <c r="KUZ71" s="122"/>
      <c r="KVA71" s="122"/>
      <c r="KVB71" s="122"/>
      <c r="KVC71" s="122"/>
      <c r="KVD71" s="122"/>
      <c r="KVE71" s="122"/>
      <c r="KVF71" s="122"/>
      <c r="KVG71" s="122"/>
      <c r="KVH71" s="122"/>
      <c r="KVI71" s="122"/>
      <c r="KVJ71" s="122"/>
      <c r="KVK71" s="122"/>
      <c r="KVL71" s="122"/>
      <c r="KVM71" s="122"/>
      <c r="KVN71" s="122"/>
      <c r="KVO71" s="122"/>
      <c r="KVP71" s="122"/>
      <c r="KVQ71" s="122"/>
      <c r="KVR71" s="122"/>
      <c r="KVS71" s="122"/>
      <c r="KVT71" s="122"/>
      <c r="KVU71" s="122"/>
      <c r="KVV71" s="122"/>
      <c r="KVW71" s="122"/>
      <c r="KVX71" s="122"/>
      <c r="KVY71" s="122"/>
      <c r="KVZ71" s="122"/>
      <c r="KWA71" s="122"/>
      <c r="KWB71" s="122"/>
      <c r="KWC71" s="122"/>
      <c r="KWD71" s="122"/>
      <c r="KWE71" s="122"/>
      <c r="KWF71" s="122"/>
      <c r="KWG71" s="122"/>
      <c r="KWH71" s="122"/>
      <c r="KWI71" s="122"/>
      <c r="KWJ71" s="122"/>
      <c r="KWK71" s="122"/>
      <c r="KWL71" s="122"/>
      <c r="KWM71" s="122"/>
      <c r="KWN71" s="122"/>
      <c r="KWO71" s="122"/>
      <c r="KWP71" s="122"/>
      <c r="KWQ71" s="122"/>
      <c r="KWR71" s="122"/>
      <c r="KWS71" s="122"/>
      <c r="KWT71" s="122"/>
      <c r="KWU71" s="122"/>
      <c r="KWV71" s="122"/>
      <c r="KWW71" s="122"/>
      <c r="KWX71" s="122"/>
      <c r="KWY71" s="122"/>
      <c r="KWZ71" s="122"/>
      <c r="KXA71" s="122"/>
      <c r="KXB71" s="122"/>
      <c r="KXC71" s="122"/>
      <c r="KXD71" s="122"/>
      <c r="KXE71" s="122"/>
      <c r="KXF71" s="122"/>
      <c r="KXG71" s="122"/>
      <c r="KXH71" s="122"/>
      <c r="KXI71" s="122"/>
      <c r="KXJ71" s="122"/>
      <c r="KXK71" s="122"/>
      <c r="KXL71" s="122"/>
      <c r="KXM71" s="122"/>
      <c r="KXN71" s="122"/>
      <c r="KXO71" s="122"/>
      <c r="KXP71" s="122"/>
      <c r="KXQ71" s="122"/>
      <c r="KXR71" s="122"/>
      <c r="KXS71" s="122"/>
      <c r="KXT71" s="122"/>
      <c r="KXU71" s="122"/>
      <c r="KXV71" s="122"/>
      <c r="KXW71" s="122"/>
      <c r="KXX71" s="122"/>
      <c r="KXY71" s="122"/>
      <c r="KXZ71" s="122"/>
      <c r="KYA71" s="122"/>
      <c r="KYB71" s="122"/>
      <c r="KYC71" s="122"/>
      <c r="KYD71" s="122"/>
      <c r="KYE71" s="122"/>
      <c r="KYF71" s="122"/>
      <c r="KYG71" s="122"/>
      <c r="KYH71" s="122"/>
      <c r="KYI71" s="122"/>
      <c r="KYJ71" s="122"/>
      <c r="KYK71" s="122"/>
      <c r="KYL71" s="122"/>
      <c r="KYM71" s="122"/>
      <c r="KYN71" s="122"/>
      <c r="KYO71" s="122"/>
      <c r="KYP71" s="122"/>
      <c r="KYQ71" s="122"/>
      <c r="KYR71" s="122"/>
      <c r="KYS71" s="122"/>
      <c r="KYT71" s="122"/>
      <c r="KYU71" s="122"/>
      <c r="KYV71" s="122"/>
      <c r="KYW71" s="122"/>
      <c r="KYX71" s="122"/>
      <c r="KYY71" s="122"/>
      <c r="KYZ71" s="122"/>
      <c r="KZA71" s="122"/>
      <c r="KZB71" s="122"/>
      <c r="KZC71" s="122"/>
      <c r="KZD71" s="122"/>
      <c r="KZE71" s="122"/>
      <c r="KZF71" s="122"/>
      <c r="KZG71" s="122"/>
      <c r="KZH71" s="122"/>
      <c r="KZI71" s="122"/>
      <c r="KZJ71" s="122"/>
      <c r="KZK71" s="122"/>
      <c r="KZL71" s="122"/>
      <c r="KZM71" s="122"/>
      <c r="KZN71" s="122"/>
      <c r="KZO71" s="122"/>
      <c r="KZP71" s="122"/>
      <c r="KZQ71" s="122"/>
      <c r="KZR71" s="122"/>
      <c r="KZS71" s="122"/>
      <c r="KZT71" s="122"/>
      <c r="KZU71" s="122"/>
      <c r="KZV71" s="122"/>
      <c r="KZW71" s="122"/>
      <c r="KZX71" s="122"/>
      <c r="KZY71" s="122"/>
      <c r="KZZ71" s="122"/>
      <c r="LAA71" s="122"/>
      <c r="LAB71" s="122"/>
      <c r="LAC71" s="122"/>
      <c r="LAD71" s="122"/>
      <c r="LAE71" s="122"/>
      <c r="LAF71" s="122"/>
      <c r="LAG71" s="122"/>
      <c r="LAH71" s="122"/>
      <c r="LAI71" s="122"/>
      <c r="LAJ71" s="122"/>
      <c r="LAK71" s="122"/>
      <c r="LAL71" s="122"/>
      <c r="LAM71" s="122"/>
      <c r="LAN71" s="122"/>
      <c r="LAO71" s="122"/>
      <c r="LAP71" s="122"/>
      <c r="LAQ71" s="122"/>
      <c r="LAR71" s="122"/>
      <c r="LAS71" s="122"/>
      <c r="LAT71" s="122"/>
      <c r="LAU71" s="122"/>
      <c r="LAV71" s="122"/>
      <c r="LAW71" s="122"/>
      <c r="LAX71" s="122"/>
      <c r="LAY71" s="122"/>
      <c r="LAZ71" s="122"/>
      <c r="LBA71" s="122"/>
      <c r="LBB71" s="122"/>
      <c r="LBC71" s="122"/>
      <c r="LBD71" s="122"/>
      <c r="LBE71" s="122"/>
      <c r="LBF71" s="122"/>
      <c r="LBG71" s="122"/>
      <c r="LBH71" s="122"/>
      <c r="LBI71" s="122"/>
      <c r="LBJ71" s="122"/>
      <c r="LBK71" s="122"/>
      <c r="LBL71" s="122"/>
      <c r="LBM71" s="122"/>
      <c r="LBN71" s="122"/>
      <c r="LBO71" s="122"/>
      <c r="LBP71" s="122"/>
      <c r="LBQ71" s="122"/>
      <c r="LBR71" s="122"/>
      <c r="LBS71" s="122"/>
      <c r="LBT71" s="122"/>
      <c r="LBU71" s="122"/>
      <c r="LBV71" s="122"/>
      <c r="LBW71" s="122"/>
      <c r="LBX71" s="122"/>
      <c r="LBY71" s="122"/>
      <c r="LBZ71" s="122"/>
      <c r="LCA71" s="122"/>
      <c r="LCB71" s="122"/>
      <c r="LCC71" s="122"/>
      <c r="LCD71" s="122"/>
      <c r="LCE71" s="122"/>
      <c r="LCF71" s="122"/>
      <c r="LCG71" s="122"/>
      <c r="LCH71" s="122"/>
      <c r="LCI71" s="122"/>
      <c r="LCJ71" s="122"/>
      <c r="LCK71" s="122"/>
      <c r="LCL71" s="122"/>
      <c r="LCM71" s="122"/>
      <c r="LCN71" s="122"/>
      <c r="LCO71" s="122"/>
      <c r="LCP71" s="122"/>
      <c r="LCQ71" s="122"/>
      <c r="LCR71" s="122"/>
      <c r="LCS71" s="122"/>
      <c r="LCT71" s="122"/>
      <c r="LCU71" s="122"/>
      <c r="LCV71" s="122"/>
      <c r="LCW71" s="122"/>
      <c r="LCX71" s="122"/>
      <c r="LCY71" s="122"/>
      <c r="LCZ71" s="122"/>
      <c r="LDA71" s="122"/>
      <c r="LDB71" s="122"/>
      <c r="LDC71" s="122"/>
      <c r="LDD71" s="122"/>
      <c r="LDE71" s="122"/>
      <c r="LDF71" s="122"/>
      <c r="LDG71" s="122"/>
      <c r="LDH71" s="122"/>
      <c r="LDI71" s="122"/>
      <c r="LDJ71" s="122"/>
      <c r="LDK71" s="122"/>
      <c r="LDL71" s="122"/>
      <c r="LDM71" s="122"/>
      <c r="LDN71" s="122"/>
      <c r="LDO71" s="122"/>
      <c r="LDP71" s="122"/>
      <c r="LDQ71" s="122"/>
      <c r="LDR71" s="122"/>
      <c r="LDS71" s="122"/>
      <c r="LDT71" s="122"/>
      <c r="LDU71" s="122"/>
      <c r="LDV71" s="122"/>
      <c r="LDW71" s="122"/>
      <c r="LDX71" s="122"/>
      <c r="LDY71" s="122"/>
      <c r="LDZ71" s="122"/>
      <c r="LEA71" s="122"/>
      <c r="LEB71" s="122"/>
      <c r="LEC71" s="122"/>
      <c r="LED71" s="122"/>
      <c r="LEE71" s="122"/>
      <c r="LEF71" s="122"/>
      <c r="LEG71" s="122"/>
      <c r="LEH71" s="122"/>
      <c r="LEI71" s="122"/>
      <c r="LEJ71" s="122"/>
      <c r="LEK71" s="122"/>
      <c r="LEL71" s="122"/>
      <c r="LEM71" s="122"/>
      <c r="LEN71" s="122"/>
      <c r="LEO71" s="122"/>
      <c r="LEP71" s="122"/>
      <c r="LEQ71" s="122"/>
      <c r="LER71" s="122"/>
      <c r="LES71" s="122"/>
      <c r="LET71" s="122"/>
      <c r="LEU71" s="122"/>
      <c r="LEV71" s="122"/>
      <c r="LEW71" s="122"/>
      <c r="LEX71" s="122"/>
      <c r="LEY71" s="122"/>
      <c r="LEZ71" s="122"/>
      <c r="LFA71" s="122"/>
      <c r="LFB71" s="122"/>
      <c r="LFC71" s="122"/>
      <c r="LFD71" s="122"/>
      <c r="LFE71" s="122"/>
      <c r="LFF71" s="122"/>
      <c r="LFG71" s="122"/>
      <c r="LFH71" s="122"/>
      <c r="LFI71" s="122"/>
      <c r="LFJ71" s="122"/>
      <c r="LFK71" s="122"/>
      <c r="LFL71" s="122"/>
      <c r="LFM71" s="122"/>
      <c r="LFN71" s="122"/>
      <c r="LFO71" s="122"/>
      <c r="LFP71" s="122"/>
      <c r="LFQ71" s="122"/>
      <c r="LFR71" s="122"/>
      <c r="LFS71" s="122"/>
      <c r="LFT71" s="122"/>
      <c r="LFU71" s="122"/>
      <c r="LFV71" s="122"/>
      <c r="LFW71" s="122"/>
      <c r="LFX71" s="122"/>
      <c r="LFY71" s="122"/>
      <c r="LFZ71" s="122"/>
      <c r="LGA71" s="122"/>
      <c r="LGB71" s="122"/>
      <c r="LGC71" s="122"/>
      <c r="LGD71" s="122"/>
      <c r="LGE71" s="122"/>
      <c r="LGF71" s="122"/>
      <c r="LGG71" s="122"/>
      <c r="LGH71" s="122"/>
      <c r="LGI71" s="122"/>
      <c r="LGJ71" s="122"/>
      <c r="LGK71" s="122"/>
      <c r="LGL71" s="122"/>
      <c r="LGM71" s="122"/>
      <c r="LGN71" s="122"/>
      <c r="LGO71" s="122"/>
      <c r="LGP71" s="122"/>
      <c r="LGQ71" s="122"/>
      <c r="LGR71" s="122"/>
      <c r="LGS71" s="122"/>
      <c r="LGT71" s="122"/>
      <c r="LGU71" s="122"/>
      <c r="LGV71" s="122"/>
      <c r="LGW71" s="122"/>
      <c r="LGX71" s="122"/>
      <c r="LGY71" s="122"/>
      <c r="LGZ71" s="122"/>
      <c r="LHA71" s="122"/>
      <c r="LHB71" s="122"/>
      <c r="LHC71" s="122"/>
      <c r="LHD71" s="122"/>
      <c r="LHE71" s="122"/>
      <c r="LHF71" s="122"/>
      <c r="LHG71" s="122"/>
      <c r="LHH71" s="122"/>
      <c r="LHI71" s="122"/>
      <c r="LHJ71" s="122"/>
      <c r="LHK71" s="122"/>
      <c r="LHL71" s="122"/>
      <c r="LHM71" s="122"/>
      <c r="LHN71" s="122"/>
      <c r="LHO71" s="122"/>
      <c r="LHP71" s="122"/>
      <c r="LHQ71" s="122"/>
      <c r="LHR71" s="122"/>
      <c r="LHS71" s="122"/>
      <c r="LHT71" s="122"/>
      <c r="LHU71" s="122"/>
      <c r="LHV71" s="122"/>
      <c r="LHW71" s="122"/>
      <c r="LHX71" s="122"/>
      <c r="LHY71" s="122"/>
      <c r="LHZ71" s="122"/>
      <c r="LIA71" s="122"/>
      <c r="LIB71" s="122"/>
      <c r="LIC71" s="122"/>
      <c r="LID71" s="122"/>
      <c r="LIE71" s="122"/>
      <c r="LIF71" s="122"/>
      <c r="LIG71" s="122"/>
      <c r="LIH71" s="122"/>
      <c r="LII71" s="122"/>
      <c r="LIJ71" s="122"/>
      <c r="LIK71" s="122"/>
      <c r="LIL71" s="122"/>
      <c r="LIM71" s="122"/>
      <c r="LIN71" s="122"/>
      <c r="LIO71" s="122"/>
      <c r="LIP71" s="122"/>
      <c r="LIQ71" s="122"/>
      <c r="LIR71" s="122"/>
      <c r="LIS71" s="122"/>
      <c r="LIT71" s="122"/>
      <c r="LIU71" s="122"/>
      <c r="LIV71" s="122"/>
      <c r="LIW71" s="122"/>
      <c r="LIX71" s="122"/>
      <c r="LIY71" s="122"/>
      <c r="LIZ71" s="122"/>
      <c r="LJA71" s="122"/>
      <c r="LJB71" s="122"/>
      <c r="LJC71" s="122"/>
      <c r="LJD71" s="122"/>
      <c r="LJE71" s="122"/>
      <c r="LJF71" s="122"/>
      <c r="LJG71" s="122"/>
      <c r="LJH71" s="122"/>
      <c r="LJI71" s="122"/>
      <c r="LJJ71" s="122"/>
      <c r="LJK71" s="122"/>
      <c r="LJL71" s="122"/>
      <c r="LJM71" s="122"/>
      <c r="LJN71" s="122"/>
      <c r="LJO71" s="122"/>
      <c r="LJP71" s="122"/>
      <c r="LJQ71" s="122"/>
      <c r="LJR71" s="122"/>
      <c r="LJS71" s="122"/>
      <c r="LJT71" s="122"/>
      <c r="LJU71" s="122"/>
      <c r="LJV71" s="122"/>
      <c r="LJW71" s="122"/>
      <c r="LJX71" s="122"/>
      <c r="LJY71" s="122"/>
      <c r="LJZ71" s="122"/>
      <c r="LKA71" s="122"/>
      <c r="LKB71" s="122"/>
      <c r="LKC71" s="122"/>
      <c r="LKD71" s="122"/>
      <c r="LKE71" s="122"/>
      <c r="LKF71" s="122"/>
      <c r="LKG71" s="122"/>
      <c r="LKH71" s="122"/>
      <c r="LKI71" s="122"/>
      <c r="LKJ71" s="122"/>
      <c r="LKK71" s="122"/>
      <c r="LKL71" s="122"/>
      <c r="LKM71" s="122"/>
      <c r="LKN71" s="122"/>
      <c r="LKO71" s="122"/>
      <c r="LKP71" s="122"/>
      <c r="LKQ71" s="122"/>
      <c r="LKR71" s="122"/>
      <c r="LKS71" s="122"/>
      <c r="LKT71" s="122"/>
      <c r="LKU71" s="122"/>
      <c r="LKV71" s="122"/>
      <c r="LKW71" s="122"/>
      <c r="LKX71" s="122"/>
      <c r="LKY71" s="122"/>
      <c r="LKZ71" s="122"/>
      <c r="LLA71" s="122"/>
      <c r="LLB71" s="122"/>
      <c r="LLC71" s="122"/>
      <c r="LLD71" s="122"/>
      <c r="LLE71" s="122"/>
      <c r="LLF71" s="122"/>
      <c r="LLG71" s="122"/>
      <c r="LLH71" s="122"/>
      <c r="LLI71" s="122"/>
      <c r="LLJ71" s="122"/>
      <c r="LLK71" s="122"/>
      <c r="LLL71" s="122"/>
      <c r="LLM71" s="122"/>
      <c r="LLN71" s="122"/>
      <c r="LLO71" s="122"/>
      <c r="LLP71" s="122"/>
      <c r="LLQ71" s="122"/>
      <c r="LLR71" s="122"/>
      <c r="LLS71" s="122"/>
      <c r="LLT71" s="122"/>
      <c r="LLU71" s="122"/>
      <c r="LLV71" s="122"/>
      <c r="LLW71" s="122"/>
      <c r="LLX71" s="122"/>
      <c r="LLY71" s="122"/>
      <c r="LLZ71" s="122"/>
      <c r="LMA71" s="122"/>
      <c r="LMB71" s="122"/>
      <c r="LMC71" s="122"/>
      <c r="LMD71" s="122"/>
      <c r="LME71" s="122"/>
      <c r="LMF71" s="122"/>
      <c r="LMG71" s="122"/>
      <c r="LMH71" s="122"/>
      <c r="LMI71" s="122"/>
      <c r="LMJ71" s="122"/>
      <c r="LMK71" s="122"/>
      <c r="LML71" s="122"/>
      <c r="LMM71" s="122"/>
      <c r="LMN71" s="122"/>
      <c r="LMO71" s="122"/>
      <c r="LMP71" s="122"/>
      <c r="LMQ71" s="122"/>
      <c r="LMR71" s="122"/>
      <c r="LMS71" s="122"/>
      <c r="LMT71" s="122"/>
      <c r="LMU71" s="122"/>
      <c r="LMV71" s="122"/>
      <c r="LMW71" s="122"/>
      <c r="LMX71" s="122"/>
      <c r="LMY71" s="122"/>
      <c r="LMZ71" s="122"/>
      <c r="LNA71" s="122"/>
      <c r="LNB71" s="122"/>
      <c r="LNC71" s="122"/>
      <c r="LND71" s="122"/>
      <c r="LNE71" s="122"/>
      <c r="LNF71" s="122"/>
      <c r="LNG71" s="122"/>
      <c r="LNH71" s="122"/>
      <c r="LNI71" s="122"/>
      <c r="LNJ71" s="122"/>
      <c r="LNK71" s="122"/>
      <c r="LNL71" s="122"/>
      <c r="LNM71" s="122"/>
      <c r="LNN71" s="122"/>
      <c r="LNO71" s="122"/>
      <c r="LNP71" s="122"/>
      <c r="LNQ71" s="122"/>
      <c r="LNR71" s="122"/>
      <c r="LNS71" s="122"/>
      <c r="LNT71" s="122"/>
      <c r="LNU71" s="122"/>
      <c r="LNV71" s="122"/>
      <c r="LNW71" s="122"/>
      <c r="LNX71" s="122"/>
      <c r="LNY71" s="122"/>
      <c r="LNZ71" s="122"/>
      <c r="LOA71" s="122"/>
      <c r="LOB71" s="122"/>
      <c r="LOC71" s="122"/>
      <c r="LOD71" s="122"/>
      <c r="LOE71" s="122"/>
      <c r="LOF71" s="122"/>
      <c r="LOG71" s="122"/>
      <c r="LOH71" s="122"/>
      <c r="LOI71" s="122"/>
      <c r="LOJ71" s="122"/>
      <c r="LOK71" s="122"/>
      <c r="LOL71" s="122"/>
      <c r="LOM71" s="122"/>
      <c r="LON71" s="122"/>
      <c r="LOO71" s="122"/>
      <c r="LOP71" s="122"/>
      <c r="LOQ71" s="122"/>
      <c r="LOR71" s="122"/>
      <c r="LOS71" s="122"/>
      <c r="LOT71" s="122"/>
      <c r="LOU71" s="122"/>
      <c r="LOV71" s="122"/>
      <c r="LOW71" s="122"/>
      <c r="LOX71" s="122"/>
      <c r="LOY71" s="122"/>
      <c r="LOZ71" s="122"/>
      <c r="LPA71" s="122"/>
      <c r="LPB71" s="122"/>
      <c r="LPC71" s="122"/>
      <c r="LPD71" s="122"/>
      <c r="LPE71" s="122"/>
      <c r="LPF71" s="122"/>
      <c r="LPG71" s="122"/>
      <c r="LPH71" s="122"/>
      <c r="LPI71" s="122"/>
      <c r="LPJ71" s="122"/>
      <c r="LPK71" s="122"/>
      <c r="LPL71" s="122"/>
      <c r="LPM71" s="122"/>
      <c r="LPN71" s="122"/>
      <c r="LPO71" s="122"/>
      <c r="LPP71" s="122"/>
      <c r="LPQ71" s="122"/>
      <c r="LPR71" s="122"/>
      <c r="LPS71" s="122"/>
      <c r="LPT71" s="122"/>
      <c r="LPU71" s="122"/>
      <c r="LPV71" s="122"/>
      <c r="LPW71" s="122"/>
      <c r="LPX71" s="122"/>
      <c r="LPY71" s="122"/>
      <c r="LPZ71" s="122"/>
      <c r="LQA71" s="122"/>
      <c r="LQB71" s="122"/>
      <c r="LQC71" s="122"/>
      <c r="LQD71" s="122"/>
      <c r="LQE71" s="122"/>
      <c r="LQF71" s="122"/>
      <c r="LQG71" s="122"/>
      <c r="LQH71" s="122"/>
      <c r="LQI71" s="122"/>
      <c r="LQJ71" s="122"/>
      <c r="LQK71" s="122"/>
      <c r="LQL71" s="122"/>
      <c r="LQM71" s="122"/>
      <c r="LQN71" s="122"/>
      <c r="LQO71" s="122"/>
      <c r="LQP71" s="122"/>
      <c r="LQQ71" s="122"/>
      <c r="LQR71" s="122"/>
      <c r="LQS71" s="122"/>
      <c r="LQT71" s="122"/>
      <c r="LQU71" s="122"/>
      <c r="LQV71" s="122"/>
      <c r="LQW71" s="122"/>
      <c r="LQX71" s="122"/>
      <c r="LQY71" s="122"/>
      <c r="LQZ71" s="122"/>
      <c r="LRA71" s="122"/>
      <c r="LRB71" s="122"/>
      <c r="LRC71" s="122"/>
      <c r="LRD71" s="122"/>
      <c r="LRE71" s="122"/>
      <c r="LRF71" s="122"/>
      <c r="LRG71" s="122"/>
      <c r="LRH71" s="122"/>
      <c r="LRI71" s="122"/>
      <c r="LRJ71" s="122"/>
      <c r="LRK71" s="122"/>
      <c r="LRL71" s="122"/>
      <c r="LRM71" s="122"/>
      <c r="LRN71" s="122"/>
      <c r="LRO71" s="122"/>
      <c r="LRP71" s="122"/>
      <c r="LRQ71" s="122"/>
      <c r="LRR71" s="122"/>
      <c r="LRS71" s="122"/>
      <c r="LRT71" s="122"/>
      <c r="LRU71" s="122"/>
      <c r="LRV71" s="122"/>
      <c r="LRW71" s="122"/>
      <c r="LRX71" s="122"/>
      <c r="LRY71" s="122"/>
      <c r="LRZ71" s="122"/>
      <c r="LSA71" s="122"/>
      <c r="LSB71" s="122"/>
      <c r="LSC71" s="122"/>
      <c r="LSD71" s="122"/>
      <c r="LSE71" s="122"/>
      <c r="LSF71" s="122"/>
      <c r="LSG71" s="122"/>
      <c r="LSH71" s="122"/>
      <c r="LSI71" s="122"/>
      <c r="LSJ71" s="122"/>
      <c r="LSK71" s="122"/>
      <c r="LSL71" s="122"/>
      <c r="LSM71" s="122"/>
      <c r="LSN71" s="122"/>
      <c r="LSO71" s="122"/>
      <c r="LSP71" s="122"/>
      <c r="LSQ71" s="122"/>
      <c r="LSR71" s="122"/>
      <c r="LSS71" s="122"/>
      <c r="LST71" s="122"/>
      <c r="LSU71" s="122"/>
      <c r="LSV71" s="122"/>
      <c r="LSW71" s="122"/>
      <c r="LSX71" s="122"/>
      <c r="LSY71" s="122"/>
      <c r="LSZ71" s="122"/>
      <c r="LTA71" s="122"/>
      <c r="LTB71" s="122"/>
      <c r="LTC71" s="122"/>
      <c r="LTD71" s="122"/>
      <c r="LTE71" s="122"/>
      <c r="LTF71" s="122"/>
      <c r="LTG71" s="122"/>
      <c r="LTH71" s="122"/>
      <c r="LTI71" s="122"/>
      <c r="LTJ71" s="122"/>
      <c r="LTK71" s="122"/>
      <c r="LTL71" s="122"/>
      <c r="LTM71" s="122"/>
      <c r="LTN71" s="122"/>
      <c r="LTO71" s="122"/>
      <c r="LTP71" s="122"/>
      <c r="LTQ71" s="122"/>
      <c r="LTR71" s="122"/>
      <c r="LTS71" s="122"/>
      <c r="LTT71" s="122"/>
      <c r="LTU71" s="122"/>
      <c r="LTV71" s="122"/>
      <c r="LTW71" s="122"/>
      <c r="LTX71" s="122"/>
      <c r="LTY71" s="122"/>
      <c r="LTZ71" s="122"/>
      <c r="LUA71" s="122"/>
      <c r="LUB71" s="122"/>
      <c r="LUC71" s="122"/>
      <c r="LUD71" s="122"/>
      <c r="LUE71" s="122"/>
      <c r="LUF71" s="122"/>
      <c r="LUG71" s="122"/>
      <c r="LUH71" s="122"/>
      <c r="LUI71" s="122"/>
      <c r="LUJ71" s="122"/>
      <c r="LUK71" s="122"/>
      <c r="LUL71" s="122"/>
      <c r="LUM71" s="122"/>
      <c r="LUN71" s="122"/>
      <c r="LUO71" s="122"/>
      <c r="LUP71" s="122"/>
      <c r="LUQ71" s="122"/>
      <c r="LUR71" s="122"/>
      <c r="LUS71" s="122"/>
      <c r="LUT71" s="122"/>
      <c r="LUU71" s="122"/>
      <c r="LUV71" s="122"/>
      <c r="LUW71" s="122"/>
      <c r="LUX71" s="122"/>
      <c r="LUY71" s="122"/>
      <c r="LUZ71" s="122"/>
      <c r="LVA71" s="122"/>
      <c r="LVB71" s="122"/>
      <c r="LVC71" s="122"/>
      <c r="LVD71" s="122"/>
      <c r="LVE71" s="122"/>
      <c r="LVF71" s="122"/>
      <c r="LVG71" s="122"/>
      <c r="LVH71" s="122"/>
      <c r="LVI71" s="122"/>
      <c r="LVJ71" s="122"/>
      <c r="LVK71" s="122"/>
      <c r="LVL71" s="122"/>
      <c r="LVM71" s="122"/>
      <c r="LVN71" s="122"/>
      <c r="LVO71" s="122"/>
      <c r="LVP71" s="122"/>
      <c r="LVQ71" s="122"/>
      <c r="LVR71" s="122"/>
      <c r="LVS71" s="122"/>
      <c r="LVT71" s="122"/>
      <c r="LVU71" s="122"/>
      <c r="LVV71" s="122"/>
      <c r="LVW71" s="122"/>
      <c r="LVX71" s="122"/>
      <c r="LVY71" s="122"/>
      <c r="LVZ71" s="122"/>
      <c r="LWA71" s="122"/>
      <c r="LWB71" s="122"/>
      <c r="LWC71" s="122"/>
      <c r="LWD71" s="122"/>
      <c r="LWE71" s="122"/>
      <c r="LWF71" s="122"/>
      <c r="LWG71" s="122"/>
      <c r="LWH71" s="122"/>
      <c r="LWI71" s="122"/>
      <c r="LWJ71" s="122"/>
      <c r="LWK71" s="122"/>
      <c r="LWL71" s="122"/>
      <c r="LWM71" s="122"/>
      <c r="LWN71" s="122"/>
      <c r="LWO71" s="122"/>
      <c r="LWP71" s="122"/>
      <c r="LWQ71" s="122"/>
      <c r="LWR71" s="122"/>
      <c r="LWS71" s="122"/>
      <c r="LWT71" s="122"/>
      <c r="LWU71" s="122"/>
      <c r="LWV71" s="122"/>
      <c r="LWW71" s="122"/>
      <c r="LWX71" s="122"/>
      <c r="LWY71" s="122"/>
      <c r="LWZ71" s="122"/>
      <c r="LXA71" s="122"/>
      <c r="LXB71" s="122"/>
      <c r="LXC71" s="122"/>
      <c r="LXD71" s="122"/>
      <c r="LXE71" s="122"/>
      <c r="LXF71" s="122"/>
      <c r="LXG71" s="122"/>
      <c r="LXH71" s="122"/>
      <c r="LXI71" s="122"/>
      <c r="LXJ71" s="122"/>
      <c r="LXK71" s="122"/>
      <c r="LXL71" s="122"/>
      <c r="LXM71" s="122"/>
      <c r="LXN71" s="122"/>
      <c r="LXO71" s="122"/>
      <c r="LXP71" s="122"/>
      <c r="LXQ71" s="122"/>
      <c r="LXR71" s="122"/>
      <c r="LXS71" s="122"/>
      <c r="LXT71" s="122"/>
      <c r="LXU71" s="122"/>
      <c r="LXV71" s="122"/>
      <c r="LXW71" s="122"/>
      <c r="LXX71" s="122"/>
      <c r="LXY71" s="122"/>
      <c r="LXZ71" s="122"/>
      <c r="LYA71" s="122"/>
      <c r="LYB71" s="122"/>
      <c r="LYC71" s="122"/>
      <c r="LYD71" s="122"/>
      <c r="LYE71" s="122"/>
      <c r="LYF71" s="122"/>
      <c r="LYG71" s="122"/>
      <c r="LYH71" s="122"/>
      <c r="LYI71" s="122"/>
      <c r="LYJ71" s="122"/>
      <c r="LYK71" s="122"/>
      <c r="LYL71" s="122"/>
      <c r="LYM71" s="122"/>
      <c r="LYN71" s="122"/>
      <c r="LYO71" s="122"/>
      <c r="LYP71" s="122"/>
      <c r="LYQ71" s="122"/>
      <c r="LYR71" s="122"/>
      <c r="LYS71" s="122"/>
      <c r="LYT71" s="122"/>
      <c r="LYU71" s="122"/>
      <c r="LYV71" s="122"/>
      <c r="LYW71" s="122"/>
      <c r="LYX71" s="122"/>
      <c r="LYY71" s="122"/>
      <c r="LYZ71" s="122"/>
      <c r="LZA71" s="122"/>
      <c r="LZB71" s="122"/>
      <c r="LZC71" s="122"/>
      <c r="LZD71" s="122"/>
      <c r="LZE71" s="122"/>
      <c r="LZF71" s="122"/>
      <c r="LZG71" s="122"/>
      <c r="LZH71" s="122"/>
      <c r="LZI71" s="122"/>
      <c r="LZJ71" s="122"/>
      <c r="LZK71" s="122"/>
      <c r="LZL71" s="122"/>
      <c r="LZM71" s="122"/>
      <c r="LZN71" s="122"/>
      <c r="LZO71" s="122"/>
      <c r="LZP71" s="122"/>
      <c r="LZQ71" s="122"/>
      <c r="LZR71" s="122"/>
      <c r="LZS71" s="122"/>
      <c r="LZT71" s="122"/>
      <c r="LZU71" s="122"/>
      <c r="LZV71" s="122"/>
      <c r="LZW71" s="122"/>
      <c r="LZX71" s="122"/>
      <c r="LZY71" s="122"/>
      <c r="LZZ71" s="122"/>
      <c r="MAA71" s="122"/>
      <c r="MAB71" s="122"/>
      <c r="MAC71" s="122"/>
      <c r="MAD71" s="122"/>
      <c r="MAE71" s="122"/>
      <c r="MAF71" s="122"/>
      <c r="MAG71" s="122"/>
      <c r="MAH71" s="122"/>
      <c r="MAI71" s="122"/>
      <c r="MAJ71" s="122"/>
      <c r="MAK71" s="122"/>
      <c r="MAL71" s="122"/>
      <c r="MAM71" s="122"/>
      <c r="MAN71" s="122"/>
      <c r="MAO71" s="122"/>
      <c r="MAP71" s="122"/>
      <c r="MAQ71" s="122"/>
      <c r="MAR71" s="122"/>
      <c r="MAS71" s="122"/>
      <c r="MAT71" s="122"/>
      <c r="MAU71" s="122"/>
      <c r="MAV71" s="122"/>
      <c r="MAW71" s="122"/>
      <c r="MAX71" s="122"/>
      <c r="MAY71" s="122"/>
      <c r="MAZ71" s="122"/>
      <c r="MBA71" s="122"/>
      <c r="MBB71" s="122"/>
      <c r="MBC71" s="122"/>
      <c r="MBD71" s="122"/>
      <c r="MBE71" s="122"/>
      <c r="MBF71" s="122"/>
      <c r="MBG71" s="122"/>
      <c r="MBH71" s="122"/>
      <c r="MBI71" s="122"/>
      <c r="MBJ71" s="122"/>
      <c r="MBK71" s="122"/>
      <c r="MBL71" s="122"/>
      <c r="MBM71" s="122"/>
      <c r="MBN71" s="122"/>
      <c r="MBO71" s="122"/>
      <c r="MBP71" s="122"/>
      <c r="MBQ71" s="122"/>
      <c r="MBR71" s="122"/>
      <c r="MBS71" s="122"/>
      <c r="MBT71" s="122"/>
      <c r="MBU71" s="122"/>
      <c r="MBV71" s="122"/>
      <c r="MBW71" s="122"/>
      <c r="MBX71" s="122"/>
      <c r="MBY71" s="122"/>
      <c r="MBZ71" s="122"/>
      <c r="MCA71" s="122"/>
      <c r="MCB71" s="122"/>
      <c r="MCC71" s="122"/>
      <c r="MCD71" s="122"/>
      <c r="MCE71" s="122"/>
      <c r="MCF71" s="122"/>
      <c r="MCG71" s="122"/>
      <c r="MCH71" s="122"/>
      <c r="MCI71" s="122"/>
      <c r="MCJ71" s="122"/>
      <c r="MCK71" s="122"/>
      <c r="MCL71" s="122"/>
      <c r="MCM71" s="122"/>
      <c r="MCN71" s="122"/>
      <c r="MCO71" s="122"/>
      <c r="MCP71" s="122"/>
      <c r="MCQ71" s="122"/>
      <c r="MCR71" s="122"/>
      <c r="MCS71" s="122"/>
      <c r="MCT71" s="122"/>
      <c r="MCU71" s="122"/>
      <c r="MCV71" s="122"/>
      <c r="MCW71" s="122"/>
      <c r="MCX71" s="122"/>
      <c r="MCY71" s="122"/>
      <c r="MCZ71" s="122"/>
      <c r="MDA71" s="122"/>
      <c r="MDB71" s="122"/>
      <c r="MDC71" s="122"/>
      <c r="MDD71" s="122"/>
      <c r="MDE71" s="122"/>
      <c r="MDF71" s="122"/>
      <c r="MDG71" s="122"/>
      <c r="MDH71" s="122"/>
      <c r="MDI71" s="122"/>
      <c r="MDJ71" s="122"/>
      <c r="MDK71" s="122"/>
      <c r="MDL71" s="122"/>
      <c r="MDM71" s="122"/>
      <c r="MDN71" s="122"/>
      <c r="MDO71" s="122"/>
      <c r="MDP71" s="122"/>
      <c r="MDQ71" s="122"/>
      <c r="MDR71" s="122"/>
      <c r="MDS71" s="122"/>
      <c r="MDT71" s="122"/>
      <c r="MDU71" s="122"/>
      <c r="MDV71" s="122"/>
      <c r="MDW71" s="122"/>
      <c r="MDX71" s="122"/>
      <c r="MDY71" s="122"/>
      <c r="MDZ71" s="122"/>
      <c r="MEA71" s="122"/>
      <c r="MEB71" s="122"/>
      <c r="MEC71" s="122"/>
      <c r="MED71" s="122"/>
      <c r="MEE71" s="122"/>
      <c r="MEF71" s="122"/>
      <c r="MEG71" s="122"/>
      <c r="MEH71" s="122"/>
      <c r="MEI71" s="122"/>
      <c r="MEJ71" s="122"/>
      <c r="MEK71" s="122"/>
      <c r="MEL71" s="122"/>
      <c r="MEM71" s="122"/>
      <c r="MEN71" s="122"/>
      <c r="MEO71" s="122"/>
      <c r="MEP71" s="122"/>
      <c r="MEQ71" s="122"/>
      <c r="MER71" s="122"/>
      <c r="MES71" s="122"/>
      <c r="MET71" s="122"/>
      <c r="MEU71" s="122"/>
      <c r="MEV71" s="122"/>
      <c r="MEW71" s="122"/>
      <c r="MEX71" s="122"/>
      <c r="MEY71" s="122"/>
      <c r="MEZ71" s="122"/>
      <c r="MFA71" s="122"/>
      <c r="MFB71" s="122"/>
      <c r="MFC71" s="122"/>
      <c r="MFD71" s="122"/>
      <c r="MFE71" s="122"/>
      <c r="MFF71" s="122"/>
      <c r="MFG71" s="122"/>
      <c r="MFH71" s="122"/>
      <c r="MFI71" s="122"/>
      <c r="MFJ71" s="122"/>
      <c r="MFK71" s="122"/>
      <c r="MFL71" s="122"/>
      <c r="MFM71" s="122"/>
      <c r="MFN71" s="122"/>
      <c r="MFO71" s="122"/>
      <c r="MFP71" s="122"/>
      <c r="MFQ71" s="122"/>
      <c r="MFR71" s="122"/>
      <c r="MFS71" s="122"/>
      <c r="MFT71" s="122"/>
      <c r="MFU71" s="122"/>
      <c r="MFV71" s="122"/>
      <c r="MFW71" s="122"/>
      <c r="MFX71" s="122"/>
      <c r="MFY71" s="122"/>
      <c r="MFZ71" s="122"/>
      <c r="MGA71" s="122"/>
      <c r="MGB71" s="122"/>
      <c r="MGC71" s="122"/>
      <c r="MGD71" s="122"/>
      <c r="MGE71" s="122"/>
      <c r="MGF71" s="122"/>
      <c r="MGG71" s="122"/>
      <c r="MGH71" s="122"/>
      <c r="MGI71" s="122"/>
      <c r="MGJ71" s="122"/>
      <c r="MGK71" s="122"/>
      <c r="MGL71" s="122"/>
      <c r="MGM71" s="122"/>
      <c r="MGN71" s="122"/>
      <c r="MGO71" s="122"/>
      <c r="MGP71" s="122"/>
      <c r="MGQ71" s="122"/>
      <c r="MGR71" s="122"/>
      <c r="MGS71" s="122"/>
      <c r="MGT71" s="122"/>
      <c r="MGU71" s="122"/>
      <c r="MGV71" s="122"/>
      <c r="MGW71" s="122"/>
      <c r="MGX71" s="122"/>
      <c r="MGY71" s="122"/>
      <c r="MGZ71" s="122"/>
      <c r="MHA71" s="122"/>
      <c r="MHB71" s="122"/>
      <c r="MHC71" s="122"/>
      <c r="MHD71" s="122"/>
      <c r="MHE71" s="122"/>
      <c r="MHF71" s="122"/>
      <c r="MHG71" s="122"/>
      <c r="MHH71" s="122"/>
      <c r="MHI71" s="122"/>
      <c r="MHJ71" s="122"/>
      <c r="MHK71" s="122"/>
      <c r="MHL71" s="122"/>
      <c r="MHM71" s="122"/>
      <c r="MHN71" s="122"/>
      <c r="MHO71" s="122"/>
      <c r="MHP71" s="122"/>
      <c r="MHQ71" s="122"/>
      <c r="MHR71" s="122"/>
      <c r="MHS71" s="122"/>
      <c r="MHT71" s="122"/>
      <c r="MHU71" s="122"/>
      <c r="MHV71" s="122"/>
      <c r="MHW71" s="122"/>
      <c r="MHX71" s="122"/>
      <c r="MHY71" s="122"/>
      <c r="MHZ71" s="122"/>
      <c r="MIA71" s="122"/>
      <c r="MIB71" s="122"/>
      <c r="MIC71" s="122"/>
      <c r="MID71" s="122"/>
      <c r="MIE71" s="122"/>
      <c r="MIF71" s="122"/>
      <c r="MIG71" s="122"/>
      <c r="MIH71" s="122"/>
      <c r="MII71" s="122"/>
      <c r="MIJ71" s="122"/>
      <c r="MIK71" s="122"/>
      <c r="MIL71" s="122"/>
      <c r="MIM71" s="122"/>
      <c r="MIN71" s="122"/>
      <c r="MIO71" s="122"/>
      <c r="MIP71" s="122"/>
      <c r="MIQ71" s="122"/>
      <c r="MIR71" s="122"/>
      <c r="MIS71" s="122"/>
      <c r="MIT71" s="122"/>
      <c r="MIU71" s="122"/>
      <c r="MIV71" s="122"/>
      <c r="MIW71" s="122"/>
      <c r="MIX71" s="122"/>
      <c r="MIY71" s="122"/>
      <c r="MIZ71" s="122"/>
      <c r="MJA71" s="122"/>
      <c r="MJB71" s="122"/>
      <c r="MJC71" s="122"/>
      <c r="MJD71" s="122"/>
      <c r="MJE71" s="122"/>
      <c r="MJF71" s="122"/>
      <c r="MJG71" s="122"/>
      <c r="MJH71" s="122"/>
      <c r="MJI71" s="122"/>
      <c r="MJJ71" s="122"/>
      <c r="MJK71" s="122"/>
      <c r="MJL71" s="122"/>
      <c r="MJM71" s="122"/>
      <c r="MJN71" s="122"/>
      <c r="MJO71" s="122"/>
      <c r="MJP71" s="122"/>
      <c r="MJQ71" s="122"/>
      <c r="MJR71" s="122"/>
      <c r="MJS71" s="122"/>
      <c r="MJT71" s="122"/>
      <c r="MJU71" s="122"/>
      <c r="MJV71" s="122"/>
      <c r="MJW71" s="122"/>
      <c r="MJX71" s="122"/>
      <c r="MJY71" s="122"/>
      <c r="MJZ71" s="122"/>
      <c r="MKA71" s="122"/>
      <c r="MKB71" s="122"/>
      <c r="MKC71" s="122"/>
      <c r="MKD71" s="122"/>
      <c r="MKE71" s="122"/>
      <c r="MKF71" s="122"/>
      <c r="MKG71" s="122"/>
      <c r="MKH71" s="122"/>
      <c r="MKI71" s="122"/>
      <c r="MKJ71" s="122"/>
      <c r="MKK71" s="122"/>
      <c r="MKL71" s="122"/>
      <c r="MKM71" s="122"/>
      <c r="MKN71" s="122"/>
      <c r="MKO71" s="122"/>
      <c r="MKP71" s="122"/>
      <c r="MKQ71" s="122"/>
      <c r="MKR71" s="122"/>
      <c r="MKS71" s="122"/>
      <c r="MKT71" s="122"/>
      <c r="MKU71" s="122"/>
      <c r="MKV71" s="122"/>
      <c r="MKW71" s="122"/>
      <c r="MKX71" s="122"/>
      <c r="MKY71" s="122"/>
      <c r="MKZ71" s="122"/>
      <c r="MLA71" s="122"/>
      <c r="MLB71" s="122"/>
      <c r="MLC71" s="122"/>
      <c r="MLD71" s="122"/>
      <c r="MLE71" s="122"/>
      <c r="MLF71" s="122"/>
      <c r="MLG71" s="122"/>
      <c r="MLH71" s="122"/>
      <c r="MLI71" s="122"/>
      <c r="MLJ71" s="122"/>
      <c r="MLK71" s="122"/>
      <c r="MLL71" s="122"/>
      <c r="MLM71" s="122"/>
      <c r="MLN71" s="122"/>
      <c r="MLO71" s="122"/>
      <c r="MLP71" s="122"/>
      <c r="MLQ71" s="122"/>
      <c r="MLR71" s="122"/>
      <c r="MLS71" s="122"/>
      <c r="MLT71" s="122"/>
      <c r="MLU71" s="122"/>
      <c r="MLV71" s="122"/>
      <c r="MLW71" s="122"/>
      <c r="MLX71" s="122"/>
      <c r="MLY71" s="122"/>
      <c r="MLZ71" s="122"/>
      <c r="MMA71" s="122"/>
      <c r="MMB71" s="122"/>
      <c r="MMC71" s="122"/>
      <c r="MMD71" s="122"/>
      <c r="MME71" s="122"/>
      <c r="MMF71" s="122"/>
      <c r="MMG71" s="122"/>
      <c r="MMH71" s="122"/>
      <c r="MMI71" s="122"/>
      <c r="MMJ71" s="122"/>
      <c r="MMK71" s="122"/>
      <c r="MML71" s="122"/>
      <c r="MMM71" s="122"/>
      <c r="MMN71" s="122"/>
      <c r="MMO71" s="122"/>
      <c r="MMP71" s="122"/>
      <c r="MMQ71" s="122"/>
      <c r="MMR71" s="122"/>
      <c r="MMS71" s="122"/>
      <c r="MMT71" s="122"/>
      <c r="MMU71" s="122"/>
      <c r="MMV71" s="122"/>
      <c r="MMW71" s="122"/>
      <c r="MMX71" s="122"/>
      <c r="MMY71" s="122"/>
      <c r="MMZ71" s="122"/>
      <c r="MNA71" s="122"/>
      <c r="MNB71" s="122"/>
      <c r="MNC71" s="122"/>
      <c r="MND71" s="122"/>
      <c r="MNE71" s="122"/>
      <c r="MNF71" s="122"/>
      <c r="MNG71" s="122"/>
      <c r="MNH71" s="122"/>
      <c r="MNI71" s="122"/>
      <c r="MNJ71" s="122"/>
      <c r="MNK71" s="122"/>
      <c r="MNL71" s="122"/>
      <c r="MNM71" s="122"/>
      <c r="MNN71" s="122"/>
      <c r="MNO71" s="122"/>
      <c r="MNP71" s="122"/>
      <c r="MNQ71" s="122"/>
      <c r="MNR71" s="122"/>
      <c r="MNS71" s="122"/>
      <c r="MNT71" s="122"/>
      <c r="MNU71" s="122"/>
      <c r="MNV71" s="122"/>
      <c r="MNW71" s="122"/>
      <c r="MNX71" s="122"/>
      <c r="MNY71" s="122"/>
      <c r="MNZ71" s="122"/>
      <c r="MOA71" s="122"/>
      <c r="MOB71" s="122"/>
      <c r="MOC71" s="122"/>
      <c r="MOD71" s="122"/>
      <c r="MOE71" s="122"/>
      <c r="MOF71" s="122"/>
      <c r="MOG71" s="122"/>
      <c r="MOH71" s="122"/>
      <c r="MOI71" s="122"/>
      <c r="MOJ71" s="122"/>
      <c r="MOK71" s="122"/>
      <c r="MOL71" s="122"/>
      <c r="MOM71" s="122"/>
      <c r="MON71" s="122"/>
      <c r="MOO71" s="122"/>
      <c r="MOP71" s="122"/>
      <c r="MOQ71" s="122"/>
      <c r="MOR71" s="122"/>
      <c r="MOS71" s="122"/>
      <c r="MOT71" s="122"/>
      <c r="MOU71" s="122"/>
      <c r="MOV71" s="122"/>
      <c r="MOW71" s="122"/>
      <c r="MOX71" s="122"/>
      <c r="MOY71" s="122"/>
      <c r="MOZ71" s="122"/>
      <c r="MPA71" s="122"/>
      <c r="MPB71" s="122"/>
      <c r="MPC71" s="122"/>
      <c r="MPD71" s="122"/>
      <c r="MPE71" s="122"/>
      <c r="MPF71" s="122"/>
      <c r="MPG71" s="122"/>
      <c r="MPH71" s="122"/>
      <c r="MPI71" s="122"/>
      <c r="MPJ71" s="122"/>
      <c r="MPK71" s="122"/>
      <c r="MPL71" s="122"/>
      <c r="MPM71" s="122"/>
      <c r="MPN71" s="122"/>
      <c r="MPO71" s="122"/>
      <c r="MPP71" s="122"/>
      <c r="MPQ71" s="122"/>
      <c r="MPR71" s="122"/>
      <c r="MPS71" s="122"/>
      <c r="MPT71" s="122"/>
      <c r="MPU71" s="122"/>
      <c r="MPV71" s="122"/>
      <c r="MPW71" s="122"/>
      <c r="MPX71" s="122"/>
      <c r="MPY71" s="122"/>
      <c r="MPZ71" s="122"/>
      <c r="MQA71" s="122"/>
      <c r="MQB71" s="122"/>
      <c r="MQC71" s="122"/>
      <c r="MQD71" s="122"/>
      <c r="MQE71" s="122"/>
      <c r="MQF71" s="122"/>
      <c r="MQG71" s="122"/>
      <c r="MQH71" s="122"/>
      <c r="MQI71" s="122"/>
      <c r="MQJ71" s="122"/>
      <c r="MQK71" s="122"/>
      <c r="MQL71" s="122"/>
      <c r="MQM71" s="122"/>
      <c r="MQN71" s="122"/>
      <c r="MQO71" s="122"/>
      <c r="MQP71" s="122"/>
      <c r="MQQ71" s="122"/>
      <c r="MQR71" s="122"/>
      <c r="MQS71" s="122"/>
      <c r="MQT71" s="122"/>
      <c r="MQU71" s="122"/>
      <c r="MQV71" s="122"/>
      <c r="MQW71" s="122"/>
      <c r="MQX71" s="122"/>
      <c r="MQY71" s="122"/>
      <c r="MQZ71" s="122"/>
      <c r="MRA71" s="122"/>
      <c r="MRB71" s="122"/>
      <c r="MRC71" s="122"/>
      <c r="MRD71" s="122"/>
      <c r="MRE71" s="122"/>
      <c r="MRF71" s="122"/>
      <c r="MRG71" s="122"/>
      <c r="MRH71" s="122"/>
      <c r="MRI71" s="122"/>
      <c r="MRJ71" s="122"/>
      <c r="MRK71" s="122"/>
      <c r="MRL71" s="122"/>
      <c r="MRM71" s="122"/>
      <c r="MRN71" s="122"/>
      <c r="MRO71" s="122"/>
      <c r="MRP71" s="122"/>
      <c r="MRQ71" s="122"/>
      <c r="MRR71" s="122"/>
      <c r="MRS71" s="122"/>
      <c r="MRT71" s="122"/>
      <c r="MRU71" s="122"/>
      <c r="MRV71" s="122"/>
      <c r="MRW71" s="122"/>
      <c r="MRX71" s="122"/>
      <c r="MRY71" s="122"/>
      <c r="MRZ71" s="122"/>
      <c r="MSA71" s="122"/>
      <c r="MSB71" s="122"/>
      <c r="MSC71" s="122"/>
      <c r="MSD71" s="122"/>
      <c r="MSE71" s="122"/>
      <c r="MSF71" s="122"/>
      <c r="MSG71" s="122"/>
      <c r="MSH71" s="122"/>
      <c r="MSI71" s="122"/>
      <c r="MSJ71" s="122"/>
      <c r="MSK71" s="122"/>
      <c r="MSL71" s="122"/>
      <c r="MSM71" s="122"/>
      <c r="MSN71" s="122"/>
      <c r="MSO71" s="122"/>
      <c r="MSP71" s="122"/>
      <c r="MSQ71" s="122"/>
      <c r="MSR71" s="122"/>
      <c r="MSS71" s="122"/>
      <c r="MST71" s="122"/>
      <c r="MSU71" s="122"/>
      <c r="MSV71" s="122"/>
      <c r="MSW71" s="122"/>
      <c r="MSX71" s="122"/>
      <c r="MSY71" s="122"/>
      <c r="MSZ71" s="122"/>
      <c r="MTA71" s="122"/>
      <c r="MTB71" s="122"/>
      <c r="MTC71" s="122"/>
      <c r="MTD71" s="122"/>
      <c r="MTE71" s="122"/>
      <c r="MTF71" s="122"/>
      <c r="MTG71" s="122"/>
      <c r="MTH71" s="122"/>
      <c r="MTI71" s="122"/>
      <c r="MTJ71" s="122"/>
      <c r="MTK71" s="122"/>
      <c r="MTL71" s="122"/>
      <c r="MTM71" s="122"/>
      <c r="MTN71" s="122"/>
      <c r="MTO71" s="122"/>
      <c r="MTP71" s="122"/>
      <c r="MTQ71" s="122"/>
      <c r="MTR71" s="122"/>
      <c r="MTS71" s="122"/>
      <c r="MTT71" s="122"/>
      <c r="MTU71" s="122"/>
      <c r="MTV71" s="122"/>
      <c r="MTW71" s="122"/>
      <c r="MTX71" s="122"/>
      <c r="MTY71" s="122"/>
      <c r="MTZ71" s="122"/>
      <c r="MUA71" s="122"/>
      <c r="MUB71" s="122"/>
      <c r="MUC71" s="122"/>
      <c r="MUD71" s="122"/>
      <c r="MUE71" s="122"/>
      <c r="MUF71" s="122"/>
      <c r="MUG71" s="122"/>
      <c r="MUH71" s="122"/>
      <c r="MUI71" s="122"/>
      <c r="MUJ71" s="122"/>
      <c r="MUK71" s="122"/>
      <c r="MUL71" s="122"/>
      <c r="MUM71" s="122"/>
      <c r="MUN71" s="122"/>
      <c r="MUO71" s="122"/>
      <c r="MUP71" s="122"/>
      <c r="MUQ71" s="122"/>
      <c r="MUR71" s="122"/>
      <c r="MUS71" s="122"/>
      <c r="MUT71" s="122"/>
      <c r="MUU71" s="122"/>
      <c r="MUV71" s="122"/>
      <c r="MUW71" s="122"/>
      <c r="MUX71" s="122"/>
      <c r="MUY71" s="122"/>
      <c r="MUZ71" s="122"/>
      <c r="MVA71" s="122"/>
      <c r="MVB71" s="122"/>
      <c r="MVC71" s="122"/>
      <c r="MVD71" s="122"/>
      <c r="MVE71" s="122"/>
      <c r="MVF71" s="122"/>
      <c r="MVG71" s="122"/>
      <c r="MVH71" s="122"/>
      <c r="MVI71" s="122"/>
      <c r="MVJ71" s="122"/>
      <c r="MVK71" s="122"/>
      <c r="MVL71" s="122"/>
      <c r="MVM71" s="122"/>
      <c r="MVN71" s="122"/>
      <c r="MVO71" s="122"/>
      <c r="MVP71" s="122"/>
      <c r="MVQ71" s="122"/>
      <c r="MVR71" s="122"/>
      <c r="MVS71" s="122"/>
      <c r="MVT71" s="122"/>
      <c r="MVU71" s="122"/>
      <c r="MVV71" s="122"/>
      <c r="MVW71" s="122"/>
      <c r="MVX71" s="122"/>
      <c r="MVY71" s="122"/>
      <c r="MVZ71" s="122"/>
      <c r="MWA71" s="122"/>
      <c r="MWB71" s="122"/>
      <c r="MWC71" s="122"/>
      <c r="MWD71" s="122"/>
      <c r="MWE71" s="122"/>
      <c r="MWF71" s="122"/>
      <c r="MWG71" s="122"/>
      <c r="MWH71" s="122"/>
      <c r="MWI71" s="122"/>
      <c r="MWJ71" s="122"/>
      <c r="MWK71" s="122"/>
      <c r="MWL71" s="122"/>
      <c r="MWM71" s="122"/>
      <c r="MWN71" s="122"/>
      <c r="MWO71" s="122"/>
      <c r="MWP71" s="122"/>
      <c r="MWQ71" s="122"/>
      <c r="MWR71" s="122"/>
      <c r="MWS71" s="122"/>
      <c r="MWT71" s="122"/>
      <c r="MWU71" s="122"/>
      <c r="MWV71" s="122"/>
      <c r="MWW71" s="122"/>
      <c r="MWX71" s="122"/>
      <c r="MWY71" s="122"/>
      <c r="MWZ71" s="122"/>
      <c r="MXA71" s="122"/>
      <c r="MXB71" s="122"/>
      <c r="MXC71" s="122"/>
      <c r="MXD71" s="122"/>
      <c r="MXE71" s="122"/>
      <c r="MXF71" s="122"/>
      <c r="MXG71" s="122"/>
      <c r="MXH71" s="122"/>
      <c r="MXI71" s="122"/>
      <c r="MXJ71" s="122"/>
      <c r="MXK71" s="122"/>
      <c r="MXL71" s="122"/>
      <c r="MXM71" s="122"/>
      <c r="MXN71" s="122"/>
      <c r="MXO71" s="122"/>
      <c r="MXP71" s="122"/>
      <c r="MXQ71" s="122"/>
      <c r="MXR71" s="122"/>
      <c r="MXS71" s="122"/>
      <c r="MXT71" s="122"/>
      <c r="MXU71" s="122"/>
      <c r="MXV71" s="122"/>
      <c r="MXW71" s="122"/>
      <c r="MXX71" s="122"/>
      <c r="MXY71" s="122"/>
      <c r="MXZ71" s="122"/>
      <c r="MYA71" s="122"/>
      <c r="MYB71" s="122"/>
      <c r="MYC71" s="122"/>
      <c r="MYD71" s="122"/>
      <c r="MYE71" s="122"/>
      <c r="MYF71" s="122"/>
      <c r="MYG71" s="122"/>
      <c r="MYH71" s="122"/>
      <c r="MYI71" s="122"/>
      <c r="MYJ71" s="122"/>
      <c r="MYK71" s="122"/>
      <c r="MYL71" s="122"/>
      <c r="MYM71" s="122"/>
      <c r="MYN71" s="122"/>
      <c r="MYO71" s="122"/>
      <c r="MYP71" s="122"/>
      <c r="MYQ71" s="122"/>
      <c r="MYR71" s="122"/>
      <c r="MYS71" s="122"/>
      <c r="MYT71" s="122"/>
      <c r="MYU71" s="122"/>
      <c r="MYV71" s="122"/>
      <c r="MYW71" s="122"/>
      <c r="MYX71" s="122"/>
      <c r="MYY71" s="122"/>
      <c r="MYZ71" s="122"/>
      <c r="MZA71" s="122"/>
      <c r="MZB71" s="122"/>
      <c r="MZC71" s="122"/>
      <c r="MZD71" s="122"/>
      <c r="MZE71" s="122"/>
      <c r="MZF71" s="122"/>
      <c r="MZG71" s="122"/>
      <c r="MZH71" s="122"/>
      <c r="MZI71" s="122"/>
      <c r="MZJ71" s="122"/>
      <c r="MZK71" s="122"/>
      <c r="MZL71" s="122"/>
      <c r="MZM71" s="122"/>
      <c r="MZN71" s="122"/>
      <c r="MZO71" s="122"/>
      <c r="MZP71" s="122"/>
      <c r="MZQ71" s="122"/>
      <c r="MZR71" s="122"/>
      <c r="MZS71" s="122"/>
      <c r="MZT71" s="122"/>
      <c r="MZU71" s="122"/>
      <c r="MZV71" s="122"/>
      <c r="MZW71" s="122"/>
      <c r="MZX71" s="122"/>
      <c r="MZY71" s="122"/>
      <c r="MZZ71" s="122"/>
      <c r="NAA71" s="122"/>
      <c r="NAB71" s="122"/>
      <c r="NAC71" s="122"/>
      <c r="NAD71" s="122"/>
      <c r="NAE71" s="122"/>
      <c r="NAF71" s="122"/>
      <c r="NAG71" s="122"/>
      <c r="NAH71" s="122"/>
      <c r="NAI71" s="122"/>
      <c r="NAJ71" s="122"/>
      <c r="NAK71" s="122"/>
      <c r="NAL71" s="122"/>
      <c r="NAM71" s="122"/>
      <c r="NAN71" s="122"/>
      <c r="NAO71" s="122"/>
      <c r="NAP71" s="122"/>
      <c r="NAQ71" s="122"/>
      <c r="NAR71" s="122"/>
      <c r="NAS71" s="122"/>
      <c r="NAT71" s="122"/>
      <c r="NAU71" s="122"/>
      <c r="NAV71" s="122"/>
      <c r="NAW71" s="122"/>
      <c r="NAX71" s="122"/>
      <c r="NAY71" s="122"/>
      <c r="NAZ71" s="122"/>
      <c r="NBA71" s="122"/>
      <c r="NBB71" s="122"/>
      <c r="NBC71" s="122"/>
      <c r="NBD71" s="122"/>
      <c r="NBE71" s="122"/>
      <c r="NBF71" s="122"/>
      <c r="NBG71" s="122"/>
      <c r="NBH71" s="122"/>
      <c r="NBI71" s="122"/>
      <c r="NBJ71" s="122"/>
      <c r="NBK71" s="122"/>
      <c r="NBL71" s="122"/>
      <c r="NBM71" s="122"/>
      <c r="NBN71" s="122"/>
      <c r="NBO71" s="122"/>
      <c r="NBP71" s="122"/>
      <c r="NBQ71" s="122"/>
      <c r="NBR71" s="122"/>
      <c r="NBS71" s="122"/>
      <c r="NBT71" s="122"/>
      <c r="NBU71" s="122"/>
      <c r="NBV71" s="122"/>
      <c r="NBW71" s="122"/>
      <c r="NBX71" s="122"/>
      <c r="NBY71" s="122"/>
      <c r="NBZ71" s="122"/>
      <c r="NCA71" s="122"/>
      <c r="NCB71" s="122"/>
      <c r="NCC71" s="122"/>
      <c r="NCD71" s="122"/>
      <c r="NCE71" s="122"/>
      <c r="NCF71" s="122"/>
      <c r="NCG71" s="122"/>
      <c r="NCH71" s="122"/>
      <c r="NCI71" s="122"/>
      <c r="NCJ71" s="122"/>
      <c r="NCK71" s="122"/>
      <c r="NCL71" s="122"/>
      <c r="NCM71" s="122"/>
      <c r="NCN71" s="122"/>
      <c r="NCO71" s="122"/>
      <c r="NCP71" s="122"/>
      <c r="NCQ71" s="122"/>
      <c r="NCR71" s="122"/>
      <c r="NCS71" s="122"/>
      <c r="NCT71" s="122"/>
      <c r="NCU71" s="122"/>
      <c r="NCV71" s="122"/>
      <c r="NCW71" s="122"/>
      <c r="NCX71" s="122"/>
      <c r="NCY71" s="122"/>
      <c r="NCZ71" s="122"/>
      <c r="NDA71" s="122"/>
      <c r="NDB71" s="122"/>
      <c r="NDC71" s="122"/>
      <c r="NDD71" s="122"/>
      <c r="NDE71" s="122"/>
      <c r="NDF71" s="122"/>
      <c r="NDG71" s="122"/>
      <c r="NDH71" s="122"/>
      <c r="NDI71" s="122"/>
      <c r="NDJ71" s="122"/>
      <c r="NDK71" s="122"/>
      <c r="NDL71" s="122"/>
      <c r="NDM71" s="122"/>
      <c r="NDN71" s="122"/>
      <c r="NDO71" s="122"/>
      <c r="NDP71" s="122"/>
      <c r="NDQ71" s="122"/>
      <c r="NDR71" s="122"/>
      <c r="NDS71" s="122"/>
      <c r="NDT71" s="122"/>
      <c r="NDU71" s="122"/>
      <c r="NDV71" s="122"/>
      <c r="NDW71" s="122"/>
      <c r="NDX71" s="122"/>
      <c r="NDY71" s="122"/>
      <c r="NDZ71" s="122"/>
      <c r="NEA71" s="122"/>
      <c r="NEB71" s="122"/>
      <c r="NEC71" s="122"/>
      <c r="NED71" s="122"/>
      <c r="NEE71" s="122"/>
      <c r="NEF71" s="122"/>
      <c r="NEG71" s="122"/>
      <c r="NEH71" s="122"/>
      <c r="NEI71" s="122"/>
      <c r="NEJ71" s="122"/>
      <c r="NEK71" s="122"/>
      <c r="NEL71" s="122"/>
      <c r="NEM71" s="122"/>
      <c r="NEN71" s="122"/>
      <c r="NEO71" s="122"/>
      <c r="NEP71" s="122"/>
      <c r="NEQ71" s="122"/>
      <c r="NER71" s="122"/>
      <c r="NES71" s="122"/>
      <c r="NET71" s="122"/>
      <c r="NEU71" s="122"/>
      <c r="NEV71" s="122"/>
      <c r="NEW71" s="122"/>
      <c r="NEX71" s="122"/>
      <c r="NEY71" s="122"/>
      <c r="NEZ71" s="122"/>
      <c r="NFA71" s="122"/>
      <c r="NFB71" s="122"/>
      <c r="NFC71" s="122"/>
      <c r="NFD71" s="122"/>
      <c r="NFE71" s="122"/>
      <c r="NFF71" s="122"/>
      <c r="NFG71" s="122"/>
      <c r="NFH71" s="122"/>
      <c r="NFI71" s="122"/>
      <c r="NFJ71" s="122"/>
      <c r="NFK71" s="122"/>
      <c r="NFL71" s="122"/>
      <c r="NFM71" s="122"/>
      <c r="NFN71" s="122"/>
      <c r="NFO71" s="122"/>
      <c r="NFP71" s="122"/>
      <c r="NFQ71" s="122"/>
      <c r="NFR71" s="122"/>
      <c r="NFS71" s="122"/>
      <c r="NFT71" s="122"/>
      <c r="NFU71" s="122"/>
      <c r="NFV71" s="122"/>
      <c r="NFW71" s="122"/>
      <c r="NFX71" s="122"/>
      <c r="NFY71" s="122"/>
      <c r="NFZ71" s="122"/>
      <c r="NGA71" s="122"/>
      <c r="NGB71" s="122"/>
      <c r="NGC71" s="122"/>
      <c r="NGD71" s="122"/>
      <c r="NGE71" s="122"/>
      <c r="NGF71" s="122"/>
      <c r="NGG71" s="122"/>
      <c r="NGH71" s="122"/>
      <c r="NGI71" s="122"/>
      <c r="NGJ71" s="122"/>
      <c r="NGK71" s="122"/>
      <c r="NGL71" s="122"/>
      <c r="NGM71" s="122"/>
      <c r="NGN71" s="122"/>
      <c r="NGO71" s="122"/>
      <c r="NGP71" s="122"/>
      <c r="NGQ71" s="122"/>
      <c r="NGR71" s="122"/>
      <c r="NGS71" s="122"/>
      <c r="NGT71" s="122"/>
      <c r="NGU71" s="122"/>
      <c r="NGV71" s="122"/>
      <c r="NGW71" s="122"/>
      <c r="NGX71" s="122"/>
      <c r="NGY71" s="122"/>
      <c r="NGZ71" s="122"/>
      <c r="NHA71" s="122"/>
      <c r="NHB71" s="122"/>
      <c r="NHC71" s="122"/>
      <c r="NHD71" s="122"/>
      <c r="NHE71" s="122"/>
      <c r="NHF71" s="122"/>
      <c r="NHG71" s="122"/>
      <c r="NHH71" s="122"/>
      <c r="NHI71" s="122"/>
      <c r="NHJ71" s="122"/>
      <c r="NHK71" s="122"/>
      <c r="NHL71" s="122"/>
      <c r="NHM71" s="122"/>
      <c r="NHN71" s="122"/>
      <c r="NHO71" s="122"/>
      <c r="NHP71" s="122"/>
      <c r="NHQ71" s="122"/>
      <c r="NHR71" s="122"/>
      <c r="NHS71" s="122"/>
      <c r="NHT71" s="122"/>
      <c r="NHU71" s="122"/>
      <c r="NHV71" s="122"/>
      <c r="NHW71" s="122"/>
      <c r="NHX71" s="122"/>
      <c r="NHY71" s="122"/>
      <c r="NHZ71" s="122"/>
      <c r="NIA71" s="122"/>
      <c r="NIB71" s="122"/>
      <c r="NIC71" s="122"/>
      <c r="NID71" s="122"/>
      <c r="NIE71" s="122"/>
      <c r="NIF71" s="122"/>
      <c r="NIG71" s="122"/>
      <c r="NIH71" s="122"/>
      <c r="NII71" s="122"/>
      <c r="NIJ71" s="122"/>
      <c r="NIK71" s="122"/>
      <c r="NIL71" s="122"/>
      <c r="NIM71" s="122"/>
      <c r="NIN71" s="122"/>
      <c r="NIO71" s="122"/>
      <c r="NIP71" s="122"/>
      <c r="NIQ71" s="122"/>
      <c r="NIR71" s="122"/>
      <c r="NIS71" s="122"/>
      <c r="NIT71" s="122"/>
      <c r="NIU71" s="122"/>
      <c r="NIV71" s="122"/>
      <c r="NIW71" s="122"/>
      <c r="NIX71" s="122"/>
      <c r="NIY71" s="122"/>
      <c r="NIZ71" s="122"/>
      <c r="NJA71" s="122"/>
      <c r="NJB71" s="122"/>
      <c r="NJC71" s="122"/>
      <c r="NJD71" s="122"/>
      <c r="NJE71" s="122"/>
      <c r="NJF71" s="122"/>
      <c r="NJG71" s="122"/>
      <c r="NJH71" s="122"/>
      <c r="NJI71" s="122"/>
      <c r="NJJ71" s="122"/>
      <c r="NJK71" s="122"/>
      <c r="NJL71" s="122"/>
      <c r="NJM71" s="122"/>
      <c r="NJN71" s="122"/>
      <c r="NJO71" s="122"/>
      <c r="NJP71" s="122"/>
      <c r="NJQ71" s="122"/>
      <c r="NJR71" s="122"/>
      <c r="NJS71" s="122"/>
      <c r="NJT71" s="122"/>
      <c r="NJU71" s="122"/>
      <c r="NJV71" s="122"/>
      <c r="NJW71" s="122"/>
      <c r="NJX71" s="122"/>
      <c r="NJY71" s="122"/>
      <c r="NJZ71" s="122"/>
      <c r="NKA71" s="122"/>
      <c r="NKB71" s="122"/>
      <c r="NKC71" s="122"/>
      <c r="NKD71" s="122"/>
      <c r="NKE71" s="122"/>
      <c r="NKF71" s="122"/>
      <c r="NKG71" s="122"/>
      <c r="NKH71" s="122"/>
      <c r="NKI71" s="122"/>
      <c r="NKJ71" s="122"/>
      <c r="NKK71" s="122"/>
      <c r="NKL71" s="122"/>
      <c r="NKM71" s="122"/>
      <c r="NKN71" s="122"/>
      <c r="NKO71" s="122"/>
      <c r="NKP71" s="122"/>
      <c r="NKQ71" s="122"/>
      <c r="NKR71" s="122"/>
      <c r="NKS71" s="122"/>
      <c r="NKT71" s="122"/>
      <c r="NKU71" s="122"/>
      <c r="NKV71" s="122"/>
      <c r="NKW71" s="122"/>
      <c r="NKX71" s="122"/>
      <c r="NKY71" s="122"/>
      <c r="NKZ71" s="122"/>
      <c r="NLA71" s="122"/>
      <c r="NLB71" s="122"/>
      <c r="NLC71" s="122"/>
      <c r="NLD71" s="122"/>
      <c r="NLE71" s="122"/>
      <c r="NLF71" s="122"/>
      <c r="NLG71" s="122"/>
      <c r="NLH71" s="122"/>
      <c r="NLI71" s="122"/>
      <c r="NLJ71" s="122"/>
      <c r="NLK71" s="122"/>
      <c r="NLL71" s="122"/>
      <c r="NLM71" s="122"/>
      <c r="NLN71" s="122"/>
      <c r="NLO71" s="122"/>
      <c r="NLP71" s="122"/>
      <c r="NLQ71" s="122"/>
      <c r="NLR71" s="122"/>
      <c r="NLS71" s="122"/>
      <c r="NLT71" s="122"/>
      <c r="NLU71" s="122"/>
      <c r="NLV71" s="122"/>
      <c r="NLW71" s="122"/>
      <c r="NLX71" s="122"/>
      <c r="NLY71" s="122"/>
      <c r="NLZ71" s="122"/>
      <c r="NMA71" s="122"/>
      <c r="NMB71" s="122"/>
      <c r="NMC71" s="122"/>
      <c r="NMD71" s="122"/>
      <c r="NME71" s="122"/>
      <c r="NMF71" s="122"/>
      <c r="NMG71" s="122"/>
      <c r="NMH71" s="122"/>
      <c r="NMI71" s="122"/>
      <c r="NMJ71" s="122"/>
      <c r="NMK71" s="122"/>
      <c r="NML71" s="122"/>
      <c r="NMM71" s="122"/>
      <c r="NMN71" s="122"/>
      <c r="NMO71" s="122"/>
      <c r="NMP71" s="122"/>
      <c r="NMQ71" s="122"/>
      <c r="NMR71" s="122"/>
      <c r="NMS71" s="122"/>
      <c r="NMT71" s="122"/>
      <c r="NMU71" s="122"/>
      <c r="NMV71" s="122"/>
      <c r="NMW71" s="122"/>
      <c r="NMX71" s="122"/>
      <c r="NMY71" s="122"/>
      <c r="NMZ71" s="122"/>
      <c r="NNA71" s="122"/>
      <c r="NNB71" s="122"/>
      <c r="NNC71" s="122"/>
      <c r="NND71" s="122"/>
      <c r="NNE71" s="122"/>
      <c r="NNF71" s="122"/>
      <c r="NNG71" s="122"/>
      <c r="NNH71" s="122"/>
      <c r="NNI71" s="122"/>
      <c r="NNJ71" s="122"/>
      <c r="NNK71" s="122"/>
      <c r="NNL71" s="122"/>
      <c r="NNM71" s="122"/>
      <c r="NNN71" s="122"/>
      <c r="NNO71" s="122"/>
      <c r="NNP71" s="122"/>
      <c r="NNQ71" s="122"/>
      <c r="NNR71" s="122"/>
      <c r="NNS71" s="122"/>
      <c r="NNT71" s="122"/>
      <c r="NNU71" s="122"/>
      <c r="NNV71" s="122"/>
      <c r="NNW71" s="122"/>
      <c r="NNX71" s="122"/>
      <c r="NNY71" s="122"/>
      <c r="NNZ71" s="122"/>
      <c r="NOA71" s="122"/>
      <c r="NOB71" s="122"/>
      <c r="NOC71" s="122"/>
      <c r="NOD71" s="122"/>
      <c r="NOE71" s="122"/>
      <c r="NOF71" s="122"/>
      <c r="NOG71" s="122"/>
      <c r="NOH71" s="122"/>
      <c r="NOI71" s="122"/>
      <c r="NOJ71" s="122"/>
      <c r="NOK71" s="122"/>
      <c r="NOL71" s="122"/>
      <c r="NOM71" s="122"/>
      <c r="NON71" s="122"/>
      <c r="NOO71" s="122"/>
      <c r="NOP71" s="122"/>
      <c r="NOQ71" s="122"/>
      <c r="NOR71" s="122"/>
      <c r="NOS71" s="122"/>
      <c r="NOT71" s="122"/>
      <c r="NOU71" s="122"/>
      <c r="NOV71" s="122"/>
      <c r="NOW71" s="122"/>
      <c r="NOX71" s="122"/>
      <c r="NOY71" s="122"/>
      <c r="NOZ71" s="122"/>
      <c r="NPA71" s="122"/>
      <c r="NPB71" s="122"/>
      <c r="NPC71" s="122"/>
      <c r="NPD71" s="122"/>
      <c r="NPE71" s="122"/>
      <c r="NPF71" s="122"/>
      <c r="NPG71" s="122"/>
      <c r="NPH71" s="122"/>
      <c r="NPI71" s="122"/>
      <c r="NPJ71" s="122"/>
      <c r="NPK71" s="122"/>
      <c r="NPL71" s="122"/>
      <c r="NPM71" s="122"/>
      <c r="NPN71" s="122"/>
      <c r="NPO71" s="122"/>
      <c r="NPP71" s="122"/>
      <c r="NPQ71" s="122"/>
      <c r="NPR71" s="122"/>
      <c r="NPS71" s="122"/>
      <c r="NPT71" s="122"/>
      <c r="NPU71" s="122"/>
      <c r="NPV71" s="122"/>
      <c r="NPW71" s="122"/>
      <c r="NPX71" s="122"/>
      <c r="NPY71" s="122"/>
      <c r="NPZ71" s="122"/>
      <c r="NQA71" s="122"/>
      <c r="NQB71" s="122"/>
      <c r="NQC71" s="122"/>
      <c r="NQD71" s="122"/>
      <c r="NQE71" s="122"/>
      <c r="NQF71" s="122"/>
      <c r="NQG71" s="122"/>
      <c r="NQH71" s="122"/>
      <c r="NQI71" s="122"/>
      <c r="NQJ71" s="122"/>
      <c r="NQK71" s="122"/>
      <c r="NQL71" s="122"/>
      <c r="NQM71" s="122"/>
      <c r="NQN71" s="122"/>
      <c r="NQO71" s="122"/>
      <c r="NQP71" s="122"/>
      <c r="NQQ71" s="122"/>
      <c r="NQR71" s="122"/>
      <c r="NQS71" s="122"/>
      <c r="NQT71" s="122"/>
      <c r="NQU71" s="122"/>
      <c r="NQV71" s="122"/>
      <c r="NQW71" s="122"/>
      <c r="NQX71" s="122"/>
      <c r="NQY71" s="122"/>
      <c r="NQZ71" s="122"/>
      <c r="NRA71" s="122"/>
      <c r="NRB71" s="122"/>
      <c r="NRC71" s="122"/>
      <c r="NRD71" s="122"/>
      <c r="NRE71" s="122"/>
      <c r="NRF71" s="122"/>
      <c r="NRG71" s="122"/>
      <c r="NRH71" s="122"/>
      <c r="NRI71" s="122"/>
      <c r="NRJ71" s="122"/>
      <c r="NRK71" s="122"/>
      <c r="NRL71" s="122"/>
      <c r="NRM71" s="122"/>
      <c r="NRN71" s="122"/>
      <c r="NRO71" s="122"/>
      <c r="NRP71" s="122"/>
      <c r="NRQ71" s="122"/>
      <c r="NRR71" s="122"/>
      <c r="NRS71" s="122"/>
      <c r="NRT71" s="122"/>
      <c r="NRU71" s="122"/>
      <c r="NRV71" s="122"/>
      <c r="NRW71" s="122"/>
      <c r="NRX71" s="122"/>
      <c r="NRY71" s="122"/>
      <c r="NRZ71" s="122"/>
      <c r="NSA71" s="122"/>
      <c r="NSB71" s="122"/>
      <c r="NSC71" s="122"/>
      <c r="NSD71" s="122"/>
      <c r="NSE71" s="122"/>
      <c r="NSF71" s="122"/>
      <c r="NSG71" s="122"/>
      <c r="NSH71" s="122"/>
      <c r="NSI71" s="122"/>
      <c r="NSJ71" s="122"/>
      <c r="NSK71" s="122"/>
      <c r="NSL71" s="122"/>
      <c r="NSM71" s="122"/>
      <c r="NSN71" s="122"/>
      <c r="NSO71" s="122"/>
      <c r="NSP71" s="122"/>
      <c r="NSQ71" s="122"/>
      <c r="NSR71" s="122"/>
      <c r="NSS71" s="122"/>
      <c r="NST71" s="122"/>
      <c r="NSU71" s="122"/>
      <c r="NSV71" s="122"/>
      <c r="NSW71" s="122"/>
      <c r="NSX71" s="122"/>
      <c r="NSY71" s="122"/>
      <c r="NSZ71" s="122"/>
      <c r="NTA71" s="122"/>
      <c r="NTB71" s="122"/>
      <c r="NTC71" s="122"/>
      <c r="NTD71" s="122"/>
      <c r="NTE71" s="122"/>
      <c r="NTF71" s="122"/>
      <c r="NTG71" s="122"/>
      <c r="NTH71" s="122"/>
      <c r="NTI71" s="122"/>
      <c r="NTJ71" s="122"/>
      <c r="NTK71" s="122"/>
      <c r="NTL71" s="122"/>
      <c r="NTM71" s="122"/>
      <c r="NTN71" s="122"/>
      <c r="NTO71" s="122"/>
      <c r="NTP71" s="122"/>
      <c r="NTQ71" s="122"/>
      <c r="NTR71" s="122"/>
      <c r="NTS71" s="122"/>
      <c r="NTT71" s="122"/>
      <c r="NTU71" s="122"/>
      <c r="NTV71" s="122"/>
      <c r="NTW71" s="122"/>
      <c r="NTX71" s="122"/>
      <c r="NTY71" s="122"/>
      <c r="NTZ71" s="122"/>
      <c r="NUA71" s="122"/>
      <c r="NUB71" s="122"/>
      <c r="NUC71" s="122"/>
      <c r="NUD71" s="122"/>
      <c r="NUE71" s="122"/>
      <c r="NUF71" s="122"/>
      <c r="NUG71" s="122"/>
      <c r="NUH71" s="122"/>
      <c r="NUI71" s="122"/>
      <c r="NUJ71" s="122"/>
      <c r="NUK71" s="122"/>
      <c r="NUL71" s="122"/>
      <c r="NUM71" s="122"/>
      <c r="NUN71" s="122"/>
      <c r="NUO71" s="122"/>
      <c r="NUP71" s="122"/>
      <c r="NUQ71" s="122"/>
      <c r="NUR71" s="122"/>
      <c r="NUS71" s="122"/>
      <c r="NUT71" s="122"/>
      <c r="NUU71" s="122"/>
      <c r="NUV71" s="122"/>
      <c r="NUW71" s="122"/>
      <c r="NUX71" s="122"/>
      <c r="NUY71" s="122"/>
      <c r="NUZ71" s="122"/>
      <c r="NVA71" s="122"/>
      <c r="NVB71" s="122"/>
      <c r="NVC71" s="122"/>
      <c r="NVD71" s="122"/>
      <c r="NVE71" s="122"/>
      <c r="NVF71" s="122"/>
      <c r="NVG71" s="122"/>
      <c r="NVH71" s="122"/>
      <c r="NVI71" s="122"/>
      <c r="NVJ71" s="122"/>
      <c r="NVK71" s="122"/>
      <c r="NVL71" s="122"/>
      <c r="NVM71" s="122"/>
      <c r="NVN71" s="122"/>
      <c r="NVO71" s="122"/>
      <c r="NVP71" s="122"/>
      <c r="NVQ71" s="122"/>
      <c r="NVR71" s="122"/>
      <c r="NVS71" s="122"/>
      <c r="NVT71" s="122"/>
      <c r="NVU71" s="122"/>
      <c r="NVV71" s="122"/>
      <c r="NVW71" s="122"/>
      <c r="NVX71" s="122"/>
      <c r="NVY71" s="122"/>
      <c r="NVZ71" s="122"/>
      <c r="NWA71" s="122"/>
      <c r="NWB71" s="122"/>
      <c r="NWC71" s="122"/>
      <c r="NWD71" s="122"/>
      <c r="NWE71" s="122"/>
      <c r="NWF71" s="122"/>
      <c r="NWG71" s="122"/>
      <c r="NWH71" s="122"/>
      <c r="NWI71" s="122"/>
      <c r="NWJ71" s="122"/>
      <c r="NWK71" s="122"/>
      <c r="NWL71" s="122"/>
      <c r="NWM71" s="122"/>
      <c r="NWN71" s="122"/>
      <c r="NWO71" s="122"/>
      <c r="NWP71" s="122"/>
      <c r="NWQ71" s="122"/>
      <c r="NWR71" s="122"/>
      <c r="NWS71" s="122"/>
      <c r="NWT71" s="122"/>
      <c r="NWU71" s="122"/>
      <c r="NWV71" s="122"/>
      <c r="NWW71" s="122"/>
      <c r="NWX71" s="122"/>
      <c r="NWY71" s="122"/>
      <c r="NWZ71" s="122"/>
      <c r="NXA71" s="122"/>
      <c r="NXB71" s="122"/>
      <c r="NXC71" s="122"/>
      <c r="NXD71" s="122"/>
      <c r="NXE71" s="122"/>
      <c r="NXF71" s="122"/>
      <c r="NXG71" s="122"/>
      <c r="NXH71" s="122"/>
      <c r="NXI71" s="122"/>
      <c r="NXJ71" s="122"/>
      <c r="NXK71" s="122"/>
      <c r="NXL71" s="122"/>
      <c r="NXM71" s="122"/>
      <c r="NXN71" s="122"/>
      <c r="NXO71" s="122"/>
      <c r="NXP71" s="122"/>
      <c r="NXQ71" s="122"/>
      <c r="NXR71" s="122"/>
      <c r="NXS71" s="122"/>
      <c r="NXT71" s="122"/>
      <c r="NXU71" s="122"/>
      <c r="NXV71" s="122"/>
      <c r="NXW71" s="122"/>
      <c r="NXX71" s="122"/>
      <c r="NXY71" s="122"/>
      <c r="NXZ71" s="122"/>
      <c r="NYA71" s="122"/>
      <c r="NYB71" s="122"/>
      <c r="NYC71" s="122"/>
      <c r="NYD71" s="122"/>
      <c r="NYE71" s="122"/>
      <c r="NYF71" s="122"/>
      <c r="NYG71" s="122"/>
      <c r="NYH71" s="122"/>
      <c r="NYI71" s="122"/>
      <c r="NYJ71" s="122"/>
      <c r="NYK71" s="122"/>
      <c r="NYL71" s="122"/>
      <c r="NYM71" s="122"/>
      <c r="NYN71" s="122"/>
      <c r="NYO71" s="122"/>
      <c r="NYP71" s="122"/>
      <c r="NYQ71" s="122"/>
      <c r="NYR71" s="122"/>
      <c r="NYS71" s="122"/>
      <c r="NYT71" s="122"/>
      <c r="NYU71" s="122"/>
      <c r="NYV71" s="122"/>
      <c r="NYW71" s="122"/>
      <c r="NYX71" s="122"/>
      <c r="NYY71" s="122"/>
      <c r="NYZ71" s="122"/>
      <c r="NZA71" s="122"/>
      <c r="NZB71" s="122"/>
      <c r="NZC71" s="122"/>
      <c r="NZD71" s="122"/>
      <c r="NZE71" s="122"/>
      <c r="NZF71" s="122"/>
      <c r="NZG71" s="122"/>
      <c r="NZH71" s="122"/>
      <c r="NZI71" s="122"/>
      <c r="NZJ71" s="122"/>
      <c r="NZK71" s="122"/>
      <c r="NZL71" s="122"/>
      <c r="NZM71" s="122"/>
      <c r="NZN71" s="122"/>
      <c r="NZO71" s="122"/>
      <c r="NZP71" s="122"/>
      <c r="NZQ71" s="122"/>
      <c r="NZR71" s="122"/>
      <c r="NZS71" s="122"/>
      <c r="NZT71" s="122"/>
      <c r="NZU71" s="122"/>
      <c r="NZV71" s="122"/>
      <c r="NZW71" s="122"/>
      <c r="NZX71" s="122"/>
      <c r="NZY71" s="122"/>
      <c r="NZZ71" s="122"/>
      <c r="OAA71" s="122"/>
      <c r="OAB71" s="122"/>
      <c r="OAC71" s="122"/>
      <c r="OAD71" s="122"/>
      <c r="OAE71" s="122"/>
      <c r="OAF71" s="122"/>
      <c r="OAG71" s="122"/>
      <c r="OAH71" s="122"/>
      <c r="OAI71" s="122"/>
      <c r="OAJ71" s="122"/>
      <c r="OAK71" s="122"/>
      <c r="OAL71" s="122"/>
      <c r="OAM71" s="122"/>
      <c r="OAN71" s="122"/>
      <c r="OAO71" s="122"/>
      <c r="OAP71" s="122"/>
      <c r="OAQ71" s="122"/>
      <c r="OAR71" s="122"/>
      <c r="OAS71" s="122"/>
      <c r="OAT71" s="122"/>
      <c r="OAU71" s="122"/>
      <c r="OAV71" s="122"/>
      <c r="OAW71" s="122"/>
      <c r="OAX71" s="122"/>
      <c r="OAY71" s="122"/>
      <c r="OAZ71" s="122"/>
      <c r="OBA71" s="122"/>
      <c r="OBB71" s="122"/>
      <c r="OBC71" s="122"/>
      <c r="OBD71" s="122"/>
      <c r="OBE71" s="122"/>
      <c r="OBF71" s="122"/>
      <c r="OBG71" s="122"/>
      <c r="OBH71" s="122"/>
      <c r="OBI71" s="122"/>
      <c r="OBJ71" s="122"/>
      <c r="OBK71" s="122"/>
      <c r="OBL71" s="122"/>
      <c r="OBM71" s="122"/>
      <c r="OBN71" s="122"/>
      <c r="OBO71" s="122"/>
      <c r="OBP71" s="122"/>
      <c r="OBQ71" s="122"/>
      <c r="OBR71" s="122"/>
      <c r="OBS71" s="122"/>
      <c r="OBT71" s="122"/>
      <c r="OBU71" s="122"/>
      <c r="OBV71" s="122"/>
      <c r="OBW71" s="122"/>
      <c r="OBX71" s="122"/>
      <c r="OBY71" s="122"/>
      <c r="OBZ71" s="122"/>
      <c r="OCA71" s="122"/>
      <c r="OCB71" s="122"/>
      <c r="OCC71" s="122"/>
      <c r="OCD71" s="122"/>
      <c r="OCE71" s="122"/>
      <c r="OCF71" s="122"/>
      <c r="OCG71" s="122"/>
      <c r="OCH71" s="122"/>
      <c r="OCI71" s="122"/>
      <c r="OCJ71" s="122"/>
      <c r="OCK71" s="122"/>
      <c r="OCL71" s="122"/>
      <c r="OCM71" s="122"/>
      <c r="OCN71" s="122"/>
      <c r="OCO71" s="122"/>
      <c r="OCP71" s="122"/>
      <c r="OCQ71" s="122"/>
      <c r="OCR71" s="122"/>
      <c r="OCS71" s="122"/>
      <c r="OCT71" s="122"/>
      <c r="OCU71" s="122"/>
      <c r="OCV71" s="122"/>
      <c r="OCW71" s="122"/>
      <c r="OCX71" s="122"/>
      <c r="OCY71" s="122"/>
      <c r="OCZ71" s="122"/>
      <c r="ODA71" s="122"/>
      <c r="ODB71" s="122"/>
      <c r="ODC71" s="122"/>
      <c r="ODD71" s="122"/>
      <c r="ODE71" s="122"/>
      <c r="ODF71" s="122"/>
      <c r="ODG71" s="122"/>
      <c r="ODH71" s="122"/>
      <c r="ODI71" s="122"/>
      <c r="ODJ71" s="122"/>
      <c r="ODK71" s="122"/>
      <c r="ODL71" s="122"/>
      <c r="ODM71" s="122"/>
      <c r="ODN71" s="122"/>
      <c r="ODO71" s="122"/>
      <c r="ODP71" s="122"/>
      <c r="ODQ71" s="122"/>
      <c r="ODR71" s="122"/>
      <c r="ODS71" s="122"/>
      <c r="ODT71" s="122"/>
      <c r="ODU71" s="122"/>
      <c r="ODV71" s="122"/>
      <c r="ODW71" s="122"/>
      <c r="ODX71" s="122"/>
      <c r="ODY71" s="122"/>
      <c r="ODZ71" s="122"/>
      <c r="OEA71" s="122"/>
      <c r="OEB71" s="122"/>
      <c r="OEC71" s="122"/>
      <c r="OED71" s="122"/>
      <c r="OEE71" s="122"/>
      <c r="OEF71" s="122"/>
      <c r="OEG71" s="122"/>
      <c r="OEH71" s="122"/>
      <c r="OEI71" s="122"/>
      <c r="OEJ71" s="122"/>
      <c r="OEK71" s="122"/>
      <c r="OEL71" s="122"/>
      <c r="OEM71" s="122"/>
      <c r="OEN71" s="122"/>
      <c r="OEO71" s="122"/>
      <c r="OEP71" s="122"/>
      <c r="OEQ71" s="122"/>
      <c r="OER71" s="122"/>
      <c r="OES71" s="122"/>
      <c r="OET71" s="122"/>
      <c r="OEU71" s="122"/>
      <c r="OEV71" s="122"/>
      <c r="OEW71" s="122"/>
      <c r="OEX71" s="122"/>
      <c r="OEY71" s="122"/>
      <c r="OEZ71" s="122"/>
      <c r="OFA71" s="122"/>
      <c r="OFB71" s="122"/>
      <c r="OFC71" s="122"/>
      <c r="OFD71" s="122"/>
      <c r="OFE71" s="122"/>
      <c r="OFF71" s="122"/>
      <c r="OFG71" s="122"/>
      <c r="OFH71" s="122"/>
      <c r="OFI71" s="122"/>
      <c r="OFJ71" s="122"/>
      <c r="OFK71" s="122"/>
      <c r="OFL71" s="122"/>
      <c r="OFM71" s="122"/>
      <c r="OFN71" s="122"/>
      <c r="OFO71" s="122"/>
      <c r="OFP71" s="122"/>
      <c r="OFQ71" s="122"/>
      <c r="OFR71" s="122"/>
      <c r="OFS71" s="122"/>
      <c r="OFT71" s="122"/>
      <c r="OFU71" s="122"/>
      <c r="OFV71" s="122"/>
      <c r="OFW71" s="122"/>
      <c r="OFX71" s="122"/>
      <c r="OFY71" s="122"/>
      <c r="OFZ71" s="122"/>
      <c r="OGA71" s="122"/>
      <c r="OGB71" s="122"/>
      <c r="OGC71" s="122"/>
      <c r="OGD71" s="122"/>
      <c r="OGE71" s="122"/>
      <c r="OGF71" s="122"/>
      <c r="OGG71" s="122"/>
      <c r="OGH71" s="122"/>
      <c r="OGI71" s="122"/>
      <c r="OGJ71" s="122"/>
      <c r="OGK71" s="122"/>
      <c r="OGL71" s="122"/>
      <c r="OGM71" s="122"/>
      <c r="OGN71" s="122"/>
      <c r="OGO71" s="122"/>
      <c r="OGP71" s="122"/>
      <c r="OGQ71" s="122"/>
      <c r="OGR71" s="122"/>
      <c r="OGS71" s="122"/>
      <c r="OGT71" s="122"/>
      <c r="OGU71" s="122"/>
      <c r="OGV71" s="122"/>
      <c r="OGW71" s="122"/>
      <c r="OGX71" s="122"/>
      <c r="OGY71" s="122"/>
      <c r="OGZ71" s="122"/>
      <c r="OHA71" s="122"/>
      <c r="OHB71" s="122"/>
      <c r="OHC71" s="122"/>
      <c r="OHD71" s="122"/>
      <c r="OHE71" s="122"/>
      <c r="OHF71" s="122"/>
      <c r="OHG71" s="122"/>
      <c r="OHH71" s="122"/>
      <c r="OHI71" s="122"/>
      <c r="OHJ71" s="122"/>
      <c r="OHK71" s="122"/>
      <c r="OHL71" s="122"/>
      <c r="OHM71" s="122"/>
      <c r="OHN71" s="122"/>
      <c r="OHO71" s="122"/>
      <c r="OHP71" s="122"/>
      <c r="OHQ71" s="122"/>
      <c r="OHR71" s="122"/>
      <c r="OHS71" s="122"/>
      <c r="OHT71" s="122"/>
      <c r="OHU71" s="122"/>
      <c r="OHV71" s="122"/>
      <c r="OHW71" s="122"/>
      <c r="OHX71" s="122"/>
      <c r="OHY71" s="122"/>
      <c r="OHZ71" s="122"/>
      <c r="OIA71" s="122"/>
      <c r="OIB71" s="122"/>
      <c r="OIC71" s="122"/>
      <c r="OID71" s="122"/>
      <c r="OIE71" s="122"/>
      <c r="OIF71" s="122"/>
      <c r="OIG71" s="122"/>
      <c r="OIH71" s="122"/>
      <c r="OII71" s="122"/>
      <c r="OIJ71" s="122"/>
      <c r="OIK71" s="122"/>
      <c r="OIL71" s="122"/>
      <c r="OIM71" s="122"/>
      <c r="OIN71" s="122"/>
      <c r="OIO71" s="122"/>
      <c r="OIP71" s="122"/>
      <c r="OIQ71" s="122"/>
      <c r="OIR71" s="122"/>
      <c r="OIS71" s="122"/>
      <c r="OIT71" s="122"/>
      <c r="OIU71" s="122"/>
      <c r="OIV71" s="122"/>
      <c r="OIW71" s="122"/>
      <c r="OIX71" s="122"/>
      <c r="OIY71" s="122"/>
      <c r="OIZ71" s="122"/>
      <c r="OJA71" s="122"/>
      <c r="OJB71" s="122"/>
      <c r="OJC71" s="122"/>
      <c r="OJD71" s="122"/>
      <c r="OJE71" s="122"/>
      <c r="OJF71" s="122"/>
      <c r="OJG71" s="122"/>
      <c r="OJH71" s="122"/>
      <c r="OJI71" s="122"/>
      <c r="OJJ71" s="122"/>
      <c r="OJK71" s="122"/>
      <c r="OJL71" s="122"/>
      <c r="OJM71" s="122"/>
      <c r="OJN71" s="122"/>
      <c r="OJO71" s="122"/>
      <c r="OJP71" s="122"/>
      <c r="OJQ71" s="122"/>
      <c r="OJR71" s="122"/>
      <c r="OJS71" s="122"/>
      <c r="OJT71" s="122"/>
      <c r="OJU71" s="122"/>
      <c r="OJV71" s="122"/>
      <c r="OJW71" s="122"/>
      <c r="OJX71" s="122"/>
      <c r="OJY71" s="122"/>
      <c r="OJZ71" s="122"/>
      <c r="OKA71" s="122"/>
      <c r="OKB71" s="122"/>
      <c r="OKC71" s="122"/>
      <c r="OKD71" s="122"/>
      <c r="OKE71" s="122"/>
      <c r="OKF71" s="122"/>
      <c r="OKG71" s="122"/>
      <c r="OKH71" s="122"/>
      <c r="OKI71" s="122"/>
      <c r="OKJ71" s="122"/>
      <c r="OKK71" s="122"/>
      <c r="OKL71" s="122"/>
      <c r="OKM71" s="122"/>
      <c r="OKN71" s="122"/>
      <c r="OKO71" s="122"/>
      <c r="OKP71" s="122"/>
      <c r="OKQ71" s="122"/>
      <c r="OKR71" s="122"/>
      <c r="OKS71" s="122"/>
      <c r="OKT71" s="122"/>
      <c r="OKU71" s="122"/>
      <c r="OKV71" s="122"/>
      <c r="OKW71" s="122"/>
      <c r="OKX71" s="122"/>
      <c r="OKY71" s="122"/>
      <c r="OKZ71" s="122"/>
      <c r="OLA71" s="122"/>
      <c r="OLB71" s="122"/>
      <c r="OLC71" s="122"/>
      <c r="OLD71" s="122"/>
      <c r="OLE71" s="122"/>
      <c r="OLF71" s="122"/>
      <c r="OLG71" s="122"/>
      <c r="OLH71" s="122"/>
      <c r="OLI71" s="122"/>
      <c r="OLJ71" s="122"/>
      <c r="OLK71" s="122"/>
      <c r="OLL71" s="122"/>
      <c r="OLM71" s="122"/>
      <c r="OLN71" s="122"/>
      <c r="OLO71" s="122"/>
      <c r="OLP71" s="122"/>
      <c r="OLQ71" s="122"/>
      <c r="OLR71" s="122"/>
      <c r="OLS71" s="122"/>
      <c r="OLT71" s="122"/>
      <c r="OLU71" s="122"/>
      <c r="OLV71" s="122"/>
      <c r="OLW71" s="122"/>
      <c r="OLX71" s="122"/>
      <c r="OLY71" s="122"/>
      <c r="OLZ71" s="122"/>
      <c r="OMA71" s="122"/>
      <c r="OMB71" s="122"/>
      <c r="OMC71" s="122"/>
      <c r="OMD71" s="122"/>
      <c r="OME71" s="122"/>
      <c r="OMF71" s="122"/>
      <c r="OMG71" s="122"/>
      <c r="OMH71" s="122"/>
      <c r="OMI71" s="122"/>
      <c r="OMJ71" s="122"/>
      <c r="OMK71" s="122"/>
      <c r="OML71" s="122"/>
      <c r="OMM71" s="122"/>
      <c r="OMN71" s="122"/>
      <c r="OMO71" s="122"/>
      <c r="OMP71" s="122"/>
      <c r="OMQ71" s="122"/>
      <c r="OMR71" s="122"/>
      <c r="OMS71" s="122"/>
      <c r="OMT71" s="122"/>
      <c r="OMU71" s="122"/>
      <c r="OMV71" s="122"/>
      <c r="OMW71" s="122"/>
      <c r="OMX71" s="122"/>
      <c r="OMY71" s="122"/>
      <c r="OMZ71" s="122"/>
      <c r="ONA71" s="122"/>
      <c r="ONB71" s="122"/>
      <c r="ONC71" s="122"/>
      <c r="OND71" s="122"/>
      <c r="ONE71" s="122"/>
      <c r="ONF71" s="122"/>
      <c r="ONG71" s="122"/>
      <c r="ONH71" s="122"/>
      <c r="ONI71" s="122"/>
      <c r="ONJ71" s="122"/>
      <c r="ONK71" s="122"/>
      <c r="ONL71" s="122"/>
      <c r="ONM71" s="122"/>
      <c r="ONN71" s="122"/>
      <c r="ONO71" s="122"/>
      <c r="ONP71" s="122"/>
      <c r="ONQ71" s="122"/>
      <c r="ONR71" s="122"/>
      <c r="ONS71" s="122"/>
      <c r="ONT71" s="122"/>
      <c r="ONU71" s="122"/>
      <c r="ONV71" s="122"/>
      <c r="ONW71" s="122"/>
      <c r="ONX71" s="122"/>
      <c r="ONY71" s="122"/>
      <c r="ONZ71" s="122"/>
      <c r="OOA71" s="122"/>
      <c r="OOB71" s="122"/>
      <c r="OOC71" s="122"/>
      <c r="OOD71" s="122"/>
      <c r="OOE71" s="122"/>
      <c r="OOF71" s="122"/>
      <c r="OOG71" s="122"/>
      <c r="OOH71" s="122"/>
      <c r="OOI71" s="122"/>
      <c r="OOJ71" s="122"/>
      <c r="OOK71" s="122"/>
      <c r="OOL71" s="122"/>
      <c r="OOM71" s="122"/>
      <c r="OON71" s="122"/>
      <c r="OOO71" s="122"/>
      <c r="OOP71" s="122"/>
      <c r="OOQ71" s="122"/>
      <c r="OOR71" s="122"/>
      <c r="OOS71" s="122"/>
      <c r="OOT71" s="122"/>
      <c r="OOU71" s="122"/>
      <c r="OOV71" s="122"/>
      <c r="OOW71" s="122"/>
      <c r="OOX71" s="122"/>
      <c r="OOY71" s="122"/>
      <c r="OOZ71" s="122"/>
      <c r="OPA71" s="122"/>
      <c r="OPB71" s="122"/>
      <c r="OPC71" s="122"/>
      <c r="OPD71" s="122"/>
      <c r="OPE71" s="122"/>
      <c r="OPF71" s="122"/>
      <c r="OPG71" s="122"/>
      <c r="OPH71" s="122"/>
      <c r="OPI71" s="122"/>
      <c r="OPJ71" s="122"/>
      <c r="OPK71" s="122"/>
      <c r="OPL71" s="122"/>
      <c r="OPM71" s="122"/>
      <c r="OPN71" s="122"/>
      <c r="OPO71" s="122"/>
      <c r="OPP71" s="122"/>
      <c r="OPQ71" s="122"/>
      <c r="OPR71" s="122"/>
      <c r="OPS71" s="122"/>
      <c r="OPT71" s="122"/>
      <c r="OPU71" s="122"/>
      <c r="OPV71" s="122"/>
      <c r="OPW71" s="122"/>
      <c r="OPX71" s="122"/>
      <c r="OPY71" s="122"/>
      <c r="OPZ71" s="122"/>
      <c r="OQA71" s="122"/>
      <c r="OQB71" s="122"/>
      <c r="OQC71" s="122"/>
      <c r="OQD71" s="122"/>
      <c r="OQE71" s="122"/>
      <c r="OQF71" s="122"/>
      <c r="OQG71" s="122"/>
      <c r="OQH71" s="122"/>
      <c r="OQI71" s="122"/>
      <c r="OQJ71" s="122"/>
      <c r="OQK71" s="122"/>
      <c r="OQL71" s="122"/>
      <c r="OQM71" s="122"/>
      <c r="OQN71" s="122"/>
      <c r="OQO71" s="122"/>
      <c r="OQP71" s="122"/>
      <c r="OQQ71" s="122"/>
      <c r="OQR71" s="122"/>
      <c r="OQS71" s="122"/>
      <c r="OQT71" s="122"/>
      <c r="OQU71" s="122"/>
      <c r="OQV71" s="122"/>
      <c r="OQW71" s="122"/>
      <c r="OQX71" s="122"/>
      <c r="OQY71" s="122"/>
      <c r="OQZ71" s="122"/>
      <c r="ORA71" s="122"/>
      <c r="ORB71" s="122"/>
      <c r="ORC71" s="122"/>
      <c r="ORD71" s="122"/>
      <c r="ORE71" s="122"/>
      <c r="ORF71" s="122"/>
      <c r="ORG71" s="122"/>
      <c r="ORH71" s="122"/>
      <c r="ORI71" s="122"/>
      <c r="ORJ71" s="122"/>
      <c r="ORK71" s="122"/>
      <c r="ORL71" s="122"/>
      <c r="ORM71" s="122"/>
      <c r="ORN71" s="122"/>
      <c r="ORO71" s="122"/>
      <c r="ORP71" s="122"/>
      <c r="ORQ71" s="122"/>
      <c r="ORR71" s="122"/>
      <c r="ORS71" s="122"/>
      <c r="ORT71" s="122"/>
      <c r="ORU71" s="122"/>
      <c r="ORV71" s="122"/>
      <c r="ORW71" s="122"/>
      <c r="ORX71" s="122"/>
      <c r="ORY71" s="122"/>
      <c r="ORZ71" s="122"/>
      <c r="OSA71" s="122"/>
      <c r="OSB71" s="122"/>
      <c r="OSC71" s="122"/>
      <c r="OSD71" s="122"/>
      <c r="OSE71" s="122"/>
      <c r="OSF71" s="122"/>
      <c r="OSG71" s="122"/>
      <c r="OSH71" s="122"/>
      <c r="OSI71" s="122"/>
      <c r="OSJ71" s="122"/>
      <c r="OSK71" s="122"/>
      <c r="OSL71" s="122"/>
      <c r="OSM71" s="122"/>
      <c r="OSN71" s="122"/>
      <c r="OSO71" s="122"/>
      <c r="OSP71" s="122"/>
      <c r="OSQ71" s="122"/>
      <c r="OSR71" s="122"/>
      <c r="OSS71" s="122"/>
      <c r="OST71" s="122"/>
      <c r="OSU71" s="122"/>
      <c r="OSV71" s="122"/>
      <c r="OSW71" s="122"/>
      <c r="OSX71" s="122"/>
      <c r="OSY71" s="122"/>
      <c r="OSZ71" s="122"/>
      <c r="OTA71" s="122"/>
      <c r="OTB71" s="122"/>
      <c r="OTC71" s="122"/>
      <c r="OTD71" s="122"/>
      <c r="OTE71" s="122"/>
      <c r="OTF71" s="122"/>
      <c r="OTG71" s="122"/>
      <c r="OTH71" s="122"/>
      <c r="OTI71" s="122"/>
      <c r="OTJ71" s="122"/>
      <c r="OTK71" s="122"/>
      <c r="OTL71" s="122"/>
      <c r="OTM71" s="122"/>
      <c r="OTN71" s="122"/>
      <c r="OTO71" s="122"/>
      <c r="OTP71" s="122"/>
      <c r="OTQ71" s="122"/>
      <c r="OTR71" s="122"/>
      <c r="OTS71" s="122"/>
      <c r="OTT71" s="122"/>
      <c r="OTU71" s="122"/>
      <c r="OTV71" s="122"/>
      <c r="OTW71" s="122"/>
      <c r="OTX71" s="122"/>
      <c r="OTY71" s="122"/>
      <c r="OTZ71" s="122"/>
      <c r="OUA71" s="122"/>
      <c r="OUB71" s="122"/>
      <c r="OUC71" s="122"/>
      <c r="OUD71" s="122"/>
      <c r="OUE71" s="122"/>
      <c r="OUF71" s="122"/>
      <c r="OUG71" s="122"/>
      <c r="OUH71" s="122"/>
      <c r="OUI71" s="122"/>
      <c r="OUJ71" s="122"/>
      <c r="OUK71" s="122"/>
      <c r="OUL71" s="122"/>
      <c r="OUM71" s="122"/>
      <c r="OUN71" s="122"/>
      <c r="OUO71" s="122"/>
      <c r="OUP71" s="122"/>
      <c r="OUQ71" s="122"/>
      <c r="OUR71" s="122"/>
      <c r="OUS71" s="122"/>
      <c r="OUT71" s="122"/>
      <c r="OUU71" s="122"/>
      <c r="OUV71" s="122"/>
      <c r="OUW71" s="122"/>
      <c r="OUX71" s="122"/>
      <c r="OUY71" s="122"/>
      <c r="OUZ71" s="122"/>
      <c r="OVA71" s="122"/>
      <c r="OVB71" s="122"/>
      <c r="OVC71" s="122"/>
      <c r="OVD71" s="122"/>
      <c r="OVE71" s="122"/>
      <c r="OVF71" s="122"/>
      <c r="OVG71" s="122"/>
      <c r="OVH71" s="122"/>
      <c r="OVI71" s="122"/>
      <c r="OVJ71" s="122"/>
      <c r="OVK71" s="122"/>
      <c r="OVL71" s="122"/>
      <c r="OVM71" s="122"/>
      <c r="OVN71" s="122"/>
      <c r="OVO71" s="122"/>
      <c r="OVP71" s="122"/>
      <c r="OVQ71" s="122"/>
      <c r="OVR71" s="122"/>
      <c r="OVS71" s="122"/>
      <c r="OVT71" s="122"/>
      <c r="OVU71" s="122"/>
      <c r="OVV71" s="122"/>
      <c r="OVW71" s="122"/>
      <c r="OVX71" s="122"/>
      <c r="OVY71" s="122"/>
      <c r="OVZ71" s="122"/>
      <c r="OWA71" s="122"/>
      <c r="OWB71" s="122"/>
      <c r="OWC71" s="122"/>
      <c r="OWD71" s="122"/>
      <c r="OWE71" s="122"/>
      <c r="OWF71" s="122"/>
      <c r="OWG71" s="122"/>
      <c r="OWH71" s="122"/>
      <c r="OWI71" s="122"/>
      <c r="OWJ71" s="122"/>
      <c r="OWK71" s="122"/>
      <c r="OWL71" s="122"/>
      <c r="OWM71" s="122"/>
      <c r="OWN71" s="122"/>
      <c r="OWO71" s="122"/>
      <c r="OWP71" s="122"/>
      <c r="OWQ71" s="122"/>
      <c r="OWR71" s="122"/>
      <c r="OWS71" s="122"/>
      <c r="OWT71" s="122"/>
      <c r="OWU71" s="122"/>
      <c r="OWV71" s="122"/>
      <c r="OWW71" s="122"/>
      <c r="OWX71" s="122"/>
      <c r="OWY71" s="122"/>
      <c r="OWZ71" s="122"/>
      <c r="OXA71" s="122"/>
      <c r="OXB71" s="122"/>
      <c r="OXC71" s="122"/>
      <c r="OXD71" s="122"/>
      <c r="OXE71" s="122"/>
      <c r="OXF71" s="122"/>
      <c r="OXG71" s="122"/>
      <c r="OXH71" s="122"/>
      <c r="OXI71" s="122"/>
      <c r="OXJ71" s="122"/>
      <c r="OXK71" s="122"/>
      <c r="OXL71" s="122"/>
      <c r="OXM71" s="122"/>
      <c r="OXN71" s="122"/>
      <c r="OXO71" s="122"/>
      <c r="OXP71" s="122"/>
      <c r="OXQ71" s="122"/>
      <c r="OXR71" s="122"/>
      <c r="OXS71" s="122"/>
      <c r="OXT71" s="122"/>
      <c r="OXU71" s="122"/>
      <c r="OXV71" s="122"/>
      <c r="OXW71" s="122"/>
      <c r="OXX71" s="122"/>
      <c r="OXY71" s="122"/>
      <c r="OXZ71" s="122"/>
      <c r="OYA71" s="122"/>
      <c r="OYB71" s="122"/>
      <c r="OYC71" s="122"/>
      <c r="OYD71" s="122"/>
      <c r="OYE71" s="122"/>
      <c r="OYF71" s="122"/>
      <c r="OYG71" s="122"/>
      <c r="OYH71" s="122"/>
      <c r="OYI71" s="122"/>
      <c r="OYJ71" s="122"/>
      <c r="OYK71" s="122"/>
      <c r="OYL71" s="122"/>
      <c r="OYM71" s="122"/>
      <c r="OYN71" s="122"/>
      <c r="OYO71" s="122"/>
      <c r="OYP71" s="122"/>
      <c r="OYQ71" s="122"/>
      <c r="OYR71" s="122"/>
      <c r="OYS71" s="122"/>
      <c r="OYT71" s="122"/>
      <c r="OYU71" s="122"/>
      <c r="OYV71" s="122"/>
      <c r="OYW71" s="122"/>
      <c r="OYX71" s="122"/>
      <c r="OYY71" s="122"/>
      <c r="OYZ71" s="122"/>
      <c r="OZA71" s="122"/>
      <c r="OZB71" s="122"/>
      <c r="OZC71" s="122"/>
      <c r="OZD71" s="122"/>
      <c r="OZE71" s="122"/>
      <c r="OZF71" s="122"/>
      <c r="OZG71" s="122"/>
      <c r="OZH71" s="122"/>
      <c r="OZI71" s="122"/>
      <c r="OZJ71" s="122"/>
      <c r="OZK71" s="122"/>
      <c r="OZL71" s="122"/>
      <c r="OZM71" s="122"/>
      <c r="OZN71" s="122"/>
      <c r="OZO71" s="122"/>
      <c r="OZP71" s="122"/>
      <c r="OZQ71" s="122"/>
      <c r="OZR71" s="122"/>
      <c r="OZS71" s="122"/>
      <c r="OZT71" s="122"/>
      <c r="OZU71" s="122"/>
      <c r="OZV71" s="122"/>
      <c r="OZW71" s="122"/>
      <c r="OZX71" s="122"/>
      <c r="OZY71" s="122"/>
      <c r="OZZ71" s="122"/>
      <c r="PAA71" s="122"/>
      <c r="PAB71" s="122"/>
      <c r="PAC71" s="122"/>
      <c r="PAD71" s="122"/>
      <c r="PAE71" s="122"/>
      <c r="PAF71" s="122"/>
      <c r="PAG71" s="122"/>
      <c r="PAH71" s="122"/>
      <c r="PAI71" s="122"/>
      <c r="PAJ71" s="122"/>
      <c r="PAK71" s="122"/>
      <c r="PAL71" s="122"/>
      <c r="PAM71" s="122"/>
      <c r="PAN71" s="122"/>
      <c r="PAO71" s="122"/>
      <c r="PAP71" s="122"/>
      <c r="PAQ71" s="122"/>
      <c r="PAR71" s="122"/>
      <c r="PAS71" s="122"/>
      <c r="PAT71" s="122"/>
      <c r="PAU71" s="122"/>
      <c r="PAV71" s="122"/>
      <c r="PAW71" s="122"/>
      <c r="PAX71" s="122"/>
      <c r="PAY71" s="122"/>
      <c r="PAZ71" s="122"/>
      <c r="PBA71" s="122"/>
      <c r="PBB71" s="122"/>
      <c r="PBC71" s="122"/>
      <c r="PBD71" s="122"/>
      <c r="PBE71" s="122"/>
      <c r="PBF71" s="122"/>
      <c r="PBG71" s="122"/>
      <c r="PBH71" s="122"/>
      <c r="PBI71" s="122"/>
      <c r="PBJ71" s="122"/>
      <c r="PBK71" s="122"/>
      <c r="PBL71" s="122"/>
      <c r="PBM71" s="122"/>
      <c r="PBN71" s="122"/>
      <c r="PBO71" s="122"/>
      <c r="PBP71" s="122"/>
      <c r="PBQ71" s="122"/>
      <c r="PBR71" s="122"/>
      <c r="PBS71" s="122"/>
      <c r="PBT71" s="122"/>
      <c r="PBU71" s="122"/>
      <c r="PBV71" s="122"/>
      <c r="PBW71" s="122"/>
      <c r="PBX71" s="122"/>
      <c r="PBY71" s="122"/>
      <c r="PBZ71" s="122"/>
      <c r="PCA71" s="122"/>
      <c r="PCB71" s="122"/>
      <c r="PCC71" s="122"/>
      <c r="PCD71" s="122"/>
      <c r="PCE71" s="122"/>
      <c r="PCF71" s="122"/>
      <c r="PCG71" s="122"/>
      <c r="PCH71" s="122"/>
      <c r="PCI71" s="122"/>
      <c r="PCJ71" s="122"/>
      <c r="PCK71" s="122"/>
      <c r="PCL71" s="122"/>
      <c r="PCM71" s="122"/>
      <c r="PCN71" s="122"/>
      <c r="PCO71" s="122"/>
      <c r="PCP71" s="122"/>
      <c r="PCQ71" s="122"/>
      <c r="PCR71" s="122"/>
      <c r="PCS71" s="122"/>
      <c r="PCT71" s="122"/>
      <c r="PCU71" s="122"/>
      <c r="PCV71" s="122"/>
      <c r="PCW71" s="122"/>
      <c r="PCX71" s="122"/>
      <c r="PCY71" s="122"/>
      <c r="PCZ71" s="122"/>
      <c r="PDA71" s="122"/>
      <c r="PDB71" s="122"/>
      <c r="PDC71" s="122"/>
      <c r="PDD71" s="122"/>
      <c r="PDE71" s="122"/>
      <c r="PDF71" s="122"/>
      <c r="PDG71" s="122"/>
      <c r="PDH71" s="122"/>
      <c r="PDI71" s="122"/>
      <c r="PDJ71" s="122"/>
      <c r="PDK71" s="122"/>
      <c r="PDL71" s="122"/>
      <c r="PDM71" s="122"/>
      <c r="PDN71" s="122"/>
      <c r="PDO71" s="122"/>
      <c r="PDP71" s="122"/>
      <c r="PDQ71" s="122"/>
      <c r="PDR71" s="122"/>
      <c r="PDS71" s="122"/>
      <c r="PDT71" s="122"/>
      <c r="PDU71" s="122"/>
      <c r="PDV71" s="122"/>
      <c r="PDW71" s="122"/>
      <c r="PDX71" s="122"/>
      <c r="PDY71" s="122"/>
      <c r="PDZ71" s="122"/>
      <c r="PEA71" s="122"/>
      <c r="PEB71" s="122"/>
      <c r="PEC71" s="122"/>
      <c r="PED71" s="122"/>
      <c r="PEE71" s="122"/>
      <c r="PEF71" s="122"/>
      <c r="PEG71" s="122"/>
      <c r="PEH71" s="122"/>
      <c r="PEI71" s="122"/>
      <c r="PEJ71" s="122"/>
      <c r="PEK71" s="122"/>
      <c r="PEL71" s="122"/>
      <c r="PEM71" s="122"/>
      <c r="PEN71" s="122"/>
      <c r="PEO71" s="122"/>
      <c r="PEP71" s="122"/>
      <c r="PEQ71" s="122"/>
      <c r="PER71" s="122"/>
      <c r="PES71" s="122"/>
      <c r="PET71" s="122"/>
      <c r="PEU71" s="122"/>
      <c r="PEV71" s="122"/>
      <c r="PEW71" s="122"/>
      <c r="PEX71" s="122"/>
      <c r="PEY71" s="122"/>
      <c r="PEZ71" s="122"/>
      <c r="PFA71" s="122"/>
      <c r="PFB71" s="122"/>
      <c r="PFC71" s="122"/>
      <c r="PFD71" s="122"/>
      <c r="PFE71" s="122"/>
      <c r="PFF71" s="122"/>
      <c r="PFG71" s="122"/>
      <c r="PFH71" s="122"/>
      <c r="PFI71" s="122"/>
      <c r="PFJ71" s="122"/>
      <c r="PFK71" s="122"/>
      <c r="PFL71" s="122"/>
      <c r="PFM71" s="122"/>
      <c r="PFN71" s="122"/>
      <c r="PFO71" s="122"/>
      <c r="PFP71" s="122"/>
      <c r="PFQ71" s="122"/>
      <c r="PFR71" s="122"/>
      <c r="PFS71" s="122"/>
      <c r="PFT71" s="122"/>
      <c r="PFU71" s="122"/>
      <c r="PFV71" s="122"/>
      <c r="PFW71" s="122"/>
      <c r="PFX71" s="122"/>
      <c r="PFY71" s="122"/>
      <c r="PFZ71" s="122"/>
      <c r="PGA71" s="122"/>
      <c r="PGB71" s="122"/>
      <c r="PGC71" s="122"/>
      <c r="PGD71" s="122"/>
      <c r="PGE71" s="122"/>
      <c r="PGF71" s="122"/>
      <c r="PGG71" s="122"/>
      <c r="PGH71" s="122"/>
      <c r="PGI71" s="122"/>
      <c r="PGJ71" s="122"/>
      <c r="PGK71" s="122"/>
      <c r="PGL71" s="122"/>
      <c r="PGM71" s="122"/>
      <c r="PGN71" s="122"/>
      <c r="PGO71" s="122"/>
      <c r="PGP71" s="122"/>
      <c r="PGQ71" s="122"/>
      <c r="PGR71" s="122"/>
      <c r="PGS71" s="122"/>
      <c r="PGT71" s="122"/>
      <c r="PGU71" s="122"/>
      <c r="PGV71" s="122"/>
      <c r="PGW71" s="122"/>
      <c r="PGX71" s="122"/>
      <c r="PGY71" s="122"/>
      <c r="PGZ71" s="122"/>
      <c r="PHA71" s="122"/>
      <c r="PHB71" s="122"/>
      <c r="PHC71" s="122"/>
      <c r="PHD71" s="122"/>
      <c r="PHE71" s="122"/>
      <c r="PHF71" s="122"/>
      <c r="PHG71" s="122"/>
      <c r="PHH71" s="122"/>
      <c r="PHI71" s="122"/>
      <c r="PHJ71" s="122"/>
      <c r="PHK71" s="122"/>
      <c r="PHL71" s="122"/>
      <c r="PHM71" s="122"/>
      <c r="PHN71" s="122"/>
      <c r="PHO71" s="122"/>
      <c r="PHP71" s="122"/>
      <c r="PHQ71" s="122"/>
      <c r="PHR71" s="122"/>
      <c r="PHS71" s="122"/>
      <c r="PHT71" s="122"/>
      <c r="PHU71" s="122"/>
      <c r="PHV71" s="122"/>
      <c r="PHW71" s="122"/>
      <c r="PHX71" s="122"/>
      <c r="PHY71" s="122"/>
      <c r="PHZ71" s="122"/>
      <c r="PIA71" s="122"/>
      <c r="PIB71" s="122"/>
      <c r="PIC71" s="122"/>
      <c r="PID71" s="122"/>
      <c r="PIE71" s="122"/>
      <c r="PIF71" s="122"/>
      <c r="PIG71" s="122"/>
      <c r="PIH71" s="122"/>
      <c r="PII71" s="122"/>
      <c r="PIJ71" s="122"/>
      <c r="PIK71" s="122"/>
      <c r="PIL71" s="122"/>
      <c r="PIM71" s="122"/>
      <c r="PIN71" s="122"/>
      <c r="PIO71" s="122"/>
      <c r="PIP71" s="122"/>
      <c r="PIQ71" s="122"/>
      <c r="PIR71" s="122"/>
      <c r="PIS71" s="122"/>
      <c r="PIT71" s="122"/>
      <c r="PIU71" s="122"/>
      <c r="PIV71" s="122"/>
      <c r="PIW71" s="122"/>
      <c r="PIX71" s="122"/>
      <c r="PIY71" s="122"/>
      <c r="PIZ71" s="122"/>
      <c r="PJA71" s="122"/>
      <c r="PJB71" s="122"/>
      <c r="PJC71" s="122"/>
      <c r="PJD71" s="122"/>
      <c r="PJE71" s="122"/>
      <c r="PJF71" s="122"/>
      <c r="PJG71" s="122"/>
      <c r="PJH71" s="122"/>
      <c r="PJI71" s="122"/>
      <c r="PJJ71" s="122"/>
      <c r="PJK71" s="122"/>
      <c r="PJL71" s="122"/>
      <c r="PJM71" s="122"/>
      <c r="PJN71" s="122"/>
      <c r="PJO71" s="122"/>
      <c r="PJP71" s="122"/>
      <c r="PJQ71" s="122"/>
      <c r="PJR71" s="122"/>
      <c r="PJS71" s="122"/>
      <c r="PJT71" s="122"/>
      <c r="PJU71" s="122"/>
      <c r="PJV71" s="122"/>
      <c r="PJW71" s="122"/>
      <c r="PJX71" s="122"/>
      <c r="PJY71" s="122"/>
      <c r="PJZ71" s="122"/>
      <c r="PKA71" s="122"/>
      <c r="PKB71" s="122"/>
      <c r="PKC71" s="122"/>
      <c r="PKD71" s="122"/>
      <c r="PKE71" s="122"/>
      <c r="PKF71" s="122"/>
      <c r="PKG71" s="122"/>
      <c r="PKH71" s="122"/>
      <c r="PKI71" s="122"/>
      <c r="PKJ71" s="122"/>
      <c r="PKK71" s="122"/>
      <c r="PKL71" s="122"/>
      <c r="PKM71" s="122"/>
      <c r="PKN71" s="122"/>
      <c r="PKO71" s="122"/>
      <c r="PKP71" s="122"/>
      <c r="PKQ71" s="122"/>
      <c r="PKR71" s="122"/>
      <c r="PKS71" s="122"/>
      <c r="PKT71" s="122"/>
      <c r="PKU71" s="122"/>
      <c r="PKV71" s="122"/>
      <c r="PKW71" s="122"/>
      <c r="PKX71" s="122"/>
      <c r="PKY71" s="122"/>
      <c r="PKZ71" s="122"/>
      <c r="PLA71" s="122"/>
      <c r="PLB71" s="122"/>
      <c r="PLC71" s="122"/>
      <c r="PLD71" s="122"/>
      <c r="PLE71" s="122"/>
      <c r="PLF71" s="122"/>
      <c r="PLG71" s="122"/>
      <c r="PLH71" s="122"/>
      <c r="PLI71" s="122"/>
      <c r="PLJ71" s="122"/>
      <c r="PLK71" s="122"/>
      <c r="PLL71" s="122"/>
      <c r="PLM71" s="122"/>
      <c r="PLN71" s="122"/>
      <c r="PLO71" s="122"/>
      <c r="PLP71" s="122"/>
      <c r="PLQ71" s="122"/>
      <c r="PLR71" s="122"/>
      <c r="PLS71" s="122"/>
      <c r="PLT71" s="122"/>
      <c r="PLU71" s="122"/>
      <c r="PLV71" s="122"/>
      <c r="PLW71" s="122"/>
      <c r="PLX71" s="122"/>
      <c r="PLY71" s="122"/>
      <c r="PLZ71" s="122"/>
      <c r="PMA71" s="122"/>
      <c r="PMB71" s="122"/>
      <c r="PMC71" s="122"/>
      <c r="PMD71" s="122"/>
      <c r="PME71" s="122"/>
      <c r="PMF71" s="122"/>
      <c r="PMG71" s="122"/>
      <c r="PMH71" s="122"/>
      <c r="PMI71" s="122"/>
      <c r="PMJ71" s="122"/>
      <c r="PMK71" s="122"/>
      <c r="PML71" s="122"/>
      <c r="PMM71" s="122"/>
      <c r="PMN71" s="122"/>
      <c r="PMO71" s="122"/>
      <c r="PMP71" s="122"/>
      <c r="PMQ71" s="122"/>
      <c r="PMR71" s="122"/>
      <c r="PMS71" s="122"/>
      <c r="PMT71" s="122"/>
      <c r="PMU71" s="122"/>
      <c r="PMV71" s="122"/>
      <c r="PMW71" s="122"/>
      <c r="PMX71" s="122"/>
      <c r="PMY71" s="122"/>
      <c r="PMZ71" s="122"/>
      <c r="PNA71" s="122"/>
      <c r="PNB71" s="122"/>
      <c r="PNC71" s="122"/>
      <c r="PND71" s="122"/>
      <c r="PNE71" s="122"/>
      <c r="PNF71" s="122"/>
      <c r="PNG71" s="122"/>
      <c r="PNH71" s="122"/>
      <c r="PNI71" s="122"/>
      <c r="PNJ71" s="122"/>
      <c r="PNK71" s="122"/>
      <c r="PNL71" s="122"/>
      <c r="PNM71" s="122"/>
      <c r="PNN71" s="122"/>
      <c r="PNO71" s="122"/>
      <c r="PNP71" s="122"/>
      <c r="PNQ71" s="122"/>
      <c r="PNR71" s="122"/>
      <c r="PNS71" s="122"/>
      <c r="PNT71" s="122"/>
      <c r="PNU71" s="122"/>
      <c r="PNV71" s="122"/>
      <c r="PNW71" s="122"/>
      <c r="PNX71" s="122"/>
      <c r="PNY71" s="122"/>
      <c r="PNZ71" s="122"/>
      <c r="POA71" s="122"/>
      <c r="POB71" s="122"/>
      <c r="POC71" s="122"/>
      <c r="POD71" s="122"/>
      <c r="POE71" s="122"/>
      <c r="POF71" s="122"/>
      <c r="POG71" s="122"/>
      <c r="POH71" s="122"/>
      <c r="POI71" s="122"/>
      <c r="POJ71" s="122"/>
      <c r="POK71" s="122"/>
      <c r="POL71" s="122"/>
      <c r="POM71" s="122"/>
      <c r="PON71" s="122"/>
      <c r="POO71" s="122"/>
      <c r="POP71" s="122"/>
      <c r="POQ71" s="122"/>
      <c r="POR71" s="122"/>
      <c r="POS71" s="122"/>
      <c r="POT71" s="122"/>
      <c r="POU71" s="122"/>
      <c r="POV71" s="122"/>
      <c r="POW71" s="122"/>
      <c r="POX71" s="122"/>
      <c r="POY71" s="122"/>
      <c r="POZ71" s="122"/>
      <c r="PPA71" s="122"/>
      <c r="PPB71" s="122"/>
      <c r="PPC71" s="122"/>
      <c r="PPD71" s="122"/>
      <c r="PPE71" s="122"/>
      <c r="PPF71" s="122"/>
      <c r="PPG71" s="122"/>
      <c r="PPH71" s="122"/>
      <c r="PPI71" s="122"/>
      <c r="PPJ71" s="122"/>
      <c r="PPK71" s="122"/>
      <c r="PPL71" s="122"/>
      <c r="PPM71" s="122"/>
      <c r="PPN71" s="122"/>
      <c r="PPO71" s="122"/>
      <c r="PPP71" s="122"/>
      <c r="PPQ71" s="122"/>
      <c r="PPR71" s="122"/>
      <c r="PPS71" s="122"/>
      <c r="PPT71" s="122"/>
      <c r="PPU71" s="122"/>
      <c r="PPV71" s="122"/>
      <c r="PPW71" s="122"/>
      <c r="PPX71" s="122"/>
      <c r="PPY71" s="122"/>
      <c r="PPZ71" s="122"/>
      <c r="PQA71" s="122"/>
      <c r="PQB71" s="122"/>
      <c r="PQC71" s="122"/>
      <c r="PQD71" s="122"/>
      <c r="PQE71" s="122"/>
      <c r="PQF71" s="122"/>
      <c r="PQG71" s="122"/>
      <c r="PQH71" s="122"/>
      <c r="PQI71" s="122"/>
      <c r="PQJ71" s="122"/>
      <c r="PQK71" s="122"/>
      <c r="PQL71" s="122"/>
      <c r="PQM71" s="122"/>
      <c r="PQN71" s="122"/>
      <c r="PQO71" s="122"/>
      <c r="PQP71" s="122"/>
      <c r="PQQ71" s="122"/>
      <c r="PQR71" s="122"/>
      <c r="PQS71" s="122"/>
      <c r="PQT71" s="122"/>
      <c r="PQU71" s="122"/>
      <c r="PQV71" s="122"/>
      <c r="PQW71" s="122"/>
      <c r="PQX71" s="122"/>
      <c r="PQY71" s="122"/>
      <c r="PQZ71" s="122"/>
      <c r="PRA71" s="122"/>
      <c r="PRB71" s="122"/>
      <c r="PRC71" s="122"/>
      <c r="PRD71" s="122"/>
      <c r="PRE71" s="122"/>
      <c r="PRF71" s="122"/>
      <c r="PRG71" s="122"/>
      <c r="PRH71" s="122"/>
      <c r="PRI71" s="122"/>
      <c r="PRJ71" s="122"/>
      <c r="PRK71" s="122"/>
      <c r="PRL71" s="122"/>
      <c r="PRM71" s="122"/>
      <c r="PRN71" s="122"/>
      <c r="PRO71" s="122"/>
      <c r="PRP71" s="122"/>
      <c r="PRQ71" s="122"/>
      <c r="PRR71" s="122"/>
      <c r="PRS71" s="122"/>
      <c r="PRT71" s="122"/>
      <c r="PRU71" s="122"/>
      <c r="PRV71" s="122"/>
      <c r="PRW71" s="122"/>
      <c r="PRX71" s="122"/>
      <c r="PRY71" s="122"/>
      <c r="PRZ71" s="122"/>
      <c r="PSA71" s="122"/>
      <c r="PSB71" s="122"/>
      <c r="PSC71" s="122"/>
      <c r="PSD71" s="122"/>
      <c r="PSE71" s="122"/>
      <c r="PSF71" s="122"/>
      <c r="PSG71" s="122"/>
      <c r="PSH71" s="122"/>
      <c r="PSI71" s="122"/>
      <c r="PSJ71" s="122"/>
      <c r="PSK71" s="122"/>
      <c r="PSL71" s="122"/>
      <c r="PSM71" s="122"/>
      <c r="PSN71" s="122"/>
      <c r="PSO71" s="122"/>
      <c r="PSP71" s="122"/>
      <c r="PSQ71" s="122"/>
      <c r="PSR71" s="122"/>
      <c r="PSS71" s="122"/>
      <c r="PST71" s="122"/>
      <c r="PSU71" s="122"/>
      <c r="PSV71" s="122"/>
      <c r="PSW71" s="122"/>
      <c r="PSX71" s="122"/>
      <c r="PSY71" s="122"/>
      <c r="PSZ71" s="122"/>
      <c r="PTA71" s="122"/>
      <c r="PTB71" s="122"/>
      <c r="PTC71" s="122"/>
      <c r="PTD71" s="122"/>
      <c r="PTE71" s="122"/>
      <c r="PTF71" s="122"/>
      <c r="PTG71" s="122"/>
      <c r="PTH71" s="122"/>
      <c r="PTI71" s="122"/>
      <c r="PTJ71" s="122"/>
      <c r="PTK71" s="122"/>
      <c r="PTL71" s="122"/>
      <c r="PTM71" s="122"/>
      <c r="PTN71" s="122"/>
      <c r="PTO71" s="122"/>
      <c r="PTP71" s="122"/>
      <c r="PTQ71" s="122"/>
      <c r="PTR71" s="122"/>
      <c r="PTS71" s="122"/>
      <c r="PTT71" s="122"/>
      <c r="PTU71" s="122"/>
      <c r="PTV71" s="122"/>
      <c r="PTW71" s="122"/>
      <c r="PTX71" s="122"/>
      <c r="PTY71" s="122"/>
      <c r="PTZ71" s="122"/>
      <c r="PUA71" s="122"/>
      <c r="PUB71" s="122"/>
      <c r="PUC71" s="122"/>
      <c r="PUD71" s="122"/>
      <c r="PUE71" s="122"/>
      <c r="PUF71" s="122"/>
      <c r="PUG71" s="122"/>
      <c r="PUH71" s="122"/>
      <c r="PUI71" s="122"/>
      <c r="PUJ71" s="122"/>
      <c r="PUK71" s="122"/>
      <c r="PUL71" s="122"/>
      <c r="PUM71" s="122"/>
      <c r="PUN71" s="122"/>
      <c r="PUO71" s="122"/>
      <c r="PUP71" s="122"/>
      <c r="PUQ71" s="122"/>
      <c r="PUR71" s="122"/>
      <c r="PUS71" s="122"/>
      <c r="PUT71" s="122"/>
      <c r="PUU71" s="122"/>
      <c r="PUV71" s="122"/>
      <c r="PUW71" s="122"/>
      <c r="PUX71" s="122"/>
      <c r="PUY71" s="122"/>
      <c r="PUZ71" s="122"/>
      <c r="PVA71" s="122"/>
      <c r="PVB71" s="122"/>
      <c r="PVC71" s="122"/>
      <c r="PVD71" s="122"/>
      <c r="PVE71" s="122"/>
      <c r="PVF71" s="122"/>
      <c r="PVG71" s="122"/>
      <c r="PVH71" s="122"/>
      <c r="PVI71" s="122"/>
      <c r="PVJ71" s="122"/>
      <c r="PVK71" s="122"/>
      <c r="PVL71" s="122"/>
      <c r="PVM71" s="122"/>
      <c r="PVN71" s="122"/>
      <c r="PVO71" s="122"/>
      <c r="PVP71" s="122"/>
      <c r="PVQ71" s="122"/>
      <c r="PVR71" s="122"/>
      <c r="PVS71" s="122"/>
      <c r="PVT71" s="122"/>
      <c r="PVU71" s="122"/>
      <c r="PVV71" s="122"/>
      <c r="PVW71" s="122"/>
      <c r="PVX71" s="122"/>
      <c r="PVY71" s="122"/>
      <c r="PVZ71" s="122"/>
      <c r="PWA71" s="122"/>
      <c r="PWB71" s="122"/>
      <c r="PWC71" s="122"/>
      <c r="PWD71" s="122"/>
      <c r="PWE71" s="122"/>
      <c r="PWF71" s="122"/>
      <c r="PWG71" s="122"/>
      <c r="PWH71" s="122"/>
      <c r="PWI71" s="122"/>
      <c r="PWJ71" s="122"/>
      <c r="PWK71" s="122"/>
      <c r="PWL71" s="122"/>
      <c r="PWM71" s="122"/>
      <c r="PWN71" s="122"/>
      <c r="PWO71" s="122"/>
      <c r="PWP71" s="122"/>
      <c r="PWQ71" s="122"/>
      <c r="PWR71" s="122"/>
      <c r="PWS71" s="122"/>
      <c r="PWT71" s="122"/>
      <c r="PWU71" s="122"/>
      <c r="PWV71" s="122"/>
      <c r="PWW71" s="122"/>
      <c r="PWX71" s="122"/>
      <c r="PWY71" s="122"/>
      <c r="PWZ71" s="122"/>
      <c r="PXA71" s="122"/>
      <c r="PXB71" s="122"/>
      <c r="PXC71" s="122"/>
      <c r="PXD71" s="122"/>
      <c r="PXE71" s="122"/>
      <c r="PXF71" s="122"/>
      <c r="PXG71" s="122"/>
      <c r="PXH71" s="122"/>
      <c r="PXI71" s="122"/>
      <c r="PXJ71" s="122"/>
      <c r="PXK71" s="122"/>
      <c r="PXL71" s="122"/>
      <c r="PXM71" s="122"/>
      <c r="PXN71" s="122"/>
      <c r="PXO71" s="122"/>
      <c r="PXP71" s="122"/>
      <c r="PXQ71" s="122"/>
      <c r="PXR71" s="122"/>
      <c r="PXS71" s="122"/>
      <c r="PXT71" s="122"/>
      <c r="PXU71" s="122"/>
      <c r="PXV71" s="122"/>
      <c r="PXW71" s="122"/>
      <c r="PXX71" s="122"/>
      <c r="PXY71" s="122"/>
      <c r="PXZ71" s="122"/>
      <c r="PYA71" s="122"/>
      <c r="PYB71" s="122"/>
      <c r="PYC71" s="122"/>
      <c r="PYD71" s="122"/>
      <c r="PYE71" s="122"/>
      <c r="PYF71" s="122"/>
      <c r="PYG71" s="122"/>
      <c r="PYH71" s="122"/>
      <c r="PYI71" s="122"/>
      <c r="PYJ71" s="122"/>
      <c r="PYK71" s="122"/>
      <c r="PYL71" s="122"/>
      <c r="PYM71" s="122"/>
      <c r="PYN71" s="122"/>
      <c r="PYO71" s="122"/>
      <c r="PYP71" s="122"/>
      <c r="PYQ71" s="122"/>
      <c r="PYR71" s="122"/>
      <c r="PYS71" s="122"/>
      <c r="PYT71" s="122"/>
      <c r="PYU71" s="122"/>
      <c r="PYV71" s="122"/>
      <c r="PYW71" s="122"/>
      <c r="PYX71" s="122"/>
      <c r="PYY71" s="122"/>
      <c r="PYZ71" s="122"/>
      <c r="PZA71" s="122"/>
      <c r="PZB71" s="122"/>
      <c r="PZC71" s="122"/>
      <c r="PZD71" s="122"/>
      <c r="PZE71" s="122"/>
      <c r="PZF71" s="122"/>
      <c r="PZG71" s="122"/>
      <c r="PZH71" s="122"/>
      <c r="PZI71" s="122"/>
      <c r="PZJ71" s="122"/>
      <c r="PZK71" s="122"/>
      <c r="PZL71" s="122"/>
      <c r="PZM71" s="122"/>
      <c r="PZN71" s="122"/>
      <c r="PZO71" s="122"/>
      <c r="PZP71" s="122"/>
      <c r="PZQ71" s="122"/>
      <c r="PZR71" s="122"/>
      <c r="PZS71" s="122"/>
      <c r="PZT71" s="122"/>
      <c r="PZU71" s="122"/>
      <c r="PZV71" s="122"/>
      <c r="PZW71" s="122"/>
      <c r="PZX71" s="122"/>
      <c r="PZY71" s="122"/>
      <c r="PZZ71" s="122"/>
      <c r="QAA71" s="122"/>
      <c r="QAB71" s="122"/>
      <c r="QAC71" s="122"/>
      <c r="QAD71" s="122"/>
      <c r="QAE71" s="122"/>
      <c r="QAF71" s="122"/>
      <c r="QAG71" s="122"/>
      <c r="QAH71" s="122"/>
      <c r="QAI71" s="122"/>
      <c r="QAJ71" s="122"/>
      <c r="QAK71" s="122"/>
      <c r="QAL71" s="122"/>
      <c r="QAM71" s="122"/>
      <c r="QAN71" s="122"/>
      <c r="QAO71" s="122"/>
      <c r="QAP71" s="122"/>
      <c r="QAQ71" s="122"/>
      <c r="QAR71" s="122"/>
      <c r="QAS71" s="122"/>
      <c r="QAT71" s="122"/>
      <c r="QAU71" s="122"/>
      <c r="QAV71" s="122"/>
      <c r="QAW71" s="122"/>
      <c r="QAX71" s="122"/>
      <c r="QAY71" s="122"/>
      <c r="QAZ71" s="122"/>
      <c r="QBA71" s="122"/>
      <c r="QBB71" s="122"/>
      <c r="QBC71" s="122"/>
      <c r="QBD71" s="122"/>
      <c r="QBE71" s="122"/>
      <c r="QBF71" s="122"/>
      <c r="QBG71" s="122"/>
      <c r="QBH71" s="122"/>
      <c r="QBI71" s="122"/>
      <c r="QBJ71" s="122"/>
      <c r="QBK71" s="122"/>
      <c r="QBL71" s="122"/>
      <c r="QBM71" s="122"/>
      <c r="QBN71" s="122"/>
      <c r="QBO71" s="122"/>
      <c r="QBP71" s="122"/>
      <c r="QBQ71" s="122"/>
      <c r="QBR71" s="122"/>
      <c r="QBS71" s="122"/>
      <c r="QBT71" s="122"/>
      <c r="QBU71" s="122"/>
      <c r="QBV71" s="122"/>
      <c r="QBW71" s="122"/>
      <c r="QBX71" s="122"/>
      <c r="QBY71" s="122"/>
      <c r="QBZ71" s="122"/>
      <c r="QCA71" s="122"/>
      <c r="QCB71" s="122"/>
      <c r="QCC71" s="122"/>
      <c r="QCD71" s="122"/>
      <c r="QCE71" s="122"/>
      <c r="QCF71" s="122"/>
      <c r="QCG71" s="122"/>
      <c r="QCH71" s="122"/>
      <c r="QCI71" s="122"/>
      <c r="QCJ71" s="122"/>
      <c r="QCK71" s="122"/>
      <c r="QCL71" s="122"/>
      <c r="QCM71" s="122"/>
      <c r="QCN71" s="122"/>
      <c r="QCO71" s="122"/>
      <c r="QCP71" s="122"/>
      <c r="QCQ71" s="122"/>
      <c r="QCR71" s="122"/>
      <c r="QCS71" s="122"/>
      <c r="QCT71" s="122"/>
      <c r="QCU71" s="122"/>
      <c r="QCV71" s="122"/>
      <c r="QCW71" s="122"/>
      <c r="QCX71" s="122"/>
      <c r="QCY71" s="122"/>
      <c r="QCZ71" s="122"/>
      <c r="QDA71" s="122"/>
      <c r="QDB71" s="122"/>
      <c r="QDC71" s="122"/>
      <c r="QDD71" s="122"/>
      <c r="QDE71" s="122"/>
      <c r="QDF71" s="122"/>
      <c r="QDG71" s="122"/>
      <c r="QDH71" s="122"/>
      <c r="QDI71" s="122"/>
      <c r="QDJ71" s="122"/>
      <c r="QDK71" s="122"/>
      <c r="QDL71" s="122"/>
      <c r="QDM71" s="122"/>
      <c r="QDN71" s="122"/>
      <c r="QDO71" s="122"/>
      <c r="QDP71" s="122"/>
      <c r="QDQ71" s="122"/>
      <c r="QDR71" s="122"/>
      <c r="QDS71" s="122"/>
      <c r="QDT71" s="122"/>
      <c r="QDU71" s="122"/>
      <c r="QDV71" s="122"/>
      <c r="QDW71" s="122"/>
      <c r="QDX71" s="122"/>
      <c r="QDY71" s="122"/>
      <c r="QDZ71" s="122"/>
      <c r="QEA71" s="122"/>
      <c r="QEB71" s="122"/>
      <c r="QEC71" s="122"/>
      <c r="QED71" s="122"/>
      <c r="QEE71" s="122"/>
      <c r="QEF71" s="122"/>
      <c r="QEG71" s="122"/>
      <c r="QEH71" s="122"/>
      <c r="QEI71" s="122"/>
      <c r="QEJ71" s="122"/>
      <c r="QEK71" s="122"/>
      <c r="QEL71" s="122"/>
      <c r="QEM71" s="122"/>
      <c r="QEN71" s="122"/>
      <c r="QEO71" s="122"/>
      <c r="QEP71" s="122"/>
      <c r="QEQ71" s="122"/>
      <c r="QER71" s="122"/>
      <c r="QES71" s="122"/>
      <c r="QET71" s="122"/>
      <c r="QEU71" s="122"/>
      <c r="QEV71" s="122"/>
      <c r="QEW71" s="122"/>
      <c r="QEX71" s="122"/>
      <c r="QEY71" s="122"/>
      <c r="QEZ71" s="122"/>
      <c r="QFA71" s="122"/>
      <c r="QFB71" s="122"/>
      <c r="QFC71" s="122"/>
      <c r="QFD71" s="122"/>
      <c r="QFE71" s="122"/>
      <c r="QFF71" s="122"/>
      <c r="QFG71" s="122"/>
      <c r="QFH71" s="122"/>
      <c r="QFI71" s="122"/>
      <c r="QFJ71" s="122"/>
      <c r="QFK71" s="122"/>
      <c r="QFL71" s="122"/>
      <c r="QFM71" s="122"/>
      <c r="QFN71" s="122"/>
      <c r="QFO71" s="122"/>
      <c r="QFP71" s="122"/>
      <c r="QFQ71" s="122"/>
      <c r="QFR71" s="122"/>
      <c r="QFS71" s="122"/>
      <c r="QFT71" s="122"/>
      <c r="QFU71" s="122"/>
      <c r="QFV71" s="122"/>
      <c r="QFW71" s="122"/>
      <c r="QFX71" s="122"/>
      <c r="QFY71" s="122"/>
      <c r="QFZ71" s="122"/>
      <c r="QGA71" s="122"/>
      <c r="QGB71" s="122"/>
      <c r="QGC71" s="122"/>
      <c r="QGD71" s="122"/>
      <c r="QGE71" s="122"/>
      <c r="QGF71" s="122"/>
      <c r="QGG71" s="122"/>
      <c r="QGH71" s="122"/>
      <c r="QGI71" s="122"/>
      <c r="QGJ71" s="122"/>
      <c r="QGK71" s="122"/>
      <c r="QGL71" s="122"/>
      <c r="QGM71" s="122"/>
      <c r="QGN71" s="122"/>
      <c r="QGO71" s="122"/>
      <c r="QGP71" s="122"/>
      <c r="QGQ71" s="122"/>
      <c r="QGR71" s="122"/>
      <c r="QGS71" s="122"/>
      <c r="QGT71" s="122"/>
      <c r="QGU71" s="122"/>
      <c r="QGV71" s="122"/>
      <c r="QGW71" s="122"/>
      <c r="QGX71" s="122"/>
      <c r="QGY71" s="122"/>
      <c r="QGZ71" s="122"/>
      <c r="QHA71" s="122"/>
      <c r="QHB71" s="122"/>
      <c r="QHC71" s="122"/>
      <c r="QHD71" s="122"/>
      <c r="QHE71" s="122"/>
      <c r="QHF71" s="122"/>
      <c r="QHG71" s="122"/>
      <c r="QHH71" s="122"/>
      <c r="QHI71" s="122"/>
      <c r="QHJ71" s="122"/>
      <c r="QHK71" s="122"/>
      <c r="QHL71" s="122"/>
      <c r="QHM71" s="122"/>
      <c r="QHN71" s="122"/>
      <c r="QHO71" s="122"/>
      <c r="QHP71" s="122"/>
      <c r="QHQ71" s="122"/>
      <c r="QHR71" s="122"/>
      <c r="QHS71" s="122"/>
      <c r="QHT71" s="122"/>
      <c r="QHU71" s="122"/>
      <c r="QHV71" s="122"/>
      <c r="QHW71" s="122"/>
      <c r="QHX71" s="122"/>
      <c r="QHY71" s="122"/>
      <c r="QHZ71" s="122"/>
      <c r="QIA71" s="122"/>
      <c r="QIB71" s="122"/>
      <c r="QIC71" s="122"/>
      <c r="QID71" s="122"/>
      <c r="QIE71" s="122"/>
      <c r="QIF71" s="122"/>
      <c r="QIG71" s="122"/>
      <c r="QIH71" s="122"/>
      <c r="QII71" s="122"/>
      <c r="QIJ71" s="122"/>
      <c r="QIK71" s="122"/>
      <c r="QIL71" s="122"/>
      <c r="QIM71" s="122"/>
      <c r="QIN71" s="122"/>
      <c r="QIO71" s="122"/>
      <c r="QIP71" s="122"/>
      <c r="QIQ71" s="122"/>
      <c r="QIR71" s="122"/>
      <c r="QIS71" s="122"/>
      <c r="QIT71" s="122"/>
      <c r="QIU71" s="122"/>
      <c r="QIV71" s="122"/>
      <c r="QIW71" s="122"/>
      <c r="QIX71" s="122"/>
      <c r="QIY71" s="122"/>
      <c r="QIZ71" s="122"/>
      <c r="QJA71" s="122"/>
      <c r="QJB71" s="122"/>
      <c r="QJC71" s="122"/>
      <c r="QJD71" s="122"/>
      <c r="QJE71" s="122"/>
      <c r="QJF71" s="122"/>
      <c r="QJG71" s="122"/>
      <c r="QJH71" s="122"/>
      <c r="QJI71" s="122"/>
      <c r="QJJ71" s="122"/>
      <c r="QJK71" s="122"/>
      <c r="QJL71" s="122"/>
      <c r="QJM71" s="122"/>
      <c r="QJN71" s="122"/>
      <c r="QJO71" s="122"/>
      <c r="QJP71" s="122"/>
      <c r="QJQ71" s="122"/>
      <c r="QJR71" s="122"/>
      <c r="QJS71" s="122"/>
      <c r="QJT71" s="122"/>
      <c r="QJU71" s="122"/>
      <c r="QJV71" s="122"/>
      <c r="QJW71" s="122"/>
      <c r="QJX71" s="122"/>
      <c r="QJY71" s="122"/>
      <c r="QJZ71" s="122"/>
      <c r="QKA71" s="122"/>
      <c r="QKB71" s="122"/>
      <c r="QKC71" s="122"/>
      <c r="QKD71" s="122"/>
      <c r="QKE71" s="122"/>
      <c r="QKF71" s="122"/>
      <c r="QKG71" s="122"/>
      <c r="QKH71" s="122"/>
      <c r="QKI71" s="122"/>
      <c r="QKJ71" s="122"/>
      <c r="QKK71" s="122"/>
      <c r="QKL71" s="122"/>
      <c r="QKM71" s="122"/>
      <c r="QKN71" s="122"/>
      <c r="QKO71" s="122"/>
      <c r="QKP71" s="122"/>
      <c r="QKQ71" s="122"/>
      <c r="QKR71" s="122"/>
      <c r="QKS71" s="122"/>
      <c r="QKT71" s="122"/>
      <c r="QKU71" s="122"/>
      <c r="QKV71" s="122"/>
      <c r="QKW71" s="122"/>
      <c r="QKX71" s="122"/>
      <c r="QKY71" s="122"/>
      <c r="QKZ71" s="122"/>
      <c r="QLA71" s="122"/>
      <c r="QLB71" s="122"/>
      <c r="QLC71" s="122"/>
      <c r="QLD71" s="122"/>
      <c r="QLE71" s="122"/>
      <c r="QLF71" s="122"/>
      <c r="QLG71" s="122"/>
      <c r="QLH71" s="122"/>
      <c r="QLI71" s="122"/>
      <c r="QLJ71" s="122"/>
      <c r="QLK71" s="122"/>
      <c r="QLL71" s="122"/>
      <c r="QLM71" s="122"/>
      <c r="QLN71" s="122"/>
      <c r="QLO71" s="122"/>
      <c r="QLP71" s="122"/>
      <c r="QLQ71" s="122"/>
      <c r="QLR71" s="122"/>
      <c r="QLS71" s="122"/>
      <c r="QLT71" s="122"/>
      <c r="QLU71" s="122"/>
      <c r="QLV71" s="122"/>
      <c r="QLW71" s="122"/>
      <c r="QLX71" s="122"/>
      <c r="QLY71" s="122"/>
      <c r="QLZ71" s="122"/>
      <c r="QMA71" s="122"/>
      <c r="QMB71" s="122"/>
      <c r="QMC71" s="122"/>
      <c r="QMD71" s="122"/>
      <c r="QME71" s="122"/>
      <c r="QMF71" s="122"/>
      <c r="QMG71" s="122"/>
      <c r="QMH71" s="122"/>
      <c r="QMI71" s="122"/>
      <c r="QMJ71" s="122"/>
      <c r="QMK71" s="122"/>
      <c r="QML71" s="122"/>
      <c r="QMM71" s="122"/>
      <c r="QMN71" s="122"/>
      <c r="QMO71" s="122"/>
      <c r="QMP71" s="122"/>
      <c r="QMQ71" s="122"/>
      <c r="QMR71" s="122"/>
      <c r="QMS71" s="122"/>
      <c r="QMT71" s="122"/>
      <c r="QMU71" s="122"/>
      <c r="QMV71" s="122"/>
      <c r="QMW71" s="122"/>
      <c r="QMX71" s="122"/>
      <c r="QMY71" s="122"/>
      <c r="QMZ71" s="122"/>
      <c r="QNA71" s="122"/>
      <c r="QNB71" s="122"/>
      <c r="QNC71" s="122"/>
      <c r="QND71" s="122"/>
      <c r="QNE71" s="122"/>
      <c r="QNF71" s="122"/>
      <c r="QNG71" s="122"/>
      <c r="QNH71" s="122"/>
      <c r="QNI71" s="122"/>
      <c r="QNJ71" s="122"/>
      <c r="QNK71" s="122"/>
      <c r="QNL71" s="122"/>
      <c r="QNM71" s="122"/>
      <c r="QNN71" s="122"/>
      <c r="QNO71" s="122"/>
      <c r="QNP71" s="122"/>
      <c r="QNQ71" s="122"/>
      <c r="QNR71" s="122"/>
      <c r="QNS71" s="122"/>
      <c r="QNT71" s="122"/>
      <c r="QNU71" s="122"/>
      <c r="QNV71" s="122"/>
      <c r="QNW71" s="122"/>
      <c r="QNX71" s="122"/>
      <c r="QNY71" s="122"/>
      <c r="QNZ71" s="122"/>
      <c r="QOA71" s="122"/>
      <c r="QOB71" s="122"/>
      <c r="QOC71" s="122"/>
      <c r="QOD71" s="122"/>
      <c r="QOE71" s="122"/>
      <c r="QOF71" s="122"/>
      <c r="QOG71" s="122"/>
      <c r="QOH71" s="122"/>
      <c r="QOI71" s="122"/>
      <c r="QOJ71" s="122"/>
      <c r="QOK71" s="122"/>
      <c r="QOL71" s="122"/>
      <c r="QOM71" s="122"/>
      <c r="QON71" s="122"/>
      <c r="QOO71" s="122"/>
      <c r="QOP71" s="122"/>
      <c r="QOQ71" s="122"/>
      <c r="QOR71" s="122"/>
      <c r="QOS71" s="122"/>
      <c r="QOT71" s="122"/>
      <c r="QOU71" s="122"/>
      <c r="QOV71" s="122"/>
      <c r="QOW71" s="122"/>
      <c r="QOX71" s="122"/>
      <c r="QOY71" s="122"/>
      <c r="QOZ71" s="122"/>
      <c r="QPA71" s="122"/>
      <c r="QPB71" s="122"/>
      <c r="QPC71" s="122"/>
      <c r="QPD71" s="122"/>
      <c r="QPE71" s="122"/>
      <c r="QPF71" s="122"/>
      <c r="QPG71" s="122"/>
      <c r="QPH71" s="122"/>
      <c r="QPI71" s="122"/>
      <c r="QPJ71" s="122"/>
      <c r="QPK71" s="122"/>
      <c r="QPL71" s="122"/>
      <c r="QPM71" s="122"/>
      <c r="QPN71" s="122"/>
      <c r="QPO71" s="122"/>
      <c r="QPP71" s="122"/>
      <c r="QPQ71" s="122"/>
      <c r="QPR71" s="122"/>
      <c r="QPS71" s="122"/>
      <c r="QPT71" s="122"/>
      <c r="QPU71" s="122"/>
      <c r="QPV71" s="122"/>
      <c r="QPW71" s="122"/>
      <c r="QPX71" s="122"/>
      <c r="QPY71" s="122"/>
      <c r="QPZ71" s="122"/>
      <c r="QQA71" s="122"/>
      <c r="QQB71" s="122"/>
      <c r="QQC71" s="122"/>
      <c r="QQD71" s="122"/>
      <c r="QQE71" s="122"/>
      <c r="QQF71" s="122"/>
      <c r="QQG71" s="122"/>
      <c r="QQH71" s="122"/>
      <c r="QQI71" s="122"/>
      <c r="QQJ71" s="122"/>
      <c r="QQK71" s="122"/>
      <c r="QQL71" s="122"/>
      <c r="QQM71" s="122"/>
      <c r="QQN71" s="122"/>
      <c r="QQO71" s="122"/>
      <c r="QQP71" s="122"/>
      <c r="QQQ71" s="122"/>
      <c r="QQR71" s="122"/>
      <c r="QQS71" s="122"/>
      <c r="QQT71" s="122"/>
      <c r="QQU71" s="122"/>
      <c r="QQV71" s="122"/>
      <c r="QQW71" s="122"/>
      <c r="QQX71" s="122"/>
      <c r="QQY71" s="122"/>
      <c r="QQZ71" s="122"/>
      <c r="QRA71" s="122"/>
      <c r="QRB71" s="122"/>
      <c r="QRC71" s="122"/>
      <c r="QRD71" s="122"/>
      <c r="QRE71" s="122"/>
      <c r="QRF71" s="122"/>
      <c r="QRG71" s="122"/>
      <c r="QRH71" s="122"/>
      <c r="QRI71" s="122"/>
      <c r="QRJ71" s="122"/>
      <c r="QRK71" s="122"/>
      <c r="QRL71" s="122"/>
      <c r="QRM71" s="122"/>
      <c r="QRN71" s="122"/>
      <c r="QRO71" s="122"/>
      <c r="QRP71" s="122"/>
      <c r="QRQ71" s="122"/>
      <c r="QRR71" s="122"/>
      <c r="QRS71" s="122"/>
      <c r="QRT71" s="122"/>
      <c r="QRU71" s="122"/>
      <c r="QRV71" s="122"/>
      <c r="QRW71" s="122"/>
      <c r="QRX71" s="122"/>
      <c r="QRY71" s="122"/>
      <c r="QRZ71" s="122"/>
      <c r="QSA71" s="122"/>
      <c r="QSB71" s="122"/>
      <c r="QSC71" s="122"/>
      <c r="QSD71" s="122"/>
      <c r="QSE71" s="122"/>
      <c r="QSF71" s="122"/>
      <c r="QSG71" s="122"/>
      <c r="QSH71" s="122"/>
      <c r="QSI71" s="122"/>
      <c r="QSJ71" s="122"/>
      <c r="QSK71" s="122"/>
      <c r="QSL71" s="122"/>
      <c r="QSM71" s="122"/>
      <c r="QSN71" s="122"/>
      <c r="QSO71" s="122"/>
      <c r="QSP71" s="122"/>
      <c r="QSQ71" s="122"/>
      <c r="QSR71" s="122"/>
      <c r="QSS71" s="122"/>
      <c r="QST71" s="122"/>
      <c r="QSU71" s="122"/>
      <c r="QSV71" s="122"/>
      <c r="QSW71" s="122"/>
      <c r="QSX71" s="122"/>
      <c r="QSY71" s="122"/>
      <c r="QSZ71" s="122"/>
      <c r="QTA71" s="122"/>
      <c r="QTB71" s="122"/>
      <c r="QTC71" s="122"/>
      <c r="QTD71" s="122"/>
      <c r="QTE71" s="122"/>
      <c r="QTF71" s="122"/>
      <c r="QTG71" s="122"/>
      <c r="QTH71" s="122"/>
      <c r="QTI71" s="122"/>
      <c r="QTJ71" s="122"/>
      <c r="QTK71" s="122"/>
      <c r="QTL71" s="122"/>
      <c r="QTM71" s="122"/>
      <c r="QTN71" s="122"/>
      <c r="QTO71" s="122"/>
      <c r="QTP71" s="122"/>
      <c r="QTQ71" s="122"/>
      <c r="QTR71" s="122"/>
      <c r="QTS71" s="122"/>
      <c r="QTT71" s="122"/>
      <c r="QTU71" s="122"/>
      <c r="QTV71" s="122"/>
      <c r="QTW71" s="122"/>
      <c r="QTX71" s="122"/>
      <c r="QTY71" s="122"/>
      <c r="QTZ71" s="122"/>
      <c r="QUA71" s="122"/>
      <c r="QUB71" s="122"/>
      <c r="QUC71" s="122"/>
      <c r="QUD71" s="122"/>
      <c r="QUE71" s="122"/>
      <c r="QUF71" s="122"/>
      <c r="QUG71" s="122"/>
      <c r="QUH71" s="122"/>
      <c r="QUI71" s="122"/>
      <c r="QUJ71" s="122"/>
      <c r="QUK71" s="122"/>
      <c r="QUL71" s="122"/>
      <c r="QUM71" s="122"/>
      <c r="QUN71" s="122"/>
      <c r="QUO71" s="122"/>
      <c r="QUP71" s="122"/>
      <c r="QUQ71" s="122"/>
      <c r="QUR71" s="122"/>
      <c r="QUS71" s="122"/>
      <c r="QUT71" s="122"/>
      <c r="QUU71" s="122"/>
      <c r="QUV71" s="122"/>
      <c r="QUW71" s="122"/>
      <c r="QUX71" s="122"/>
      <c r="QUY71" s="122"/>
      <c r="QUZ71" s="122"/>
      <c r="QVA71" s="122"/>
      <c r="QVB71" s="122"/>
      <c r="QVC71" s="122"/>
      <c r="QVD71" s="122"/>
      <c r="QVE71" s="122"/>
      <c r="QVF71" s="122"/>
      <c r="QVG71" s="122"/>
      <c r="QVH71" s="122"/>
      <c r="QVI71" s="122"/>
      <c r="QVJ71" s="122"/>
      <c r="QVK71" s="122"/>
      <c r="QVL71" s="122"/>
      <c r="QVM71" s="122"/>
      <c r="QVN71" s="122"/>
      <c r="QVO71" s="122"/>
      <c r="QVP71" s="122"/>
      <c r="QVQ71" s="122"/>
      <c r="QVR71" s="122"/>
      <c r="QVS71" s="122"/>
      <c r="QVT71" s="122"/>
      <c r="QVU71" s="122"/>
      <c r="QVV71" s="122"/>
      <c r="QVW71" s="122"/>
      <c r="QVX71" s="122"/>
      <c r="QVY71" s="122"/>
      <c r="QVZ71" s="122"/>
      <c r="QWA71" s="122"/>
      <c r="QWB71" s="122"/>
      <c r="QWC71" s="122"/>
      <c r="QWD71" s="122"/>
      <c r="QWE71" s="122"/>
      <c r="QWF71" s="122"/>
      <c r="QWG71" s="122"/>
      <c r="QWH71" s="122"/>
      <c r="QWI71" s="122"/>
      <c r="QWJ71" s="122"/>
      <c r="QWK71" s="122"/>
      <c r="QWL71" s="122"/>
      <c r="QWM71" s="122"/>
      <c r="QWN71" s="122"/>
      <c r="QWO71" s="122"/>
      <c r="QWP71" s="122"/>
      <c r="QWQ71" s="122"/>
      <c r="QWR71" s="122"/>
      <c r="QWS71" s="122"/>
      <c r="QWT71" s="122"/>
      <c r="QWU71" s="122"/>
      <c r="QWV71" s="122"/>
      <c r="QWW71" s="122"/>
      <c r="QWX71" s="122"/>
      <c r="QWY71" s="122"/>
      <c r="QWZ71" s="122"/>
      <c r="QXA71" s="122"/>
      <c r="QXB71" s="122"/>
      <c r="QXC71" s="122"/>
      <c r="QXD71" s="122"/>
      <c r="QXE71" s="122"/>
      <c r="QXF71" s="122"/>
      <c r="QXG71" s="122"/>
      <c r="QXH71" s="122"/>
      <c r="QXI71" s="122"/>
      <c r="QXJ71" s="122"/>
      <c r="QXK71" s="122"/>
      <c r="QXL71" s="122"/>
      <c r="QXM71" s="122"/>
      <c r="QXN71" s="122"/>
      <c r="QXO71" s="122"/>
      <c r="QXP71" s="122"/>
      <c r="QXQ71" s="122"/>
      <c r="QXR71" s="122"/>
      <c r="QXS71" s="122"/>
      <c r="QXT71" s="122"/>
      <c r="QXU71" s="122"/>
      <c r="QXV71" s="122"/>
      <c r="QXW71" s="122"/>
      <c r="QXX71" s="122"/>
      <c r="QXY71" s="122"/>
      <c r="QXZ71" s="122"/>
      <c r="QYA71" s="122"/>
      <c r="QYB71" s="122"/>
      <c r="QYC71" s="122"/>
      <c r="QYD71" s="122"/>
      <c r="QYE71" s="122"/>
      <c r="QYF71" s="122"/>
      <c r="QYG71" s="122"/>
      <c r="QYH71" s="122"/>
      <c r="QYI71" s="122"/>
      <c r="QYJ71" s="122"/>
      <c r="QYK71" s="122"/>
      <c r="QYL71" s="122"/>
      <c r="QYM71" s="122"/>
      <c r="QYN71" s="122"/>
      <c r="QYO71" s="122"/>
      <c r="QYP71" s="122"/>
      <c r="QYQ71" s="122"/>
      <c r="QYR71" s="122"/>
      <c r="QYS71" s="122"/>
      <c r="QYT71" s="122"/>
      <c r="QYU71" s="122"/>
      <c r="QYV71" s="122"/>
      <c r="QYW71" s="122"/>
      <c r="QYX71" s="122"/>
      <c r="QYY71" s="122"/>
      <c r="QYZ71" s="122"/>
      <c r="QZA71" s="122"/>
      <c r="QZB71" s="122"/>
      <c r="QZC71" s="122"/>
      <c r="QZD71" s="122"/>
      <c r="QZE71" s="122"/>
      <c r="QZF71" s="122"/>
      <c r="QZG71" s="122"/>
      <c r="QZH71" s="122"/>
      <c r="QZI71" s="122"/>
      <c r="QZJ71" s="122"/>
      <c r="QZK71" s="122"/>
      <c r="QZL71" s="122"/>
      <c r="QZM71" s="122"/>
      <c r="QZN71" s="122"/>
      <c r="QZO71" s="122"/>
      <c r="QZP71" s="122"/>
      <c r="QZQ71" s="122"/>
      <c r="QZR71" s="122"/>
      <c r="QZS71" s="122"/>
      <c r="QZT71" s="122"/>
      <c r="QZU71" s="122"/>
      <c r="QZV71" s="122"/>
      <c r="QZW71" s="122"/>
      <c r="QZX71" s="122"/>
      <c r="QZY71" s="122"/>
      <c r="QZZ71" s="122"/>
      <c r="RAA71" s="122"/>
      <c r="RAB71" s="122"/>
      <c r="RAC71" s="122"/>
      <c r="RAD71" s="122"/>
      <c r="RAE71" s="122"/>
      <c r="RAF71" s="122"/>
      <c r="RAG71" s="122"/>
      <c r="RAH71" s="122"/>
      <c r="RAI71" s="122"/>
      <c r="RAJ71" s="122"/>
      <c r="RAK71" s="122"/>
      <c r="RAL71" s="122"/>
      <c r="RAM71" s="122"/>
      <c r="RAN71" s="122"/>
      <c r="RAO71" s="122"/>
      <c r="RAP71" s="122"/>
      <c r="RAQ71" s="122"/>
      <c r="RAR71" s="122"/>
      <c r="RAS71" s="122"/>
      <c r="RAT71" s="122"/>
      <c r="RAU71" s="122"/>
      <c r="RAV71" s="122"/>
      <c r="RAW71" s="122"/>
      <c r="RAX71" s="122"/>
      <c r="RAY71" s="122"/>
      <c r="RAZ71" s="122"/>
      <c r="RBA71" s="122"/>
      <c r="RBB71" s="122"/>
      <c r="RBC71" s="122"/>
      <c r="RBD71" s="122"/>
      <c r="RBE71" s="122"/>
      <c r="RBF71" s="122"/>
      <c r="RBG71" s="122"/>
      <c r="RBH71" s="122"/>
      <c r="RBI71" s="122"/>
      <c r="RBJ71" s="122"/>
      <c r="RBK71" s="122"/>
      <c r="RBL71" s="122"/>
      <c r="RBM71" s="122"/>
      <c r="RBN71" s="122"/>
      <c r="RBO71" s="122"/>
      <c r="RBP71" s="122"/>
      <c r="RBQ71" s="122"/>
      <c r="RBR71" s="122"/>
      <c r="RBS71" s="122"/>
      <c r="RBT71" s="122"/>
      <c r="RBU71" s="122"/>
      <c r="RBV71" s="122"/>
      <c r="RBW71" s="122"/>
      <c r="RBX71" s="122"/>
      <c r="RBY71" s="122"/>
      <c r="RBZ71" s="122"/>
      <c r="RCA71" s="122"/>
      <c r="RCB71" s="122"/>
      <c r="RCC71" s="122"/>
      <c r="RCD71" s="122"/>
      <c r="RCE71" s="122"/>
      <c r="RCF71" s="122"/>
      <c r="RCG71" s="122"/>
      <c r="RCH71" s="122"/>
      <c r="RCI71" s="122"/>
      <c r="RCJ71" s="122"/>
      <c r="RCK71" s="122"/>
      <c r="RCL71" s="122"/>
      <c r="RCM71" s="122"/>
      <c r="RCN71" s="122"/>
      <c r="RCO71" s="122"/>
      <c r="RCP71" s="122"/>
      <c r="RCQ71" s="122"/>
      <c r="RCR71" s="122"/>
      <c r="RCS71" s="122"/>
      <c r="RCT71" s="122"/>
      <c r="RCU71" s="122"/>
      <c r="RCV71" s="122"/>
      <c r="RCW71" s="122"/>
      <c r="RCX71" s="122"/>
      <c r="RCY71" s="122"/>
      <c r="RCZ71" s="122"/>
      <c r="RDA71" s="122"/>
      <c r="RDB71" s="122"/>
      <c r="RDC71" s="122"/>
      <c r="RDD71" s="122"/>
      <c r="RDE71" s="122"/>
      <c r="RDF71" s="122"/>
      <c r="RDG71" s="122"/>
      <c r="RDH71" s="122"/>
      <c r="RDI71" s="122"/>
      <c r="RDJ71" s="122"/>
      <c r="RDK71" s="122"/>
      <c r="RDL71" s="122"/>
      <c r="RDM71" s="122"/>
      <c r="RDN71" s="122"/>
      <c r="RDO71" s="122"/>
      <c r="RDP71" s="122"/>
      <c r="RDQ71" s="122"/>
      <c r="RDR71" s="122"/>
      <c r="RDS71" s="122"/>
      <c r="RDT71" s="122"/>
      <c r="RDU71" s="122"/>
      <c r="RDV71" s="122"/>
      <c r="RDW71" s="122"/>
      <c r="RDX71" s="122"/>
      <c r="RDY71" s="122"/>
      <c r="RDZ71" s="122"/>
      <c r="REA71" s="122"/>
      <c r="REB71" s="122"/>
      <c r="REC71" s="122"/>
      <c r="RED71" s="122"/>
      <c r="REE71" s="122"/>
      <c r="REF71" s="122"/>
      <c r="REG71" s="122"/>
      <c r="REH71" s="122"/>
      <c r="REI71" s="122"/>
      <c r="REJ71" s="122"/>
      <c r="REK71" s="122"/>
      <c r="REL71" s="122"/>
      <c r="REM71" s="122"/>
      <c r="REN71" s="122"/>
      <c r="REO71" s="122"/>
      <c r="REP71" s="122"/>
      <c r="REQ71" s="122"/>
      <c r="RER71" s="122"/>
      <c r="RES71" s="122"/>
      <c r="RET71" s="122"/>
      <c r="REU71" s="122"/>
      <c r="REV71" s="122"/>
      <c r="REW71" s="122"/>
      <c r="REX71" s="122"/>
      <c r="REY71" s="122"/>
      <c r="REZ71" s="122"/>
      <c r="RFA71" s="122"/>
      <c r="RFB71" s="122"/>
      <c r="RFC71" s="122"/>
      <c r="RFD71" s="122"/>
      <c r="RFE71" s="122"/>
      <c r="RFF71" s="122"/>
      <c r="RFG71" s="122"/>
      <c r="RFH71" s="122"/>
      <c r="RFI71" s="122"/>
      <c r="RFJ71" s="122"/>
      <c r="RFK71" s="122"/>
      <c r="RFL71" s="122"/>
      <c r="RFM71" s="122"/>
      <c r="RFN71" s="122"/>
      <c r="RFO71" s="122"/>
      <c r="RFP71" s="122"/>
      <c r="RFQ71" s="122"/>
      <c r="RFR71" s="122"/>
      <c r="RFS71" s="122"/>
      <c r="RFT71" s="122"/>
      <c r="RFU71" s="122"/>
      <c r="RFV71" s="122"/>
      <c r="RFW71" s="122"/>
      <c r="RFX71" s="122"/>
      <c r="RFY71" s="122"/>
      <c r="RFZ71" s="122"/>
      <c r="RGA71" s="122"/>
      <c r="RGB71" s="122"/>
      <c r="RGC71" s="122"/>
      <c r="RGD71" s="122"/>
      <c r="RGE71" s="122"/>
      <c r="RGF71" s="122"/>
      <c r="RGG71" s="122"/>
      <c r="RGH71" s="122"/>
      <c r="RGI71" s="122"/>
      <c r="RGJ71" s="122"/>
      <c r="RGK71" s="122"/>
      <c r="RGL71" s="122"/>
      <c r="RGM71" s="122"/>
      <c r="RGN71" s="122"/>
      <c r="RGO71" s="122"/>
      <c r="RGP71" s="122"/>
      <c r="RGQ71" s="122"/>
      <c r="RGR71" s="122"/>
      <c r="RGS71" s="122"/>
      <c r="RGT71" s="122"/>
      <c r="RGU71" s="122"/>
      <c r="RGV71" s="122"/>
      <c r="RGW71" s="122"/>
      <c r="RGX71" s="122"/>
      <c r="RGY71" s="122"/>
      <c r="RGZ71" s="122"/>
      <c r="RHA71" s="122"/>
      <c r="RHB71" s="122"/>
      <c r="RHC71" s="122"/>
      <c r="RHD71" s="122"/>
      <c r="RHE71" s="122"/>
      <c r="RHF71" s="122"/>
      <c r="RHG71" s="122"/>
      <c r="RHH71" s="122"/>
      <c r="RHI71" s="122"/>
      <c r="RHJ71" s="122"/>
      <c r="RHK71" s="122"/>
      <c r="RHL71" s="122"/>
      <c r="RHM71" s="122"/>
      <c r="RHN71" s="122"/>
      <c r="RHO71" s="122"/>
      <c r="RHP71" s="122"/>
      <c r="RHQ71" s="122"/>
      <c r="RHR71" s="122"/>
      <c r="RHS71" s="122"/>
      <c r="RHT71" s="122"/>
      <c r="RHU71" s="122"/>
      <c r="RHV71" s="122"/>
      <c r="RHW71" s="122"/>
      <c r="RHX71" s="122"/>
      <c r="RHY71" s="122"/>
      <c r="RHZ71" s="122"/>
      <c r="RIA71" s="122"/>
      <c r="RIB71" s="122"/>
      <c r="RIC71" s="122"/>
      <c r="RID71" s="122"/>
      <c r="RIE71" s="122"/>
      <c r="RIF71" s="122"/>
      <c r="RIG71" s="122"/>
      <c r="RIH71" s="122"/>
      <c r="RII71" s="122"/>
      <c r="RIJ71" s="122"/>
      <c r="RIK71" s="122"/>
      <c r="RIL71" s="122"/>
      <c r="RIM71" s="122"/>
      <c r="RIN71" s="122"/>
      <c r="RIO71" s="122"/>
      <c r="RIP71" s="122"/>
      <c r="RIQ71" s="122"/>
      <c r="RIR71" s="122"/>
      <c r="RIS71" s="122"/>
      <c r="RIT71" s="122"/>
      <c r="RIU71" s="122"/>
      <c r="RIV71" s="122"/>
      <c r="RIW71" s="122"/>
      <c r="RIX71" s="122"/>
      <c r="RIY71" s="122"/>
      <c r="RIZ71" s="122"/>
      <c r="RJA71" s="122"/>
      <c r="RJB71" s="122"/>
      <c r="RJC71" s="122"/>
      <c r="RJD71" s="122"/>
      <c r="RJE71" s="122"/>
      <c r="RJF71" s="122"/>
      <c r="RJG71" s="122"/>
      <c r="RJH71" s="122"/>
      <c r="RJI71" s="122"/>
      <c r="RJJ71" s="122"/>
      <c r="RJK71" s="122"/>
      <c r="RJL71" s="122"/>
      <c r="RJM71" s="122"/>
      <c r="RJN71" s="122"/>
      <c r="RJO71" s="122"/>
      <c r="RJP71" s="122"/>
      <c r="RJQ71" s="122"/>
      <c r="RJR71" s="122"/>
      <c r="RJS71" s="122"/>
      <c r="RJT71" s="122"/>
      <c r="RJU71" s="122"/>
      <c r="RJV71" s="122"/>
      <c r="RJW71" s="122"/>
      <c r="RJX71" s="122"/>
      <c r="RJY71" s="122"/>
      <c r="RJZ71" s="122"/>
      <c r="RKA71" s="122"/>
      <c r="RKB71" s="122"/>
      <c r="RKC71" s="122"/>
      <c r="RKD71" s="122"/>
      <c r="RKE71" s="122"/>
      <c r="RKF71" s="122"/>
      <c r="RKG71" s="122"/>
      <c r="RKH71" s="122"/>
      <c r="RKI71" s="122"/>
      <c r="RKJ71" s="122"/>
      <c r="RKK71" s="122"/>
      <c r="RKL71" s="122"/>
      <c r="RKM71" s="122"/>
      <c r="RKN71" s="122"/>
      <c r="RKO71" s="122"/>
      <c r="RKP71" s="122"/>
      <c r="RKQ71" s="122"/>
      <c r="RKR71" s="122"/>
      <c r="RKS71" s="122"/>
      <c r="RKT71" s="122"/>
      <c r="RKU71" s="122"/>
      <c r="RKV71" s="122"/>
      <c r="RKW71" s="122"/>
      <c r="RKX71" s="122"/>
      <c r="RKY71" s="122"/>
      <c r="RKZ71" s="122"/>
      <c r="RLA71" s="122"/>
      <c r="RLB71" s="122"/>
      <c r="RLC71" s="122"/>
      <c r="RLD71" s="122"/>
      <c r="RLE71" s="122"/>
      <c r="RLF71" s="122"/>
      <c r="RLG71" s="122"/>
      <c r="RLH71" s="122"/>
      <c r="RLI71" s="122"/>
      <c r="RLJ71" s="122"/>
      <c r="RLK71" s="122"/>
      <c r="RLL71" s="122"/>
      <c r="RLM71" s="122"/>
      <c r="RLN71" s="122"/>
      <c r="RLO71" s="122"/>
      <c r="RLP71" s="122"/>
      <c r="RLQ71" s="122"/>
      <c r="RLR71" s="122"/>
      <c r="RLS71" s="122"/>
      <c r="RLT71" s="122"/>
      <c r="RLU71" s="122"/>
      <c r="RLV71" s="122"/>
      <c r="RLW71" s="122"/>
      <c r="RLX71" s="122"/>
      <c r="RLY71" s="122"/>
      <c r="RLZ71" s="122"/>
      <c r="RMA71" s="122"/>
      <c r="RMB71" s="122"/>
      <c r="RMC71" s="122"/>
      <c r="RMD71" s="122"/>
      <c r="RME71" s="122"/>
      <c r="RMF71" s="122"/>
      <c r="RMG71" s="122"/>
      <c r="RMH71" s="122"/>
      <c r="RMI71" s="122"/>
      <c r="RMJ71" s="122"/>
      <c r="RMK71" s="122"/>
      <c r="RML71" s="122"/>
      <c r="RMM71" s="122"/>
      <c r="RMN71" s="122"/>
      <c r="RMO71" s="122"/>
      <c r="RMP71" s="122"/>
      <c r="RMQ71" s="122"/>
      <c r="RMR71" s="122"/>
      <c r="RMS71" s="122"/>
      <c r="RMT71" s="122"/>
      <c r="RMU71" s="122"/>
      <c r="RMV71" s="122"/>
      <c r="RMW71" s="122"/>
      <c r="RMX71" s="122"/>
      <c r="RMY71" s="122"/>
      <c r="RMZ71" s="122"/>
      <c r="RNA71" s="122"/>
      <c r="RNB71" s="122"/>
      <c r="RNC71" s="122"/>
      <c r="RND71" s="122"/>
      <c r="RNE71" s="122"/>
      <c r="RNF71" s="122"/>
      <c r="RNG71" s="122"/>
      <c r="RNH71" s="122"/>
      <c r="RNI71" s="122"/>
      <c r="RNJ71" s="122"/>
      <c r="RNK71" s="122"/>
      <c r="RNL71" s="122"/>
      <c r="RNM71" s="122"/>
      <c r="RNN71" s="122"/>
      <c r="RNO71" s="122"/>
      <c r="RNP71" s="122"/>
      <c r="RNQ71" s="122"/>
      <c r="RNR71" s="122"/>
      <c r="RNS71" s="122"/>
      <c r="RNT71" s="122"/>
      <c r="RNU71" s="122"/>
      <c r="RNV71" s="122"/>
      <c r="RNW71" s="122"/>
      <c r="RNX71" s="122"/>
      <c r="RNY71" s="122"/>
      <c r="RNZ71" s="122"/>
      <c r="ROA71" s="122"/>
      <c r="ROB71" s="122"/>
      <c r="ROC71" s="122"/>
      <c r="ROD71" s="122"/>
      <c r="ROE71" s="122"/>
      <c r="ROF71" s="122"/>
      <c r="ROG71" s="122"/>
      <c r="ROH71" s="122"/>
      <c r="ROI71" s="122"/>
      <c r="ROJ71" s="122"/>
      <c r="ROK71" s="122"/>
      <c r="ROL71" s="122"/>
      <c r="ROM71" s="122"/>
      <c r="RON71" s="122"/>
      <c r="ROO71" s="122"/>
      <c r="ROP71" s="122"/>
      <c r="ROQ71" s="122"/>
      <c r="ROR71" s="122"/>
      <c r="ROS71" s="122"/>
      <c r="ROT71" s="122"/>
      <c r="ROU71" s="122"/>
      <c r="ROV71" s="122"/>
      <c r="ROW71" s="122"/>
      <c r="ROX71" s="122"/>
      <c r="ROY71" s="122"/>
      <c r="ROZ71" s="122"/>
      <c r="RPA71" s="122"/>
      <c r="RPB71" s="122"/>
      <c r="RPC71" s="122"/>
      <c r="RPD71" s="122"/>
      <c r="RPE71" s="122"/>
      <c r="RPF71" s="122"/>
      <c r="RPG71" s="122"/>
      <c r="RPH71" s="122"/>
      <c r="RPI71" s="122"/>
      <c r="RPJ71" s="122"/>
      <c r="RPK71" s="122"/>
      <c r="RPL71" s="122"/>
      <c r="RPM71" s="122"/>
      <c r="RPN71" s="122"/>
      <c r="RPO71" s="122"/>
      <c r="RPP71" s="122"/>
      <c r="RPQ71" s="122"/>
      <c r="RPR71" s="122"/>
      <c r="RPS71" s="122"/>
      <c r="RPT71" s="122"/>
      <c r="RPU71" s="122"/>
      <c r="RPV71" s="122"/>
      <c r="RPW71" s="122"/>
      <c r="RPX71" s="122"/>
      <c r="RPY71" s="122"/>
      <c r="RPZ71" s="122"/>
      <c r="RQA71" s="122"/>
      <c r="RQB71" s="122"/>
      <c r="RQC71" s="122"/>
      <c r="RQD71" s="122"/>
      <c r="RQE71" s="122"/>
      <c r="RQF71" s="122"/>
      <c r="RQG71" s="122"/>
      <c r="RQH71" s="122"/>
      <c r="RQI71" s="122"/>
      <c r="RQJ71" s="122"/>
      <c r="RQK71" s="122"/>
      <c r="RQL71" s="122"/>
      <c r="RQM71" s="122"/>
      <c r="RQN71" s="122"/>
      <c r="RQO71" s="122"/>
      <c r="RQP71" s="122"/>
      <c r="RQQ71" s="122"/>
      <c r="RQR71" s="122"/>
      <c r="RQS71" s="122"/>
      <c r="RQT71" s="122"/>
      <c r="RQU71" s="122"/>
      <c r="RQV71" s="122"/>
      <c r="RQW71" s="122"/>
      <c r="RQX71" s="122"/>
      <c r="RQY71" s="122"/>
      <c r="RQZ71" s="122"/>
      <c r="RRA71" s="122"/>
      <c r="RRB71" s="122"/>
      <c r="RRC71" s="122"/>
      <c r="RRD71" s="122"/>
      <c r="RRE71" s="122"/>
      <c r="RRF71" s="122"/>
      <c r="RRG71" s="122"/>
      <c r="RRH71" s="122"/>
      <c r="RRI71" s="122"/>
      <c r="RRJ71" s="122"/>
      <c r="RRK71" s="122"/>
      <c r="RRL71" s="122"/>
      <c r="RRM71" s="122"/>
      <c r="RRN71" s="122"/>
      <c r="RRO71" s="122"/>
      <c r="RRP71" s="122"/>
      <c r="RRQ71" s="122"/>
      <c r="RRR71" s="122"/>
      <c r="RRS71" s="122"/>
      <c r="RRT71" s="122"/>
      <c r="RRU71" s="122"/>
      <c r="RRV71" s="122"/>
      <c r="RRW71" s="122"/>
      <c r="RRX71" s="122"/>
      <c r="RRY71" s="122"/>
      <c r="RRZ71" s="122"/>
      <c r="RSA71" s="122"/>
      <c r="RSB71" s="122"/>
      <c r="RSC71" s="122"/>
      <c r="RSD71" s="122"/>
      <c r="RSE71" s="122"/>
      <c r="RSF71" s="122"/>
      <c r="RSG71" s="122"/>
      <c r="RSH71" s="122"/>
      <c r="RSI71" s="122"/>
      <c r="RSJ71" s="122"/>
      <c r="RSK71" s="122"/>
      <c r="RSL71" s="122"/>
      <c r="RSM71" s="122"/>
      <c r="RSN71" s="122"/>
      <c r="RSO71" s="122"/>
      <c r="RSP71" s="122"/>
      <c r="RSQ71" s="122"/>
      <c r="RSR71" s="122"/>
      <c r="RSS71" s="122"/>
      <c r="RST71" s="122"/>
      <c r="RSU71" s="122"/>
      <c r="RSV71" s="122"/>
      <c r="RSW71" s="122"/>
      <c r="RSX71" s="122"/>
      <c r="RSY71" s="122"/>
      <c r="RSZ71" s="122"/>
      <c r="RTA71" s="122"/>
      <c r="RTB71" s="122"/>
      <c r="RTC71" s="122"/>
      <c r="RTD71" s="122"/>
      <c r="RTE71" s="122"/>
      <c r="RTF71" s="122"/>
      <c r="RTG71" s="122"/>
      <c r="RTH71" s="122"/>
      <c r="RTI71" s="122"/>
      <c r="RTJ71" s="122"/>
      <c r="RTK71" s="122"/>
      <c r="RTL71" s="122"/>
      <c r="RTM71" s="122"/>
      <c r="RTN71" s="122"/>
      <c r="RTO71" s="122"/>
      <c r="RTP71" s="122"/>
      <c r="RTQ71" s="122"/>
      <c r="RTR71" s="122"/>
      <c r="RTS71" s="122"/>
      <c r="RTT71" s="122"/>
      <c r="RTU71" s="122"/>
      <c r="RTV71" s="122"/>
      <c r="RTW71" s="122"/>
      <c r="RTX71" s="122"/>
      <c r="RTY71" s="122"/>
      <c r="RTZ71" s="122"/>
      <c r="RUA71" s="122"/>
      <c r="RUB71" s="122"/>
      <c r="RUC71" s="122"/>
      <c r="RUD71" s="122"/>
      <c r="RUE71" s="122"/>
      <c r="RUF71" s="122"/>
      <c r="RUG71" s="122"/>
      <c r="RUH71" s="122"/>
      <c r="RUI71" s="122"/>
      <c r="RUJ71" s="122"/>
      <c r="RUK71" s="122"/>
      <c r="RUL71" s="122"/>
      <c r="RUM71" s="122"/>
      <c r="RUN71" s="122"/>
      <c r="RUO71" s="122"/>
      <c r="RUP71" s="122"/>
      <c r="RUQ71" s="122"/>
      <c r="RUR71" s="122"/>
      <c r="RUS71" s="122"/>
      <c r="RUT71" s="122"/>
      <c r="RUU71" s="122"/>
      <c r="RUV71" s="122"/>
      <c r="RUW71" s="122"/>
      <c r="RUX71" s="122"/>
      <c r="RUY71" s="122"/>
      <c r="RUZ71" s="122"/>
      <c r="RVA71" s="122"/>
      <c r="RVB71" s="122"/>
      <c r="RVC71" s="122"/>
      <c r="RVD71" s="122"/>
      <c r="RVE71" s="122"/>
      <c r="RVF71" s="122"/>
      <c r="RVG71" s="122"/>
      <c r="RVH71" s="122"/>
      <c r="RVI71" s="122"/>
      <c r="RVJ71" s="122"/>
      <c r="RVK71" s="122"/>
      <c r="RVL71" s="122"/>
      <c r="RVM71" s="122"/>
      <c r="RVN71" s="122"/>
      <c r="RVO71" s="122"/>
      <c r="RVP71" s="122"/>
      <c r="RVQ71" s="122"/>
      <c r="RVR71" s="122"/>
      <c r="RVS71" s="122"/>
      <c r="RVT71" s="122"/>
      <c r="RVU71" s="122"/>
      <c r="RVV71" s="122"/>
      <c r="RVW71" s="122"/>
      <c r="RVX71" s="122"/>
      <c r="RVY71" s="122"/>
      <c r="RVZ71" s="122"/>
      <c r="RWA71" s="122"/>
      <c r="RWB71" s="122"/>
      <c r="RWC71" s="122"/>
      <c r="RWD71" s="122"/>
      <c r="RWE71" s="122"/>
      <c r="RWF71" s="122"/>
      <c r="RWG71" s="122"/>
      <c r="RWH71" s="122"/>
      <c r="RWI71" s="122"/>
      <c r="RWJ71" s="122"/>
      <c r="RWK71" s="122"/>
      <c r="RWL71" s="122"/>
      <c r="RWM71" s="122"/>
      <c r="RWN71" s="122"/>
      <c r="RWO71" s="122"/>
      <c r="RWP71" s="122"/>
      <c r="RWQ71" s="122"/>
      <c r="RWR71" s="122"/>
      <c r="RWS71" s="122"/>
      <c r="RWT71" s="122"/>
      <c r="RWU71" s="122"/>
      <c r="RWV71" s="122"/>
      <c r="RWW71" s="122"/>
      <c r="RWX71" s="122"/>
      <c r="RWY71" s="122"/>
      <c r="RWZ71" s="122"/>
      <c r="RXA71" s="122"/>
      <c r="RXB71" s="122"/>
      <c r="RXC71" s="122"/>
      <c r="RXD71" s="122"/>
      <c r="RXE71" s="122"/>
      <c r="RXF71" s="122"/>
      <c r="RXG71" s="122"/>
      <c r="RXH71" s="122"/>
      <c r="RXI71" s="122"/>
      <c r="RXJ71" s="122"/>
      <c r="RXK71" s="122"/>
      <c r="RXL71" s="122"/>
      <c r="RXM71" s="122"/>
      <c r="RXN71" s="122"/>
      <c r="RXO71" s="122"/>
      <c r="RXP71" s="122"/>
      <c r="RXQ71" s="122"/>
      <c r="RXR71" s="122"/>
      <c r="RXS71" s="122"/>
      <c r="RXT71" s="122"/>
      <c r="RXU71" s="122"/>
      <c r="RXV71" s="122"/>
      <c r="RXW71" s="122"/>
      <c r="RXX71" s="122"/>
      <c r="RXY71" s="122"/>
      <c r="RXZ71" s="122"/>
      <c r="RYA71" s="122"/>
      <c r="RYB71" s="122"/>
      <c r="RYC71" s="122"/>
      <c r="RYD71" s="122"/>
      <c r="RYE71" s="122"/>
      <c r="RYF71" s="122"/>
      <c r="RYG71" s="122"/>
      <c r="RYH71" s="122"/>
      <c r="RYI71" s="122"/>
      <c r="RYJ71" s="122"/>
      <c r="RYK71" s="122"/>
      <c r="RYL71" s="122"/>
      <c r="RYM71" s="122"/>
      <c r="RYN71" s="122"/>
      <c r="RYO71" s="122"/>
      <c r="RYP71" s="122"/>
      <c r="RYQ71" s="122"/>
      <c r="RYR71" s="122"/>
      <c r="RYS71" s="122"/>
      <c r="RYT71" s="122"/>
      <c r="RYU71" s="122"/>
      <c r="RYV71" s="122"/>
      <c r="RYW71" s="122"/>
      <c r="RYX71" s="122"/>
      <c r="RYY71" s="122"/>
      <c r="RYZ71" s="122"/>
      <c r="RZA71" s="122"/>
      <c r="RZB71" s="122"/>
      <c r="RZC71" s="122"/>
      <c r="RZD71" s="122"/>
      <c r="RZE71" s="122"/>
      <c r="RZF71" s="122"/>
      <c r="RZG71" s="122"/>
      <c r="RZH71" s="122"/>
      <c r="RZI71" s="122"/>
      <c r="RZJ71" s="122"/>
      <c r="RZK71" s="122"/>
      <c r="RZL71" s="122"/>
      <c r="RZM71" s="122"/>
      <c r="RZN71" s="122"/>
      <c r="RZO71" s="122"/>
      <c r="RZP71" s="122"/>
      <c r="RZQ71" s="122"/>
      <c r="RZR71" s="122"/>
      <c r="RZS71" s="122"/>
      <c r="RZT71" s="122"/>
      <c r="RZU71" s="122"/>
      <c r="RZV71" s="122"/>
      <c r="RZW71" s="122"/>
      <c r="RZX71" s="122"/>
      <c r="RZY71" s="122"/>
      <c r="RZZ71" s="122"/>
      <c r="SAA71" s="122"/>
      <c r="SAB71" s="122"/>
      <c r="SAC71" s="122"/>
      <c r="SAD71" s="122"/>
      <c r="SAE71" s="122"/>
      <c r="SAF71" s="122"/>
      <c r="SAG71" s="122"/>
      <c r="SAH71" s="122"/>
      <c r="SAI71" s="122"/>
      <c r="SAJ71" s="122"/>
      <c r="SAK71" s="122"/>
      <c r="SAL71" s="122"/>
      <c r="SAM71" s="122"/>
      <c r="SAN71" s="122"/>
      <c r="SAO71" s="122"/>
      <c r="SAP71" s="122"/>
      <c r="SAQ71" s="122"/>
      <c r="SAR71" s="122"/>
      <c r="SAS71" s="122"/>
      <c r="SAT71" s="122"/>
      <c r="SAU71" s="122"/>
      <c r="SAV71" s="122"/>
      <c r="SAW71" s="122"/>
      <c r="SAX71" s="122"/>
      <c r="SAY71" s="122"/>
      <c r="SAZ71" s="122"/>
      <c r="SBA71" s="122"/>
      <c r="SBB71" s="122"/>
      <c r="SBC71" s="122"/>
      <c r="SBD71" s="122"/>
      <c r="SBE71" s="122"/>
      <c r="SBF71" s="122"/>
      <c r="SBG71" s="122"/>
      <c r="SBH71" s="122"/>
      <c r="SBI71" s="122"/>
      <c r="SBJ71" s="122"/>
      <c r="SBK71" s="122"/>
      <c r="SBL71" s="122"/>
      <c r="SBM71" s="122"/>
      <c r="SBN71" s="122"/>
      <c r="SBO71" s="122"/>
      <c r="SBP71" s="122"/>
      <c r="SBQ71" s="122"/>
      <c r="SBR71" s="122"/>
      <c r="SBS71" s="122"/>
      <c r="SBT71" s="122"/>
      <c r="SBU71" s="122"/>
      <c r="SBV71" s="122"/>
      <c r="SBW71" s="122"/>
      <c r="SBX71" s="122"/>
      <c r="SBY71" s="122"/>
      <c r="SBZ71" s="122"/>
      <c r="SCA71" s="122"/>
      <c r="SCB71" s="122"/>
      <c r="SCC71" s="122"/>
      <c r="SCD71" s="122"/>
      <c r="SCE71" s="122"/>
      <c r="SCF71" s="122"/>
      <c r="SCG71" s="122"/>
      <c r="SCH71" s="122"/>
      <c r="SCI71" s="122"/>
      <c r="SCJ71" s="122"/>
      <c r="SCK71" s="122"/>
      <c r="SCL71" s="122"/>
      <c r="SCM71" s="122"/>
      <c r="SCN71" s="122"/>
      <c r="SCO71" s="122"/>
      <c r="SCP71" s="122"/>
      <c r="SCQ71" s="122"/>
      <c r="SCR71" s="122"/>
      <c r="SCS71" s="122"/>
      <c r="SCT71" s="122"/>
      <c r="SCU71" s="122"/>
      <c r="SCV71" s="122"/>
      <c r="SCW71" s="122"/>
      <c r="SCX71" s="122"/>
      <c r="SCY71" s="122"/>
      <c r="SCZ71" s="122"/>
      <c r="SDA71" s="122"/>
      <c r="SDB71" s="122"/>
      <c r="SDC71" s="122"/>
      <c r="SDD71" s="122"/>
      <c r="SDE71" s="122"/>
      <c r="SDF71" s="122"/>
      <c r="SDG71" s="122"/>
      <c r="SDH71" s="122"/>
      <c r="SDI71" s="122"/>
      <c r="SDJ71" s="122"/>
      <c r="SDK71" s="122"/>
      <c r="SDL71" s="122"/>
      <c r="SDM71" s="122"/>
      <c r="SDN71" s="122"/>
      <c r="SDO71" s="122"/>
      <c r="SDP71" s="122"/>
      <c r="SDQ71" s="122"/>
      <c r="SDR71" s="122"/>
      <c r="SDS71" s="122"/>
      <c r="SDT71" s="122"/>
      <c r="SDU71" s="122"/>
      <c r="SDV71" s="122"/>
      <c r="SDW71" s="122"/>
      <c r="SDX71" s="122"/>
      <c r="SDY71" s="122"/>
      <c r="SDZ71" s="122"/>
      <c r="SEA71" s="122"/>
      <c r="SEB71" s="122"/>
      <c r="SEC71" s="122"/>
      <c r="SED71" s="122"/>
      <c r="SEE71" s="122"/>
      <c r="SEF71" s="122"/>
      <c r="SEG71" s="122"/>
      <c r="SEH71" s="122"/>
      <c r="SEI71" s="122"/>
      <c r="SEJ71" s="122"/>
      <c r="SEK71" s="122"/>
      <c r="SEL71" s="122"/>
      <c r="SEM71" s="122"/>
      <c r="SEN71" s="122"/>
      <c r="SEO71" s="122"/>
      <c r="SEP71" s="122"/>
      <c r="SEQ71" s="122"/>
      <c r="SER71" s="122"/>
      <c r="SES71" s="122"/>
      <c r="SET71" s="122"/>
      <c r="SEU71" s="122"/>
      <c r="SEV71" s="122"/>
      <c r="SEW71" s="122"/>
      <c r="SEX71" s="122"/>
      <c r="SEY71" s="122"/>
      <c r="SEZ71" s="122"/>
      <c r="SFA71" s="122"/>
      <c r="SFB71" s="122"/>
      <c r="SFC71" s="122"/>
      <c r="SFD71" s="122"/>
      <c r="SFE71" s="122"/>
      <c r="SFF71" s="122"/>
      <c r="SFG71" s="122"/>
      <c r="SFH71" s="122"/>
      <c r="SFI71" s="122"/>
      <c r="SFJ71" s="122"/>
      <c r="SFK71" s="122"/>
      <c r="SFL71" s="122"/>
      <c r="SFM71" s="122"/>
      <c r="SFN71" s="122"/>
      <c r="SFO71" s="122"/>
      <c r="SFP71" s="122"/>
      <c r="SFQ71" s="122"/>
      <c r="SFR71" s="122"/>
      <c r="SFS71" s="122"/>
      <c r="SFT71" s="122"/>
      <c r="SFU71" s="122"/>
      <c r="SFV71" s="122"/>
      <c r="SFW71" s="122"/>
      <c r="SFX71" s="122"/>
      <c r="SFY71" s="122"/>
      <c r="SFZ71" s="122"/>
      <c r="SGA71" s="122"/>
      <c r="SGB71" s="122"/>
      <c r="SGC71" s="122"/>
      <c r="SGD71" s="122"/>
      <c r="SGE71" s="122"/>
      <c r="SGF71" s="122"/>
      <c r="SGG71" s="122"/>
      <c r="SGH71" s="122"/>
      <c r="SGI71" s="122"/>
      <c r="SGJ71" s="122"/>
      <c r="SGK71" s="122"/>
      <c r="SGL71" s="122"/>
      <c r="SGM71" s="122"/>
      <c r="SGN71" s="122"/>
      <c r="SGO71" s="122"/>
      <c r="SGP71" s="122"/>
      <c r="SGQ71" s="122"/>
      <c r="SGR71" s="122"/>
      <c r="SGS71" s="122"/>
      <c r="SGT71" s="122"/>
      <c r="SGU71" s="122"/>
      <c r="SGV71" s="122"/>
      <c r="SGW71" s="122"/>
      <c r="SGX71" s="122"/>
      <c r="SGY71" s="122"/>
      <c r="SGZ71" s="122"/>
      <c r="SHA71" s="122"/>
      <c r="SHB71" s="122"/>
      <c r="SHC71" s="122"/>
      <c r="SHD71" s="122"/>
      <c r="SHE71" s="122"/>
      <c r="SHF71" s="122"/>
      <c r="SHG71" s="122"/>
      <c r="SHH71" s="122"/>
      <c r="SHI71" s="122"/>
      <c r="SHJ71" s="122"/>
      <c r="SHK71" s="122"/>
      <c r="SHL71" s="122"/>
      <c r="SHM71" s="122"/>
      <c r="SHN71" s="122"/>
      <c r="SHO71" s="122"/>
      <c r="SHP71" s="122"/>
      <c r="SHQ71" s="122"/>
      <c r="SHR71" s="122"/>
      <c r="SHS71" s="122"/>
      <c r="SHT71" s="122"/>
      <c r="SHU71" s="122"/>
      <c r="SHV71" s="122"/>
      <c r="SHW71" s="122"/>
      <c r="SHX71" s="122"/>
      <c r="SHY71" s="122"/>
      <c r="SHZ71" s="122"/>
      <c r="SIA71" s="122"/>
      <c r="SIB71" s="122"/>
      <c r="SIC71" s="122"/>
      <c r="SID71" s="122"/>
      <c r="SIE71" s="122"/>
      <c r="SIF71" s="122"/>
      <c r="SIG71" s="122"/>
      <c r="SIH71" s="122"/>
      <c r="SII71" s="122"/>
      <c r="SIJ71" s="122"/>
      <c r="SIK71" s="122"/>
      <c r="SIL71" s="122"/>
      <c r="SIM71" s="122"/>
      <c r="SIN71" s="122"/>
      <c r="SIO71" s="122"/>
      <c r="SIP71" s="122"/>
      <c r="SIQ71" s="122"/>
      <c r="SIR71" s="122"/>
      <c r="SIS71" s="122"/>
      <c r="SIT71" s="122"/>
      <c r="SIU71" s="122"/>
      <c r="SIV71" s="122"/>
      <c r="SIW71" s="122"/>
      <c r="SIX71" s="122"/>
      <c r="SIY71" s="122"/>
      <c r="SIZ71" s="122"/>
      <c r="SJA71" s="122"/>
      <c r="SJB71" s="122"/>
      <c r="SJC71" s="122"/>
      <c r="SJD71" s="122"/>
      <c r="SJE71" s="122"/>
      <c r="SJF71" s="122"/>
      <c r="SJG71" s="122"/>
      <c r="SJH71" s="122"/>
      <c r="SJI71" s="122"/>
      <c r="SJJ71" s="122"/>
      <c r="SJK71" s="122"/>
      <c r="SJL71" s="122"/>
      <c r="SJM71" s="122"/>
      <c r="SJN71" s="122"/>
      <c r="SJO71" s="122"/>
      <c r="SJP71" s="122"/>
      <c r="SJQ71" s="122"/>
      <c r="SJR71" s="122"/>
      <c r="SJS71" s="122"/>
      <c r="SJT71" s="122"/>
      <c r="SJU71" s="122"/>
      <c r="SJV71" s="122"/>
      <c r="SJW71" s="122"/>
      <c r="SJX71" s="122"/>
      <c r="SJY71" s="122"/>
      <c r="SJZ71" s="122"/>
      <c r="SKA71" s="122"/>
      <c r="SKB71" s="122"/>
      <c r="SKC71" s="122"/>
      <c r="SKD71" s="122"/>
      <c r="SKE71" s="122"/>
      <c r="SKF71" s="122"/>
      <c r="SKG71" s="122"/>
      <c r="SKH71" s="122"/>
      <c r="SKI71" s="122"/>
      <c r="SKJ71" s="122"/>
      <c r="SKK71" s="122"/>
      <c r="SKL71" s="122"/>
      <c r="SKM71" s="122"/>
      <c r="SKN71" s="122"/>
      <c r="SKO71" s="122"/>
      <c r="SKP71" s="122"/>
      <c r="SKQ71" s="122"/>
      <c r="SKR71" s="122"/>
      <c r="SKS71" s="122"/>
      <c r="SKT71" s="122"/>
      <c r="SKU71" s="122"/>
      <c r="SKV71" s="122"/>
      <c r="SKW71" s="122"/>
      <c r="SKX71" s="122"/>
      <c r="SKY71" s="122"/>
      <c r="SKZ71" s="122"/>
      <c r="SLA71" s="122"/>
      <c r="SLB71" s="122"/>
      <c r="SLC71" s="122"/>
      <c r="SLD71" s="122"/>
      <c r="SLE71" s="122"/>
      <c r="SLF71" s="122"/>
      <c r="SLG71" s="122"/>
      <c r="SLH71" s="122"/>
      <c r="SLI71" s="122"/>
      <c r="SLJ71" s="122"/>
      <c r="SLK71" s="122"/>
      <c r="SLL71" s="122"/>
      <c r="SLM71" s="122"/>
      <c r="SLN71" s="122"/>
      <c r="SLO71" s="122"/>
      <c r="SLP71" s="122"/>
      <c r="SLQ71" s="122"/>
      <c r="SLR71" s="122"/>
      <c r="SLS71" s="122"/>
      <c r="SLT71" s="122"/>
      <c r="SLU71" s="122"/>
      <c r="SLV71" s="122"/>
      <c r="SLW71" s="122"/>
      <c r="SLX71" s="122"/>
      <c r="SLY71" s="122"/>
      <c r="SLZ71" s="122"/>
      <c r="SMA71" s="122"/>
      <c r="SMB71" s="122"/>
      <c r="SMC71" s="122"/>
      <c r="SMD71" s="122"/>
      <c r="SME71" s="122"/>
      <c r="SMF71" s="122"/>
      <c r="SMG71" s="122"/>
      <c r="SMH71" s="122"/>
      <c r="SMI71" s="122"/>
      <c r="SMJ71" s="122"/>
      <c r="SMK71" s="122"/>
      <c r="SML71" s="122"/>
      <c r="SMM71" s="122"/>
      <c r="SMN71" s="122"/>
      <c r="SMO71" s="122"/>
      <c r="SMP71" s="122"/>
      <c r="SMQ71" s="122"/>
      <c r="SMR71" s="122"/>
      <c r="SMS71" s="122"/>
      <c r="SMT71" s="122"/>
      <c r="SMU71" s="122"/>
      <c r="SMV71" s="122"/>
      <c r="SMW71" s="122"/>
      <c r="SMX71" s="122"/>
      <c r="SMY71" s="122"/>
      <c r="SMZ71" s="122"/>
      <c r="SNA71" s="122"/>
      <c r="SNB71" s="122"/>
      <c r="SNC71" s="122"/>
      <c r="SND71" s="122"/>
      <c r="SNE71" s="122"/>
      <c r="SNF71" s="122"/>
      <c r="SNG71" s="122"/>
      <c r="SNH71" s="122"/>
      <c r="SNI71" s="122"/>
      <c r="SNJ71" s="122"/>
      <c r="SNK71" s="122"/>
      <c r="SNL71" s="122"/>
      <c r="SNM71" s="122"/>
      <c r="SNN71" s="122"/>
      <c r="SNO71" s="122"/>
      <c r="SNP71" s="122"/>
      <c r="SNQ71" s="122"/>
      <c r="SNR71" s="122"/>
      <c r="SNS71" s="122"/>
      <c r="SNT71" s="122"/>
      <c r="SNU71" s="122"/>
      <c r="SNV71" s="122"/>
      <c r="SNW71" s="122"/>
      <c r="SNX71" s="122"/>
      <c r="SNY71" s="122"/>
      <c r="SNZ71" s="122"/>
      <c r="SOA71" s="122"/>
      <c r="SOB71" s="122"/>
      <c r="SOC71" s="122"/>
      <c r="SOD71" s="122"/>
      <c r="SOE71" s="122"/>
      <c r="SOF71" s="122"/>
      <c r="SOG71" s="122"/>
      <c r="SOH71" s="122"/>
      <c r="SOI71" s="122"/>
      <c r="SOJ71" s="122"/>
      <c r="SOK71" s="122"/>
      <c r="SOL71" s="122"/>
      <c r="SOM71" s="122"/>
      <c r="SON71" s="122"/>
      <c r="SOO71" s="122"/>
      <c r="SOP71" s="122"/>
      <c r="SOQ71" s="122"/>
      <c r="SOR71" s="122"/>
      <c r="SOS71" s="122"/>
      <c r="SOT71" s="122"/>
      <c r="SOU71" s="122"/>
      <c r="SOV71" s="122"/>
      <c r="SOW71" s="122"/>
      <c r="SOX71" s="122"/>
      <c r="SOY71" s="122"/>
      <c r="SOZ71" s="122"/>
      <c r="SPA71" s="122"/>
      <c r="SPB71" s="122"/>
      <c r="SPC71" s="122"/>
      <c r="SPD71" s="122"/>
      <c r="SPE71" s="122"/>
      <c r="SPF71" s="122"/>
      <c r="SPG71" s="122"/>
      <c r="SPH71" s="122"/>
      <c r="SPI71" s="122"/>
      <c r="SPJ71" s="122"/>
      <c r="SPK71" s="122"/>
      <c r="SPL71" s="122"/>
      <c r="SPM71" s="122"/>
      <c r="SPN71" s="122"/>
      <c r="SPO71" s="122"/>
      <c r="SPP71" s="122"/>
      <c r="SPQ71" s="122"/>
      <c r="SPR71" s="122"/>
      <c r="SPS71" s="122"/>
      <c r="SPT71" s="122"/>
      <c r="SPU71" s="122"/>
      <c r="SPV71" s="122"/>
      <c r="SPW71" s="122"/>
      <c r="SPX71" s="122"/>
      <c r="SPY71" s="122"/>
      <c r="SPZ71" s="122"/>
      <c r="SQA71" s="122"/>
      <c r="SQB71" s="122"/>
      <c r="SQC71" s="122"/>
      <c r="SQD71" s="122"/>
      <c r="SQE71" s="122"/>
      <c r="SQF71" s="122"/>
      <c r="SQG71" s="122"/>
      <c r="SQH71" s="122"/>
      <c r="SQI71" s="122"/>
      <c r="SQJ71" s="122"/>
      <c r="SQK71" s="122"/>
      <c r="SQL71" s="122"/>
      <c r="SQM71" s="122"/>
      <c r="SQN71" s="122"/>
      <c r="SQO71" s="122"/>
      <c r="SQP71" s="122"/>
      <c r="SQQ71" s="122"/>
      <c r="SQR71" s="122"/>
      <c r="SQS71" s="122"/>
      <c r="SQT71" s="122"/>
      <c r="SQU71" s="122"/>
      <c r="SQV71" s="122"/>
      <c r="SQW71" s="122"/>
      <c r="SQX71" s="122"/>
      <c r="SQY71" s="122"/>
      <c r="SQZ71" s="122"/>
      <c r="SRA71" s="122"/>
      <c r="SRB71" s="122"/>
      <c r="SRC71" s="122"/>
      <c r="SRD71" s="122"/>
      <c r="SRE71" s="122"/>
      <c r="SRF71" s="122"/>
      <c r="SRG71" s="122"/>
      <c r="SRH71" s="122"/>
      <c r="SRI71" s="122"/>
      <c r="SRJ71" s="122"/>
      <c r="SRK71" s="122"/>
      <c r="SRL71" s="122"/>
      <c r="SRM71" s="122"/>
      <c r="SRN71" s="122"/>
      <c r="SRO71" s="122"/>
      <c r="SRP71" s="122"/>
      <c r="SRQ71" s="122"/>
      <c r="SRR71" s="122"/>
      <c r="SRS71" s="122"/>
      <c r="SRT71" s="122"/>
      <c r="SRU71" s="122"/>
      <c r="SRV71" s="122"/>
      <c r="SRW71" s="122"/>
      <c r="SRX71" s="122"/>
      <c r="SRY71" s="122"/>
      <c r="SRZ71" s="122"/>
      <c r="SSA71" s="122"/>
      <c r="SSB71" s="122"/>
      <c r="SSC71" s="122"/>
      <c r="SSD71" s="122"/>
      <c r="SSE71" s="122"/>
      <c r="SSF71" s="122"/>
      <c r="SSG71" s="122"/>
      <c r="SSH71" s="122"/>
      <c r="SSI71" s="122"/>
      <c r="SSJ71" s="122"/>
      <c r="SSK71" s="122"/>
      <c r="SSL71" s="122"/>
      <c r="SSM71" s="122"/>
      <c r="SSN71" s="122"/>
      <c r="SSO71" s="122"/>
      <c r="SSP71" s="122"/>
      <c r="SSQ71" s="122"/>
      <c r="SSR71" s="122"/>
      <c r="SSS71" s="122"/>
      <c r="SST71" s="122"/>
      <c r="SSU71" s="122"/>
      <c r="SSV71" s="122"/>
      <c r="SSW71" s="122"/>
      <c r="SSX71" s="122"/>
      <c r="SSY71" s="122"/>
      <c r="SSZ71" s="122"/>
      <c r="STA71" s="122"/>
      <c r="STB71" s="122"/>
      <c r="STC71" s="122"/>
      <c r="STD71" s="122"/>
      <c r="STE71" s="122"/>
      <c r="STF71" s="122"/>
      <c r="STG71" s="122"/>
      <c r="STH71" s="122"/>
      <c r="STI71" s="122"/>
      <c r="STJ71" s="122"/>
      <c r="STK71" s="122"/>
      <c r="STL71" s="122"/>
      <c r="STM71" s="122"/>
      <c r="STN71" s="122"/>
      <c r="STO71" s="122"/>
      <c r="STP71" s="122"/>
      <c r="STQ71" s="122"/>
      <c r="STR71" s="122"/>
      <c r="STS71" s="122"/>
      <c r="STT71" s="122"/>
      <c r="STU71" s="122"/>
      <c r="STV71" s="122"/>
      <c r="STW71" s="122"/>
      <c r="STX71" s="122"/>
      <c r="STY71" s="122"/>
      <c r="STZ71" s="122"/>
      <c r="SUA71" s="122"/>
      <c r="SUB71" s="122"/>
      <c r="SUC71" s="122"/>
      <c r="SUD71" s="122"/>
      <c r="SUE71" s="122"/>
      <c r="SUF71" s="122"/>
      <c r="SUG71" s="122"/>
      <c r="SUH71" s="122"/>
      <c r="SUI71" s="122"/>
      <c r="SUJ71" s="122"/>
      <c r="SUK71" s="122"/>
      <c r="SUL71" s="122"/>
      <c r="SUM71" s="122"/>
      <c r="SUN71" s="122"/>
      <c r="SUO71" s="122"/>
      <c r="SUP71" s="122"/>
      <c r="SUQ71" s="122"/>
      <c r="SUR71" s="122"/>
      <c r="SUS71" s="122"/>
      <c r="SUT71" s="122"/>
      <c r="SUU71" s="122"/>
      <c r="SUV71" s="122"/>
      <c r="SUW71" s="122"/>
      <c r="SUX71" s="122"/>
      <c r="SUY71" s="122"/>
      <c r="SUZ71" s="122"/>
      <c r="SVA71" s="122"/>
      <c r="SVB71" s="122"/>
      <c r="SVC71" s="122"/>
      <c r="SVD71" s="122"/>
      <c r="SVE71" s="122"/>
      <c r="SVF71" s="122"/>
      <c r="SVG71" s="122"/>
      <c r="SVH71" s="122"/>
      <c r="SVI71" s="122"/>
      <c r="SVJ71" s="122"/>
      <c r="SVK71" s="122"/>
      <c r="SVL71" s="122"/>
      <c r="SVM71" s="122"/>
      <c r="SVN71" s="122"/>
      <c r="SVO71" s="122"/>
      <c r="SVP71" s="122"/>
      <c r="SVQ71" s="122"/>
      <c r="SVR71" s="122"/>
      <c r="SVS71" s="122"/>
      <c r="SVT71" s="122"/>
      <c r="SVU71" s="122"/>
      <c r="SVV71" s="122"/>
      <c r="SVW71" s="122"/>
      <c r="SVX71" s="122"/>
      <c r="SVY71" s="122"/>
      <c r="SVZ71" s="122"/>
      <c r="SWA71" s="122"/>
      <c r="SWB71" s="122"/>
      <c r="SWC71" s="122"/>
      <c r="SWD71" s="122"/>
      <c r="SWE71" s="122"/>
      <c r="SWF71" s="122"/>
      <c r="SWG71" s="122"/>
      <c r="SWH71" s="122"/>
      <c r="SWI71" s="122"/>
      <c r="SWJ71" s="122"/>
      <c r="SWK71" s="122"/>
      <c r="SWL71" s="122"/>
      <c r="SWM71" s="122"/>
      <c r="SWN71" s="122"/>
      <c r="SWO71" s="122"/>
      <c r="SWP71" s="122"/>
      <c r="SWQ71" s="122"/>
      <c r="SWR71" s="122"/>
      <c r="SWS71" s="122"/>
      <c r="SWT71" s="122"/>
      <c r="SWU71" s="122"/>
      <c r="SWV71" s="122"/>
      <c r="SWW71" s="122"/>
      <c r="SWX71" s="122"/>
      <c r="SWY71" s="122"/>
      <c r="SWZ71" s="122"/>
      <c r="SXA71" s="122"/>
      <c r="SXB71" s="122"/>
      <c r="SXC71" s="122"/>
      <c r="SXD71" s="122"/>
      <c r="SXE71" s="122"/>
      <c r="SXF71" s="122"/>
      <c r="SXG71" s="122"/>
      <c r="SXH71" s="122"/>
      <c r="SXI71" s="122"/>
      <c r="SXJ71" s="122"/>
      <c r="SXK71" s="122"/>
      <c r="SXL71" s="122"/>
      <c r="SXM71" s="122"/>
      <c r="SXN71" s="122"/>
      <c r="SXO71" s="122"/>
      <c r="SXP71" s="122"/>
      <c r="SXQ71" s="122"/>
      <c r="SXR71" s="122"/>
      <c r="SXS71" s="122"/>
      <c r="SXT71" s="122"/>
      <c r="SXU71" s="122"/>
      <c r="SXV71" s="122"/>
      <c r="SXW71" s="122"/>
      <c r="SXX71" s="122"/>
      <c r="SXY71" s="122"/>
      <c r="SXZ71" s="122"/>
      <c r="SYA71" s="122"/>
      <c r="SYB71" s="122"/>
      <c r="SYC71" s="122"/>
      <c r="SYD71" s="122"/>
      <c r="SYE71" s="122"/>
      <c r="SYF71" s="122"/>
      <c r="SYG71" s="122"/>
      <c r="SYH71" s="122"/>
      <c r="SYI71" s="122"/>
      <c r="SYJ71" s="122"/>
      <c r="SYK71" s="122"/>
      <c r="SYL71" s="122"/>
      <c r="SYM71" s="122"/>
      <c r="SYN71" s="122"/>
      <c r="SYO71" s="122"/>
      <c r="SYP71" s="122"/>
      <c r="SYQ71" s="122"/>
      <c r="SYR71" s="122"/>
      <c r="SYS71" s="122"/>
      <c r="SYT71" s="122"/>
      <c r="SYU71" s="122"/>
      <c r="SYV71" s="122"/>
      <c r="SYW71" s="122"/>
      <c r="SYX71" s="122"/>
      <c r="SYY71" s="122"/>
      <c r="SYZ71" s="122"/>
      <c r="SZA71" s="122"/>
      <c r="SZB71" s="122"/>
      <c r="SZC71" s="122"/>
      <c r="SZD71" s="122"/>
      <c r="SZE71" s="122"/>
      <c r="SZF71" s="122"/>
      <c r="SZG71" s="122"/>
      <c r="SZH71" s="122"/>
      <c r="SZI71" s="122"/>
      <c r="SZJ71" s="122"/>
      <c r="SZK71" s="122"/>
      <c r="SZL71" s="122"/>
      <c r="SZM71" s="122"/>
      <c r="SZN71" s="122"/>
      <c r="SZO71" s="122"/>
      <c r="SZP71" s="122"/>
      <c r="SZQ71" s="122"/>
      <c r="SZR71" s="122"/>
      <c r="SZS71" s="122"/>
      <c r="SZT71" s="122"/>
      <c r="SZU71" s="122"/>
      <c r="SZV71" s="122"/>
      <c r="SZW71" s="122"/>
      <c r="SZX71" s="122"/>
      <c r="SZY71" s="122"/>
      <c r="SZZ71" s="122"/>
      <c r="TAA71" s="122"/>
      <c r="TAB71" s="122"/>
      <c r="TAC71" s="122"/>
      <c r="TAD71" s="122"/>
      <c r="TAE71" s="122"/>
      <c r="TAF71" s="122"/>
      <c r="TAG71" s="122"/>
      <c r="TAH71" s="122"/>
      <c r="TAI71" s="122"/>
      <c r="TAJ71" s="122"/>
      <c r="TAK71" s="122"/>
      <c r="TAL71" s="122"/>
      <c r="TAM71" s="122"/>
      <c r="TAN71" s="122"/>
      <c r="TAO71" s="122"/>
      <c r="TAP71" s="122"/>
      <c r="TAQ71" s="122"/>
      <c r="TAR71" s="122"/>
      <c r="TAS71" s="122"/>
      <c r="TAT71" s="122"/>
      <c r="TAU71" s="122"/>
      <c r="TAV71" s="122"/>
      <c r="TAW71" s="122"/>
      <c r="TAX71" s="122"/>
      <c r="TAY71" s="122"/>
      <c r="TAZ71" s="122"/>
      <c r="TBA71" s="122"/>
      <c r="TBB71" s="122"/>
      <c r="TBC71" s="122"/>
      <c r="TBD71" s="122"/>
      <c r="TBE71" s="122"/>
      <c r="TBF71" s="122"/>
      <c r="TBG71" s="122"/>
      <c r="TBH71" s="122"/>
      <c r="TBI71" s="122"/>
      <c r="TBJ71" s="122"/>
      <c r="TBK71" s="122"/>
      <c r="TBL71" s="122"/>
      <c r="TBM71" s="122"/>
      <c r="TBN71" s="122"/>
      <c r="TBO71" s="122"/>
      <c r="TBP71" s="122"/>
      <c r="TBQ71" s="122"/>
      <c r="TBR71" s="122"/>
      <c r="TBS71" s="122"/>
      <c r="TBT71" s="122"/>
      <c r="TBU71" s="122"/>
      <c r="TBV71" s="122"/>
      <c r="TBW71" s="122"/>
      <c r="TBX71" s="122"/>
      <c r="TBY71" s="122"/>
      <c r="TBZ71" s="122"/>
      <c r="TCA71" s="122"/>
      <c r="TCB71" s="122"/>
      <c r="TCC71" s="122"/>
      <c r="TCD71" s="122"/>
      <c r="TCE71" s="122"/>
      <c r="TCF71" s="122"/>
      <c r="TCG71" s="122"/>
      <c r="TCH71" s="122"/>
      <c r="TCI71" s="122"/>
      <c r="TCJ71" s="122"/>
      <c r="TCK71" s="122"/>
      <c r="TCL71" s="122"/>
      <c r="TCM71" s="122"/>
      <c r="TCN71" s="122"/>
      <c r="TCO71" s="122"/>
      <c r="TCP71" s="122"/>
      <c r="TCQ71" s="122"/>
      <c r="TCR71" s="122"/>
      <c r="TCS71" s="122"/>
      <c r="TCT71" s="122"/>
      <c r="TCU71" s="122"/>
      <c r="TCV71" s="122"/>
      <c r="TCW71" s="122"/>
      <c r="TCX71" s="122"/>
      <c r="TCY71" s="122"/>
      <c r="TCZ71" s="122"/>
      <c r="TDA71" s="122"/>
      <c r="TDB71" s="122"/>
      <c r="TDC71" s="122"/>
      <c r="TDD71" s="122"/>
      <c r="TDE71" s="122"/>
      <c r="TDF71" s="122"/>
      <c r="TDG71" s="122"/>
      <c r="TDH71" s="122"/>
      <c r="TDI71" s="122"/>
      <c r="TDJ71" s="122"/>
      <c r="TDK71" s="122"/>
      <c r="TDL71" s="122"/>
      <c r="TDM71" s="122"/>
      <c r="TDN71" s="122"/>
      <c r="TDO71" s="122"/>
      <c r="TDP71" s="122"/>
      <c r="TDQ71" s="122"/>
      <c r="TDR71" s="122"/>
      <c r="TDS71" s="122"/>
      <c r="TDT71" s="122"/>
      <c r="TDU71" s="122"/>
      <c r="TDV71" s="122"/>
      <c r="TDW71" s="122"/>
      <c r="TDX71" s="122"/>
      <c r="TDY71" s="122"/>
      <c r="TDZ71" s="122"/>
      <c r="TEA71" s="122"/>
      <c r="TEB71" s="122"/>
      <c r="TEC71" s="122"/>
      <c r="TED71" s="122"/>
      <c r="TEE71" s="122"/>
      <c r="TEF71" s="122"/>
      <c r="TEG71" s="122"/>
      <c r="TEH71" s="122"/>
      <c r="TEI71" s="122"/>
      <c r="TEJ71" s="122"/>
      <c r="TEK71" s="122"/>
      <c r="TEL71" s="122"/>
      <c r="TEM71" s="122"/>
      <c r="TEN71" s="122"/>
      <c r="TEO71" s="122"/>
      <c r="TEP71" s="122"/>
      <c r="TEQ71" s="122"/>
      <c r="TER71" s="122"/>
      <c r="TES71" s="122"/>
      <c r="TET71" s="122"/>
      <c r="TEU71" s="122"/>
      <c r="TEV71" s="122"/>
      <c r="TEW71" s="122"/>
      <c r="TEX71" s="122"/>
      <c r="TEY71" s="122"/>
      <c r="TEZ71" s="122"/>
      <c r="TFA71" s="122"/>
      <c r="TFB71" s="122"/>
      <c r="TFC71" s="122"/>
      <c r="TFD71" s="122"/>
      <c r="TFE71" s="122"/>
      <c r="TFF71" s="122"/>
      <c r="TFG71" s="122"/>
      <c r="TFH71" s="122"/>
      <c r="TFI71" s="122"/>
      <c r="TFJ71" s="122"/>
      <c r="TFK71" s="122"/>
      <c r="TFL71" s="122"/>
      <c r="TFM71" s="122"/>
      <c r="TFN71" s="122"/>
      <c r="TFO71" s="122"/>
      <c r="TFP71" s="122"/>
      <c r="TFQ71" s="122"/>
      <c r="TFR71" s="122"/>
      <c r="TFS71" s="122"/>
      <c r="TFT71" s="122"/>
      <c r="TFU71" s="122"/>
      <c r="TFV71" s="122"/>
      <c r="TFW71" s="122"/>
      <c r="TFX71" s="122"/>
      <c r="TFY71" s="122"/>
      <c r="TFZ71" s="122"/>
      <c r="TGA71" s="122"/>
      <c r="TGB71" s="122"/>
      <c r="TGC71" s="122"/>
      <c r="TGD71" s="122"/>
      <c r="TGE71" s="122"/>
      <c r="TGF71" s="122"/>
      <c r="TGG71" s="122"/>
      <c r="TGH71" s="122"/>
      <c r="TGI71" s="122"/>
      <c r="TGJ71" s="122"/>
      <c r="TGK71" s="122"/>
      <c r="TGL71" s="122"/>
      <c r="TGM71" s="122"/>
      <c r="TGN71" s="122"/>
      <c r="TGO71" s="122"/>
      <c r="TGP71" s="122"/>
      <c r="TGQ71" s="122"/>
      <c r="TGR71" s="122"/>
      <c r="TGS71" s="122"/>
      <c r="TGT71" s="122"/>
      <c r="TGU71" s="122"/>
      <c r="TGV71" s="122"/>
      <c r="TGW71" s="122"/>
      <c r="TGX71" s="122"/>
      <c r="TGY71" s="122"/>
      <c r="TGZ71" s="122"/>
      <c r="THA71" s="122"/>
      <c r="THB71" s="122"/>
      <c r="THC71" s="122"/>
      <c r="THD71" s="122"/>
      <c r="THE71" s="122"/>
      <c r="THF71" s="122"/>
      <c r="THG71" s="122"/>
      <c r="THH71" s="122"/>
      <c r="THI71" s="122"/>
      <c r="THJ71" s="122"/>
      <c r="THK71" s="122"/>
      <c r="THL71" s="122"/>
      <c r="THM71" s="122"/>
      <c r="THN71" s="122"/>
      <c r="THO71" s="122"/>
      <c r="THP71" s="122"/>
      <c r="THQ71" s="122"/>
      <c r="THR71" s="122"/>
      <c r="THS71" s="122"/>
      <c r="THT71" s="122"/>
      <c r="THU71" s="122"/>
      <c r="THV71" s="122"/>
      <c r="THW71" s="122"/>
      <c r="THX71" s="122"/>
      <c r="THY71" s="122"/>
      <c r="THZ71" s="122"/>
      <c r="TIA71" s="122"/>
      <c r="TIB71" s="122"/>
      <c r="TIC71" s="122"/>
      <c r="TID71" s="122"/>
      <c r="TIE71" s="122"/>
      <c r="TIF71" s="122"/>
      <c r="TIG71" s="122"/>
      <c r="TIH71" s="122"/>
      <c r="TII71" s="122"/>
      <c r="TIJ71" s="122"/>
      <c r="TIK71" s="122"/>
      <c r="TIL71" s="122"/>
      <c r="TIM71" s="122"/>
      <c r="TIN71" s="122"/>
      <c r="TIO71" s="122"/>
      <c r="TIP71" s="122"/>
      <c r="TIQ71" s="122"/>
      <c r="TIR71" s="122"/>
      <c r="TIS71" s="122"/>
      <c r="TIT71" s="122"/>
      <c r="TIU71" s="122"/>
      <c r="TIV71" s="122"/>
      <c r="TIW71" s="122"/>
      <c r="TIX71" s="122"/>
      <c r="TIY71" s="122"/>
      <c r="TIZ71" s="122"/>
      <c r="TJA71" s="122"/>
      <c r="TJB71" s="122"/>
      <c r="TJC71" s="122"/>
      <c r="TJD71" s="122"/>
      <c r="TJE71" s="122"/>
      <c r="TJF71" s="122"/>
      <c r="TJG71" s="122"/>
      <c r="TJH71" s="122"/>
      <c r="TJI71" s="122"/>
      <c r="TJJ71" s="122"/>
      <c r="TJK71" s="122"/>
      <c r="TJL71" s="122"/>
      <c r="TJM71" s="122"/>
      <c r="TJN71" s="122"/>
      <c r="TJO71" s="122"/>
      <c r="TJP71" s="122"/>
      <c r="TJQ71" s="122"/>
      <c r="TJR71" s="122"/>
      <c r="TJS71" s="122"/>
      <c r="TJT71" s="122"/>
      <c r="TJU71" s="122"/>
      <c r="TJV71" s="122"/>
      <c r="TJW71" s="122"/>
      <c r="TJX71" s="122"/>
      <c r="TJY71" s="122"/>
      <c r="TJZ71" s="122"/>
      <c r="TKA71" s="122"/>
      <c r="TKB71" s="122"/>
      <c r="TKC71" s="122"/>
      <c r="TKD71" s="122"/>
      <c r="TKE71" s="122"/>
      <c r="TKF71" s="122"/>
      <c r="TKG71" s="122"/>
      <c r="TKH71" s="122"/>
      <c r="TKI71" s="122"/>
      <c r="TKJ71" s="122"/>
      <c r="TKK71" s="122"/>
      <c r="TKL71" s="122"/>
      <c r="TKM71" s="122"/>
      <c r="TKN71" s="122"/>
      <c r="TKO71" s="122"/>
      <c r="TKP71" s="122"/>
      <c r="TKQ71" s="122"/>
      <c r="TKR71" s="122"/>
      <c r="TKS71" s="122"/>
      <c r="TKT71" s="122"/>
      <c r="TKU71" s="122"/>
      <c r="TKV71" s="122"/>
      <c r="TKW71" s="122"/>
      <c r="TKX71" s="122"/>
      <c r="TKY71" s="122"/>
      <c r="TKZ71" s="122"/>
      <c r="TLA71" s="122"/>
      <c r="TLB71" s="122"/>
      <c r="TLC71" s="122"/>
      <c r="TLD71" s="122"/>
      <c r="TLE71" s="122"/>
      <c r="TLF71" s="122"/>
      <c r="TLG71" s="122"/>
      <c r="TLH71" s="122"/>
      <c r="TLI71" s="122"/>
      <c r="TLJ71" s="122"/>
      <c r="TLK71" s="122"/>
      <c r="TLL71" s="122"/>
      <c r="TLM71" s="122"/>
      <c r="TLN71" s="122"/>
      <c r="TLO71" s="122"/>
      <c r="TLP71" s="122"/>
      <c r="TLQ71" s="122"/>
      <c r="TLR71" s="122"/>
      <c r="TLS71" s="122"/>
      <c r="TLT71" s="122"/>
      <c r="TLU71" s="122"/>
      <c r="TLV71" s="122"/>
      <c r="TLW71" s="122"/>
      <c r="TLX71" s="122"/>
      <c r="TLY71" s="122"/>
      <c r="TLZ71" s="122"/>
      <c r="TMA71" s="122"/>
      <c r="TMB71" s="122"/>
      <c r="TMC71" s="122"/>
      <c r="TMD71" s="122"/>
      <c r="TME71" s="122"/>
      <c r="TMF71" s="122"/>
      <c r="TMG71" s="122"/>
      <c r="TMH71" s="122"/>
      <c r="TMI71" s="122"/>
      <c r="TMJ71" s="122"/>
      <c r="TMK71" s="122"/>
      <c r="TML71" s="122"/>
      <c r="TMM71" s="122"/>
      <c r="TMN71" s="122"/>
      <c r="TMO71" s="122"/>
      <c r="TMP71" s="122"/>
      <c r="TMQ71" s="122"/>
      <c r="TMR71" s="122"/>
      <c r="TMS71" s="122"/>
      <c r="TMT71" s="122"/>
      <c r="TMU71" s="122"/>
      <c r="TMV71" s="122"/>
      <c r="TMW71" s="122"/>
      <c r="TMX71" s="122"/>
      <c r="TMY71" s="122"/>
      <c r="TMZ71" s="122"/>
      <c r="TNA71" s="122"/>
      <c r="TNB71" s="122"/>
      <c r="TNC71" s="122"/>
      <c r="TND71" s="122"/>
      <c r="TNE71" s="122"/>
      <c r="TNF71" s="122"/>
      <c r="TNG71" s="122"/>
      <c r="TNH71" s="122"/>
      <c r="TNI71" s="122"/>
      <c r="TNJ71" s="122"/>
      <c r="TNK71" s="122"/>
      <c r="TNL71" s="122"/>
      <c r="TNM71" s="122"/>
      <c r="TNN71" s="122"/>
      <c r="TNO71" s="122"/>
      <c r="TNP71" s="122"/>
      <c r="TNQ71" s="122"/>
      <c r="TNR71" s="122"/>
      <c r="TNS71" s="122"/>
      <c r="TNT71" s="122"/>
      <c r="TNU71" s="122"/>
      <c r="TNV71" s="122"/>
      <c r="TNW71" s="122"/>
      <c r="TNX71" s="122"/>
      <c r="TNY71" s="122"/>
      <c r="TNZ71" s="122"/>
      <c r="TOA71" s="122"/>
      <c r="TOB71" s="122"/>
      <c r="TOC71" s="122"/>
      <c r="TOD71" s="122"/>
      <c r="TOE71" s="122"/>
      <c r="TOF71" s="122"/>
      <c r="TOG71" s="122"/>
      <c r="TOH71" s="122"/>
      <c r="TOI71" s="122"/>
      <c r="TOJ71" s="122"/>
      <c r="TOK71" s="122"/>
      <c r="TOL71" s="122"/>
      <c r="TOM71" s="122"/>
      <c r="TON71" s="122"/>
      <c r="TOO71" s="122"/>
      <c r="TOP71" s="122"/>
      <c r="TOQ71" s="122"/>
      <c r="TOR71" s="122"/>
      <c r="TOS71" s="122"/>
      <c r="TOT71" s="122"/>
      <c r="TOU71" s="122"/>
      <c r="TOV71" s="122"/>
      <c r="TOW71" s="122"/>
      <c r="TOX71" s="122"/>
      <c r="TOY71" s="122"/>
      <c r="TOZ71" s="122"/>
      <c r="TPA71" s="122"/>
      <c r="TPB71" s="122"/>
      <c r="TPC71" s="122"/>
      <c r="TPD71" s="122"/>
      <c r="TPE71" s="122"/>
      <c r="TPF71" s="122"/>
      <c r="TPG71" s="122"/>
      <c r="TPH71" s="122"/>
      <c r="TPI71" s="122"/>
      <c r="TPJ71" s="122"/>
      <c r="TPK71" s="122"/>
      <c r="TPL71" s="122"/>
      <c r="TPM71" s="122"/>
      <c r="TPN71" s="122"/>
      <c r="TPO71" s="122"/>
      <c r="TPP71" s="122"/>
      <c r="TPQ71" s="122"/>
      <c r="TPR71" s="122"/>
      <c r="TPS71" s="122"/>
      <c r="TPT71" s="122"/>
      <c r="TPU71" s="122"/>
      <c r="TPV71" s="122"/>
      <c r="TPW71" s="122"/>
      <c r="TPX71" s="122"/>
      <c r="TPY71" s="122"/>
      <c r="TPZ71" s="122"/>
      <c r="TQA71" s="122"/>
      <c r="TQB71" s="122"/>
      <c r="TQC71" s="122"/>
      <c r="TQD71" s="122"/>
      <c r="TQE71" s="122"/>
      <c r="TQF71" s="122"/>
      <c r="TQG71" s="122"/>
      <c r="TQH71" s="122"/>
      <c r="TQI71" s="122"/>
      <c r="TQJ71" s="122"/>
      <c r="TQK71" s="122"/>
      <c r="TQL71" s="122"/>
      <c r="TQM71" s="122"/>
      <c r="TQN71" s="122"/>
      <c r="TQO71" s="122"/>
      <c r="TQP71" s="122"/>
      <c r="TQQ71" s="122"/>
      <c r="TQR71" s="122"/>
      <c r="TQS71" s="122"/>
      <c r="TQT71" s="122"/>
      <c r="TQU71" s="122"/>
      <c r="TQV71" s="122"/>
      <c r="TQW71" s="122"/>
      <c r="TQX71" s="122"/>
      <c r="TQY71" s="122"/>
      <c r="TQZ71" s="122"/>
      <c r="TRA71" s="122"/>
      <c r="TRB71" s="122"/>
      <c r="TRC71" s="122"/>
      <c r="TRD71" s="122"/>
      <c r="TRE71" s="122"/>
      <c r="TRF71" s="122"/>
      <c r="TRG71" s="122"/>
      <c r="TRH71" s="122"/>
      <c r="TRI71" s="122"/>
      <c r="TRJ71" s="122"/>
      <c r="TRK71" s="122"/>
      <c r="TRL71" s="122"/>
      <c r="TRM71" s="122"/>
      <c r="TRN71" s="122"/>
      <c r="TRO71" s="122"/>
      <c r="TRP71" s="122"/>
      <c r="TRQ71" s="122"/>
      <c r="TRR71" s="122"/>
      <c r="TRS71" s="122"/>
      <c r="TRT71" s="122"/>
      <c r="TRU71" s="122"/>
      <c r="TRV71" s="122"/>
      <c r="TRW71" s="122"/>
      <c r="TRX71" s="122"/>
      <c r="TRY71" s="122"/>
      <c r="TRZ71" s="122"/>
      <c r="TSA71" s="122"/>
      <c r="TSB71" s="122"/>
      <c r="TSC71" s="122"/>
      <c r="TSD71" s="122"/>
      <c r="TSE71" s="122"/>
      <c r="TSF71" s="122"/>
      <c r="TSG71" s="122"/>
      <c r="TSH71" s="122"/>
      <c r="TSI71" s="122"/>
      <c r="TSJ71" s="122"/>
      <c r="TSK71" s="122"/>
      <c r="TSL71" s="122"/>
      <c r="TSM71" s="122"/>
      <c r="TSN71" s="122"/>
      <c r="TSO71" s="122"/>
      <c r="TSP71" s="122"/>
      <c r="TSQ71" s="122"/>
      <c r="TSR71" s="122"/>
      <c r="TSS71" s="122"/>
      <c r="TST71" s="122"/>
      <c r="TSU71" s="122"/>
      <c r="TSV71" s="122"/>
      <c r="TSW71" s="122"/>
      <c r="TSX71" s="122"/>
      <c r="TSY71" s="122"/>
      <c r="TSZ71" s="122"/>
      <c r="TTA71" s="122"/>
      <c r="TTB71" s="122"/>
      <c r="TTC71" s="122"/>
      <c r="TTD71" s="122"/>
      <c r="TTE71" s="122"/>
      <c r="TTF71" s="122"/>
      <c r="TTG71" s="122"/>
      <c r="TTH71" s="122"/>
      <c r="TTI71" s="122"/>
      <c r="TTJ71" s="122"/>
      <c r="TTK71" s="122"/>
      <c r="TTL71" s="122"/>
      <c r="TTM71" s="122"/>
      <c r="TTN71" s="122"/>
      <c r="TTO71" s="122"/>
      <c r="TTP71" s="122"/>
      <c r="TTQ71" s="122"/>
      <c r="TTR71" s="122"/>
      <c r="TTS71" s="122"/>
      <c r="TTT71" s="122"/>
      <c r="TTU71" s="122"/>
      <c r="TTV71" s="122"/>
      <c r="TTW71" s="122"/>
      <c r="TTX71" s="122"/>
      <c r="TTY71" s="122"/>
      <c r="TTZ71" s="122"/>
      <c r="TUA71" s="122"/>
      <c r="TUB71" s="122"/>
      <c r="TUC71" s="122"/>
      <c r="TUD71" s="122"/>
      <c r="TUE71" s="122"/>
      <c r="TUF71" s="122"/>
      <c r="TUG71" s="122"/>
      <c r="TUH71" s="122"/>
      <c r="TUI71" s="122"/>
      <c r="TUJ71" s="122"/>
      <c r="TUK71" s="122"/>
      <c r="TUL71" s="122"/>
      <c r="TUM71" s="122"/>
      <c r="TUN71" s="122"/>
      <c r="TUO71" s="122"/>
      <c r="TUP71" s="122"/>
      <c r="TUQ71" s="122"/>
      <c r="TUR71" s="122"/>
      <c r="TUS71" s="122"/>
      <c r="TUT71" s="122"/>
      <c r="TUU71" s="122"/>
      <c r="TUV71" s="122"/>
      <c r="TUW71" s="122"/>
      <c r="TUX71" s="122"/>
      <c r="TUY71" s="122"/>
      <c r="TUZ71" s="122"/>
      <c r="TVA71" s="122"/>
      <c r="TVB71" s="122"/>
      <c r="TVC71" s="122"/>
      <c r="TVD71" s="122"/>
      <c r="TVE71" s="122"/>
      <c r="TVF71" s="122"/>
      <c r="TVG71" s="122"/>
      <c r="TVH71" s="122"/>
      <c r="TVI71" s="122"/>
      <c r="TVJ71" s="122"/>
      <c r="TVK71" s="122"/>
      <c r="TVL71" s="122"/>
      <c r="TVM71" s="122"/>
      <c r="TVN71" s="122"/>
      <c r="TVO71" s="122"/>
      <c r="TVP71" s="122"/>
      <c r="TVQ71" s="122"/>
      <c r="TVR71" s="122"/>
      <c r="TVS71" s="122"/>
      <c r="TVT71" s="122"/>
      <c r="TVU71" s="122"/>
      <c r="TVV71" s="122"/>
      <c r="TVW71" s="122"/>
      <c r="TVX71" s="122"/>
      <c r="TVY71" s="122"/>
      <c r="TVZ71" s="122"/>
      <c r="TWA71" s="122"/>
      <c r="TWB71" s="122"/>
      <c r="TWC71" s="122"/>
      <c r="TWD71" s="122"/>
      <c r="TWE71" s="122"/>
      <c r="TWF71" s="122"/>
      <c r="TWG71" s="122"/>
      <c r="TWH71" s="122"/>
      <c r="TWI71" s="122"/>
      <c r="TWJ71" s="122"/>
      <c r="TWK71" s="122"/>
      <c r="TWL71" s="122"/>
      <c r="TWM71" s="122"/>
      <c r="TWN71" s="122"/>
      <c r="TWO71" s="122"/>
      <c r="TWP71" s="122"/>
      <c r="TWQ71" s="122"/>
      <c r="TWR71" s="122"/>
      <c r="TWS71" s="122"/>
      <c r="TWT71" s="122"/>
      <c r="TWU71" s="122"/>
      <c r="TWV71" s="122"/>
      <c r="TWW71" s="122"/>
      <c r="TWX71" s="122"/>
      <c r="TWY71" s="122"/>
      <c r="TWZ71" s="122"/>
      <c r="TXA71" s="122"/>
      <c r="TXB71" s="122"/>
      <c r="TXC71" s="122"/>
      <c r="TXD71" s="122"/>
      <c r="TXE71" s="122"/>
      <c r="TXF71" s="122"/>
      <c r="TXG71" s="122"/>
      <c r="TXH71" s="122"/>
      <c r="TXI71" s="122"/>
      <c r="TXJ71" s="122"/>
      <c r="TXK71" s="122"/>
      <c r="TXL71" s="122"/>
      <c r="TXM71" s="122"/>
      <c r="TXN71" s="122"/>
      <c r="TXO71" s="122"/>
      <c r="TXP71" s="122"/>
      <c r="TXQ71" s="122"/>
      <c r="TXR71" s="122"/>
      <c r="TXS71" s="122"/>
      <c r="TXT71" s="122"/>
      <c r="TXU71" s="122"/>
      <c r="TXV71" s="122"/>
      <c r="TXW71" s="122"/>
      <c r="TXX71" s="122"/>
      <c r="TXY71" s="122"/>
      <c r="TXZ71" s="122"/>
      <c r="TYA71" s="122"/>
      <c r="TYB71" s="122"/>
      <c r="TYC71" s="122"/>
      <c r="TYD71" s="122"/>
      <c r="TYE71" s="122"/>
      <c r="TYF71" s="122"/>
      <c r="TYG71" s="122"/>
      <c r="TYH71" s="122"/>
      <c r="TYI71" s="122"/>
      <c r="TYJ71" s="122"/>
      <c r="TYK71" s="122"/>
      <c r="TYL71" s="122"/>
      <c r="TYM71" s="122"/>
      <c r="TYN71" s="122"/>
      <c r="TYO71" s="122"/>
      <c r="TYP71" s="122"/>
      <c r="TYQ71" s="122"/>
      <c r="TYR71" s="122"/>
      <c r="TYS71" s="122"/>
      <c r="TYT71" s="122"/>
      <c r="TYU71" s="122"/>
      <c r="TYV71" s="122"/>
      <c r="TYW71" s="122"/>
      <c r="TYX71" s="122"/>
      <c r="TYY71" s="122"/>
      <c r="TYZ71" s="122"/>
      <c r="TZA71" s="122"/>
      <c r="TZB71" s="122"/>
      <c r="TZC71" s="122"/>
      <c r="TZD71" s="122"/>
      <c r="TZE71" s="122"/>
      <c r="TZF71" s="122"/>
      <c r="TZG71" s="122"/>
      <c r="TZH71" s="122"/>
      <c r="TZI71" s="122"/>
      <c r="TZJ71" s="122"/>
      <c r="TZK71" s="122"/>
      <c r="TZL71" s="122"/>
      <c r="TZM71" s="122"/>
      <c r="TZN71" s="122"/>
      <c r="TZO71" s="122"/>
      <c r="TZP71" s="122"/>
      <c r="TZQ71" s="122"/>
      <c r="TZR71" s="122"/>
      <c r="TZS71" s="122"/>
      <c r="TZT71" s="122"/>
      <c r="TZU71" s="122"/>
      <c r="TZV71" s="122"/>
      <c r="TZW71" s="122"/>
      <c r="TZX71" s="122"/>
      <c r="TZY71" s="122"/>
      <c r="TZZ71" s="122"/>
      <c r="UAA71" s="122"/>
      <c r="UAB71" s="122"/>
      <c r="UAC71" s="122"/>
      <c r="UAD71" s="122"/>
      <c r="UAE71" s="122"/>
      <c r="UAF71" s="122"/>
      <c r="UAG71" s="122"/>
      <c r="UAH71" s="122"/>
      <c r="UAI71" s="122"/>
      <c r="UAJ71" s="122"/>
      <c r="UAK71" s="122"/>
      <c r="UAL71" s="122"/>
      <c r="UAM71" s="122"/>
      <c r="UAN71" s="122"/>
      <c r="UAO71" s="122"/>
      <c r="UAP71" s="122"/>
      <c r="UAQ71" s="122"/>
      <c r="UAR71" s="122"/>
      <c r="UAS71" s="122"/>
      <c r="UAT71" s="122"/>
      <c r="UAU71" s="122"/>
      <c r="UAV71" s="122"/>
      <c r="UAW71" s="122"/>
      <c r="UAX71" s="122"/>
      <c r="UAY71" s="122"/>
      <c r="UAZ71" s="122"/>
      <c r="UBA71" s="122"/>
      <c r="UBB71" s="122"/>
      <c r="UBC71" s="122"/>
      <c r="UBD71" s="122"/>
      <c r="UBE71" s="122"/>
      <c r="UBF71" s="122"/>
      <c r="UBG71" s="122"/>
      <c r="UBH71" s="122"/>
      <c r="UBI71" s="122"/>
      <c r="UBJ71" s="122"/>
      <c r="UBK71" s="122"/>
      <c r="UBL71" s="122"/>
      <c r="UBM71" s="122"/>
      <c r="UBN71" s="122"/>
      <c r="UBO71" s="122"/>
      <c r="UBP71" s="122"/>
      <c r="UBQ71" s="122"/>
      <c r="UBR71" s="122"/>
      <c r="UBS71" s="122"/>
      <c r="UBT71" s="122"/>
      <c r="UBU71" s="122"/>
      <c r="UBV71" s="122"/>
      <c r="UBW71" s="122"/>
      <c r="UBX71" s="122"/>
      <c r="UBY71" s="122"/>
      <c r="UBZ71" s="122"/>
      <c r="UCA71" s="122"/>
      <c r="UCB71" s="122"/>
      <c r="UCC71" s="122"/>
      <c r="UCD71" s="122"/>
      <c r="UCE71" s="122"/>
      <c r="UCF71" s="122"/>
      <c r="UCG71" s="122"/>
      <c r="UCH71" s="122"/>
      <c r="UCI71" s="122"/>
      <c r="UCJ71" s="122"/>
      <c r="UCK71" s="122"/>
      <c r="UCL71" s="122"/>
      <c r="UCM71" s="122"/>
      <c r="UCN71" s="122"/>
      <c r="UCO71" s="122"/>
      <c r="UCP71" s="122"/>
      <c r="UCQ71" s="122"/>
      <c r="UCR71" s="122"/>
      <c r="UCS71" s="122"/>
      <c r="UCT71" s="122"/>
      <c r="UCU71" s="122"/>
      <c r="UCV71" s="122"/>
      <c r="UCW71" s="122"/>
      <c r="UCX71" s="122"/>
      <c r="UCY71" s="122"/>
      <c r="UCZ71" s="122"/>
      <c r="UDA71" s="122"/>
      <c r="UDB71" s="122"/>
      <c r="UDC71" s="122"/>
      <c r="UDD71" s="122"/>
      <c r="UDE71" s="122"/>
      <c r="UDF71" s="122"/>
      <c r="UDG71" s="122"/>
      <c r="UDH71" s="122"/>
      <c r="UDI71" s="122"/>
      <c r="UDJ71" s="122"/>
      <c r="UDK71" s="122"/>
      <c r="UDL71" s="122"/>
      <c r="UDM71" s="122"/>
      <c r="UDN71" s="122"/>
      <c r="UDO71" s="122"/>
      <c r="UDP71" s="122"/>
      <c r="UDQ71" s="122"/>
      <c r="UDR71" s="122"/>
      <c r="UDS71" s="122"/>
      <c r="UDT71" s="122"/>
      <c r="UDU71" s="122"/>
      <c r="UDV71" s="122"/>
      <c r="UDW71" s="122"/>
      <c r="UDX71" s="122"/>
      <c r="UDY71" s="122"/>
      <c r="UDZ71" s="122"/>
      <c r="UEA71" s="122"/>
      <c r="UEB71" s="122"/>
      <c r="UEC71" s="122"/>
      <c r="UED71" s="122"/>
      <c r="UEE71" s="122"/>
      <c r="UEF71" s="122"/>
      <c r="UEG71" s="122"/>
      <c r="UEH71" s="122"/>
      <c r="UEI71" s="122"/>
      <c r="UEJ71" s="122"/>
      <c r="UEK71" s="122"/>
      <c r="UEL71" s="122"/>
      <c r="UEM71" s="122"/>
      <c r="UEN71" s="122"/>
      <c r="UEO71" s="122"/>
      <c r="UEP71" s="122"/>
      <c r="UEQ71" s="122"/>
      <c r="UER71" s="122"/>
      <c r="UES71" s="122"/>
      <c r="UET71" s="122"/>
      <c r="UEU71" s="122"/>
      <c r="UEV71" s="122"/>
      <c r="UEW71" s="122"/>
      <c r="UEX71" s="122"/>
      <c r="UEY71" s="122"/>
      <c r="UEZ71" s="122"/>
      <c r="UFA71" s="122"/>
      <c r="UFB71" s="122"/>
      <c r="UFC71" s="122"/>
      <c r="UFD71" s="122"/>
      <c r="UFE71" s="122"/>
      <c r="UFF71" s="122"/>
      <c r="UFG71" s="122"/>
      <c r="UFH71" s="122"/>
      <c r="UFI71" s="122"/>
      <c r="UFJ71" s="122"/>
      <c r="UFK71" s="122"/>
      <c r="UFL71" s="122"/>
      <c r="UFM71" s="122"/>
      <c r="UFN71" s="122"/>
      <c r="UFO71" s="122"/>
      <c r="UFP71" s="122"/>
      <c r="UFQ71" s="122"/>
      <c r="UFR71" s="122"/>
      <c r="UFS71" s="122"/>
      <c r="UFT71" s="122"/>
      <c r="UFU71" s="122"/>
      <c r="UFV71" s="122"/>
      <c r="UFW71" s="122"/>
      <c r="UFX71" s="122"/>
      <c r="UFY71" s="122"/>
      <c r="UFZ71" s="122"/>
      <c r="UGA71" s="122"/>
      <c r="UGB71" s="122"/>
      <c r="UGC71" s="122"/>
      <c r="UGD71" s="122"/>
      <c r="UGE71" s="122"/>
      <c r="UGF71" s="122"/>
      <c r="UGG71" s="122"/>
      <c r="UGH71" s="122"/>
      <c r="UGI71" s="122"/>
      <c r="UGJ71" s="122"/>
      <c r="UGK71" s="122"/>
      <c r="UGL71" s="122"/>
      <c r="UGM71" s="122"/>
      <c r="UGN71" s="122"/>
      <c r="UGO71" s="122"/>
      <c r="UGP71" s="122"/>
      <c r="UGQ71" s="122"/>
      <c r="UGR71" s="122"/>
      <c r="UGS71" s="122"/>
      <c r="UGT71" s="122"/>
      <c r="UGU71" s="122"/>
      <c r="UGV71" s="122"/>
      <c r="UGW71" s="122"/>
      <c r="UGX71" s="122"/>
      <c r="UGY71" s="122"/>
      <c r="UGZ71" s="122"/>
      <c r="UHA71" s="122"/>
      <c r="UHB71" s="122"/>
      <c r="UHC71" s="122"/>
      <c r="UHD71" s="122"/>
      <c r="UHE71" s="122"/>
      <c r="UHF71" s="122"/>
      <c r="UHG71" s="122"/>
      <c r="UHH71" s="122"/>
      <c r="UHI71" s="122"/>
      <c r="UHJ71" s="122"/>
      <c r="UHK71" s="122"/>
      <c r="UHL71" s="122"/>
      <c r="UHM71" s="122"/>
      <c r="UHN71" s="122"/>
      <c r="UHO71" s="122"/>
      <c r="UHP71" s="122"/>
      <c r="UHQ71" s="122"/>
      <c r="UHR71" s="122"/>
      <c r="UHS71" s="122"/>
      <c r="UHT71" s="122"/>
      <c r="UHU71" s="122"/>
      <c r="UHV71" s="122"/>
      <c r="UHW71" s="122"/>
      <c r="UHX71" s="122"/>
      <c r="UHY71" s="122"/>
      <c r="UHZ71" s="122"/>
      <c r="UIA71" s="122"/>
      <c r="UIB71" s="122"/>
      <c r="UIC71" s="122"/>
      <c r="UID71" s="122"/>
      <c r="UIE71" s="122"/>
      <c r="UIF71" s="122"/>
      <c r="UIG71" s="122"/>
      <c r="UIH71" s="122"/>
      <c r="UII71" s="122"/>
      <c r="UIJ71" s="122"/>
      <c r="UIK71" s="122"/>
      <c r="UIL71" s="122"/>
      <c r="UIM71" s="122"/>
      <c r="UIN71" s="122"/>
      <c r="UIO71" s="122"/>
      <c r="UIP71" s="122"/>
      <c r="UIQ71" s="122"/>
      <c r="UIR71" s="122"/>
      <c r="UIS71" s="122"/>
      <c r="UIT71" s="122"/>
      <c r="UIU71" s="122"/>
      <c r="UIV71" s="122"/>
      <c r="UIW71" s="122"/>
      <c r="UIX71" s="122"/>
      <c r="UIY71" s="122"/>
      <c r="UIZ71" s="122"/>
      <c r="UJA71" s="122"/>
      <c r="UJB71" s="122"/>
      <c r="UJC71" s="122"/>
      <c r="UJD71" s="122"/>
      <c r="UJE71" s="122"/>
      <c r="UJF71" s="122"/>
      <c r="UJG71" s="122"/>
      <c r="UJH71" s="122"/>
      <c r="UJI71" s="122"/>
      <c r="UJJ71" s="122"/>
      <c r="UJK71" s="122"/>
      <c r="UJL71" s="122"/>
      <c r="UJM71" s="122"/>
      <c r="UJN71" s="122"/>
      <c r="UJO71" s="122"/>
      <c r="UJP71" s="122"/>
      <c r="UJQ71" s="122"/>
      <c r="UJR71" s="122"/>
      <c r="UJS71" s="122"/>
      <c r="UJT71" s="122"/>
      <c r="UJU71" s="122"/>
      <c r="UJV71" s="122"/>
      <c r="UJW71" s="122"/>
      <c r="UJX71" s="122"/>
      <c r="UJY71" s="122"/>
      <c r="UJZ71" s="122"/>
      <c r="UKA71" s="122"/>
      <c r="UKB71" s="122"/>
      <c r="UKC71" s="122"/>
      <c r="UKD71" s="122"/>
      <c r="UKE71" s="122"/>
      <c r="UKF71" s="122"/>
      <c r="UKG71" s="122"/>
      <c r="UKH71" s="122"/>
      <c r="UKI71" s="122"/>
      <c r="UKJ71" s="122"/>
      <c r="UKK71" s="122"/>
      <c r="UKL71" s="122"/>
      <c r="UKM71" s="122"/>
      <c r="UKN71" s="122"/>
      <c r="UKO71" s="122"/>
      <c r="UKP71" s="122"/>
      <c r="UKQ71" s="122"/>
      <c r="UKR71" s="122"/>
      <c r="UKS71" s="122"/>
      <c r="UKT71" s="122"/>
      <c r="UKU71" s="122"/>
      <c r="UKV71" s="122"/>
      <c r="UKW71" s="122"/>
      <c r="UKX71" s="122"/>
      <c r="UKY71" s="122"/>
      <c r="UKZ71" s="122"/>
      <c r="ULA71" s="122"/>
      <c r="ULB71" s="122"/>
      <c r="ULC71" s="122"/>
      <c r="ULD71" s="122"/>
      <c r="ULE71" s="122"/>
      <c r="ULF71" s="122"/>
      <c r="ULG71" s="122"/>
      <c r="ULH71" s="122"/>
      <c r="ULI71" s="122"/>
      <c r="ULJ71" s="122"/>
      <c r="ULK71" s="122"/>
      <c r="ULL71" s="122"/>
      <c r="ULM71" s="122"/>
      <c r="ULN71" s="122"/>
      <c r="ULO71" s="122"/>
      <c r="ULP71" s="122"/>
      <c r="ULQ71" s="122"/>
      <c r="ULR71" s="122"/>
      <c r="ULS71" s="122"/>
      <c r="ULT71" s="122"/>
      <c r="ULU71" s="122"/>
      <c r="ULV71" s="122"/>
      <c r="ULW71" s="122"/>
      <c r="ULX71" s="122"/>
      <c r="ULY71" s="122"/>
      <c r="ULZ71" s="122"/>
      <c r="UMA71" s="122"/>
      <c r="UMB71" s="122"/>
      <c r="UMC71" s="122"/>
      <c r="UMD71" s="122"/>
      <c r="UME71" s="122"/>
      <c r="UMF71" s="122"/>
      <c r="UMG71" s="122"/>
      <c r="UMH71" s="122"/>
      <c r="UMI71" s="122"/>
      <c r="UMJ71" s="122"/>
      <c r="UMK71" s="122"/>
      <c r="UML71" s="122"/>
      <c r="UMM71" s="122"/>
      <c r="UMN71" s="122"/>
      <c r="UMO71" s="122"/>
      <c r="UMP71" s="122"/>
      <c r="UMQ71" s="122"/>
      <c r="UMR71" s="122"/>
      <c r="UMS71" s="122"/>
      <c r="UMT71" s="122"/>
      <c r="UMU71" s="122"/>
      <c r="UMV71" s="122"/>
      <c r="UMW71" s="122"/>
      <c r="UMX71" s="122"/>
      <c r="UMY71" s="122"/>
      <c r="UMZ71" s="122"/>
      <c r="UNA71" s="122"/>
      <c r="UNB71" s="122"/>
      <c r="UNC71" s="122"/>
      <c r="UND71" s="122"/>
      <c r="UNE71" s="122"/>
      <c r="UNF71" s="122"/>
      <c r="UNG71" s="122"/>
      <c r="UNH71" s="122"/>
      <c r="UNI71" s="122"/>
      <c r="UNJ71" s="122"/>
      <c r="UNK71" s="122"/>
      <c r="UNL71" s="122"/>
      <c r="UNM71" s="122"/>
      <c r="UNN71" s="122"/>
      <c r="UNO71" s="122"/>
      <c r="UNP71" s="122"/>
      <c r="UNQ71" s="122"/>
      <c r="UNR71" s="122"/>
      <c r="UNS71" s="122"/>
      <c r="UNT71" s="122"/>
      <c r="UNU71" s="122"/>
      <c r="UNV71" s="122"/>
      <c r="UNW71" s="122"/>
      <c r="UNX71" s="122"/>
      <c r="UNY71" s="122"/>
      <c r="UNZ71" s="122"/>
      <c r="UOA71" s="122"/>
      <c r="UOB71" s="122"/>
      <c r="UOC71" s="122"/>
      <c r="UOD71" s="122"/>
      <c r="UOE71" s="122"/>
      <c r="UOF71" s="122"/>
      <c r="UOG71" s="122"/>
      <c r="UOH71" s="122"/>
      <c r="UOI71" s="122"/>
      <c r="UOJ71" s="122"/>
      <c r="UOK71" s="122"/>
      <c r="UOL71" s="122"/>
      <c r="UOM71" s="122"/>
      <c r="UON71" s="122"/>
      <c r="UOO71" s="122"/>
      <c r="UOP71" s="122"/>
      <c r="UOQ71" s="122"/>
      <c r="UOR71" s="122"/>
      <c r="UOS71" s="122"/>
      <c r="UOT71" s="122"/>
      <c r="UOU71" s="122"/>
      <c r="UOV71" s="122"/>
      <c r="UOW71" s="122"/>
      <c r="UOX71" s="122"/>
      <c r="UOY71" s="122"/>
      <c r="UOZ71" s="122"/>
      <c r="UPA71" s="122"/>
      <c r="UPB71" s="122"/>
      <c r="UPC71" s="122"/>
      <c r="UPD71" s="122"/>
      <c r="UPE71" s="122"/>
      <c r="UPF71" s="122"/>
      <c r="UPG71" s="122"/>
      <c r="UPH71" s="122"/>
      <c r="UPI71" s="122"/>
      <c r="UPJ71" s="122"/>
      <c r="UPK71" s="122"/>
      <c r="UPL71" s="122"/>
      <c r="UPM71" s="122"/>
      <c r="UPN71" s="122"/>
      <c r="UPO71" s="122"/>
      <c r="UPP71" s="122"/>
      <c r="UPQ71" s="122"/>
      <c r="UPR71" s="122"/>
      <c r="UPS71" s="122"/>
      <c r="UPT71" s="122"/>
      <c r="UPU71" s="122"/>
      <c r="UPV71" s="122"/>
      <c r="UPW71" s="122"/>
      <c r="UPX71" s="122"/>
      <c r="UPY71" s="122"/>
      <c r="UPZ71" s="122"/>
      <c r="UQA71" s="122"/>
      <c r="UQB71" s="122"/>
      <c r="UQC71" s="122"/>
      <c r="UQD71" s="122"/>
      <c r="UQE71" s="122"/>
      <c r="UQF71" s="122"/>
      <c r="UQG71" s="122"/>
      <c r="UQH71" s="122"/>
      <c r="UQI71" s="122"/>
      <c r="UQJ71" s="122"/>
      <c r="UQK71" s="122"/>
      <c r="UQL71" s="122"/>
      <c r="UQM71" s="122"/>
      <c r="UQN71" s="122"/>
      <c r="UQO71" s="122"/>
      <c r="UQP71" s="122"/>
      <c r="UQQ71" s="122"/>
      <c r="UQR71" s="122"/>
      <c r="UQS71" s="122"/>
      <c r="UQT71" s="122"/>
      <c r="UQU71" s="122"/>
      <c r="UQV71" s="122"/>
      <c r="UQW71" s="122"/>
      <c r="UQX71" s="122"/>
      <c r="UQY71" s="122"/>
      <c r="UQZ71" s="122"/>
      <c r="URA71" s="122"/>
      <c r="URB71" s="122"/>
      <c r="URC71" s="122"/>
      <c r="URD71" s="122"/>
      <c r="URE71" s="122"/>
      <c r="URF71" s="122"/>
      <c r="URG71" s="122"/>
      <c r="URH71" s="122"/>
      <c r="URI71" s="122"/>
      <c r="URJ71" s="122"/>
      <c r="URK71" s="122"/>
      <c r="URL71" s="122"/>
      <c r="URM71" s="122"/>
      <c r="URN71" s="122"/>
      <c r="URO71" s="122"/>
      <c r="URP71" s="122"/>
      <c r="URQ71" s="122"/>
      <c r="URR71" s="122"/>
      <c r="URS71" s="122"/>
      <c r="URT71" s="122"/>
      <c r="URU71" s="122"/>
      <c r="URV71" s="122"/>
      <c r="URW71" s="122"/>
      <c r="URX71" s="122"/>
      <c r="URY71" s="122"/>
      <c r="URZ71" s="122"/>
      <c r="USA71" s="122"/>
      <c r="USB71" s="122"/>
      <c r="USC71" s="122"/>
      <c r="USD71" s="122"/>
      <c r="USE71" s="122"/>
      <c r="USF71" s="122"/>
      <c r="USG71" s="122"/>
      <c r="USH71" s="122"/>
      <c r="USI71" s="122"/>
      <c r="USJ71" s="122"/>
      <c r="USK71" s="122"/>
      <c r="USL71" s="122"/>
      <c r="USM71" s="122"/>
      <c r="USN71" s="122"/>
      <c r="USO71" s="122"/>
      <c r="USP71" s="122"/>
      <c r="USQ71" s="122"/>
      <c r="USR71" s="122"/>
      <c r="USS71" s="122"/>
      <c r="UST71" s="122"/>
      <c r="USU71" s="122"/>
      <c r="USV71" s="122"/>
      <c r="USW71" s="122"/>
      <c r="USX71" s="122"/>
      <c r="USY71" s="122"/>
      <c r="USZ71" s="122"/>
      <c r="UTA71" s="122"/>
      <c r="UTB71" s="122"/>
      <c r="UTC71" s="122"/>
      <c r="UTD71" s="122"/>
      <c r="UTE71" s="122"/>
      <c r="UTF71" s="122"/>
      <c r="UTG71" s="122"/>
      <c r="UTH71" s="122"/>
      <c r="UTI71" s="122"/>
      <c r="UTJ71" s="122"/>
      <c r="UTK71" s="122"/>
      <c r="UTL71" s="122"/>
      <c r="UTM71" s="122"/>
      <c r="UTN71" s="122"/>
      <c r="UTO71" s="122"/>
      <c r="UTP71" s="122"/>
      <c r="UTQ71" s="122"/>
      <c r="UTR71" s="122"/>
      <c r="UTS71" s="122"/>
      <c r="UTT71" s="122"/>
      <c r="UTU71" s="122"/>
      <c r="UTV71" s="122"/>
      <c r="UTW71" s="122"/>
      <c r="UTX71" s="122"/>
      <c r="UTY71" s="122"/>
      <c r="UTZ71" s="122"/>
      <c r="UUA71" s="122"/>
      <c r="UUB71" s="122"/>
      <c r="UUC71" s="122"/>
      <c r="UUD71" s="122"/>
      <c r="UUE71" s="122"/>
      <c r="UUF71" s="122"/>
      <c r="UUG71" s="122"/>
      <c r="UUH71" s="122"/>
      <c r="UUI71" s="122"/>
      <c r="UUJ71" s="122"/>
      <c r="UUK71" s="122"/>
      <c r="UUL71" s="122"/>
      <c r="UUM71" s="122"/>
      <c r="UUN71" s="122"/>
      <c r="UUO71" s="122"/>
      <c r="UUP71" s="122"/>
      <c r="UUQ71" s="122"/>
      <c r="UUR71" s="122"/>
      <c r="UUS71" s="122"/>
      <c r="UUT71" s="122"/>
      <c r="UUU71" s="122"/>
      <c r="UUV71" s="122"/>
      <c r="UUW71" s="122"/>
      <c r="UUX71" s="122"/>
      <c r="UUY71" s="122"/>
      <c r="UUZ71" s="122"/>
      <c r="UVA71" s="122"/>
      <c r="UVB71" s="122"/>
      <c r="UVC71" s="122"/>
      <c r="UVD71" s="122"/>
      <c r="UVE71" s="122"/>
      <c r="UVF71" s="122"/>
      <c r="UVG71" s="122"/>
      <c r="UVH71" s="122"/>
      <c r="UVI71" s="122"/>
      <c r="UVJ71" s="122"/>
      <c r="UVK71" s="122"/>
      <c r="UVL71" s="122"/>
      <c r="UVM71" s="122"/>
      <c r="UVN71" s="122"/>
      <c r="UVO71" s="122"/>
      <c r="UVP71" s="122"/>
      <c r="UVQ71" s="122"/>
      <c r="UVR71" s="122"/>
      <c r="UVS71" s="122"/>
      <c r="UVT71" s="122"/>
      <c r="UVU71" s="122"/>
      <c r="UVV71" s="122"/>
      <c r="UVW71" s="122"/>
      <c r="UVX71" s="122"/>
      <c r="UVY71" s="122"/>
      <c r="UVZ71" s="122"/>
      <c r="UWA71" s="122"/>
      <c r="UWB71" s="122"/>
      <c r="UWC71" s="122"/>
      <c r="UWD71" s="122"/>
      <c r="UWE71" s="122"/>
      <c r="UWF71" s="122"/>
      <c r="UWG71" s="122"/>
      <c r="UWH71" s="122"/>
      <c r="UWI71" s="122"/>
      <c r="UWJ71" s="122"/>
      <c r="UWK71" s="122"/>
      <c r="UWL71" s="122"/>
      <c r="UWM71" s="122"/>
      <c r="UWN71" s="122"/>
      <c r="UWO71" s="122"/>
      <c r="UWP71" s="122"/>
      <c r="UWQ71" s="122"/>
      <c r="UWR71" s="122"/>
      <c r="UWS71" s="122"/>
      <c r="UWT71" s="122"/>
      <c r="UWU71" s="122"/>
      <c r="UWV71" s="122"/>
      <c r="UWW71" s="122"/>
      <c r="UWX71" s="122"/>
      <c r="UWY71" s="122"/>
      <c r="UWZ71" s="122"/>
      <c r="UXA71" s="122"/>
      <c r="UXB71" s="122"/>
      <c r="UXC71" s="122"/>
      <c r="UXD71" s="122"/>
      <c r="UXE71" s="122"/>
      <c r="UXF71" s="122"/>
      <c r="UXG71" s="122"/>
      <c r="UXH71" s="122"/>
      <c r="UXI71" s="122"/>
      <c r="UXJ71" s="122"/>
      <c r="UXK71" s="122"/>
      <c r="UXL71" s="122"/>
      <c r="UXM71" s="122"/>
      <c r="UXN71" s="122"/>
      <c r="UXO71" s="122"/>
      <c r="UXP71" s="122"/>
      <c r="UXQ71" s="122"/>
      <c r="UXR71" s="122"/>
      <c r="UXS71" s="122"/>
      <c r="UXT71" s="122"/>
      <c r="UXU71" s="122"/>
      <c r="UXV71" s="122"/>
      <c r="UXW71" s="122"/>
      <c r="UXX71" s="122"/>
      <c r="UXY71" s="122"/>
      <c r="UXZ71" s="122"/>
      <c r="UYA71" s="122"/>
      <c r="UYB71" s="122"/>
      <c r="UYC71" s="122"/>
      <c r="UYD71" s="122"/>
      <c r="UYE71" s="122"/>
      <c r="UYF71" s="122"/>
      <c r="UYG71" s="122"/>
      <c r="UYH71" s="122"/>
      <c r="UYI71" s="122"/>
      <c r="UYJ71" s="122"/>
      <c r="UYK71" s="122"/>
      <c r="UYL71" s="122"/>
      <c r="UYM71" s="122"/>
      <c r="UYN71" s="122"/>
      <c r="UYO71" s="122"/>
      <c r="UYP71" s="122"/>
      <c r="UYQ71" s="122"/>
      <c r="UYR71" s="122"/>
      <c r="UYS71" s="122"/>
      <c r="UYT71" s="122"/>
      <c r="UYU71" s="122"/>
      <c r="UYV71" s="122"/>
      <c r="UYW71" s="122"/>
      <c r="UYX71" s="122"/>
      <c r="UYY71" s="122"/>
      <c r="UYZ71" s="122"/>
      <c r="UZA71" s="122"/>
      <c r="UZB71" s="122"/>
      <c r="UZC71" s="122"/>
      <c r="UZD71" s="122"/>
      <c r="UZE71" s="122"/>
      <c r="UZF71" s="122"/>
      <c r="UZG71" s="122"/>
      <c r="UZH71" s="122"/>
      <c r="UZI71" s="122"/>
      <c r="UZJ71" s="122"/>
      <c r="UZK71" s="122"/>
      <c r="UZL71" s="122"/>
      <c r="UZM71" s="122"/>
      <c r="UZN71" s="122"/>
      <c r="UZO71" s="122"/>
      <c r="UZP71" s="122"/>
      <c r="UZQ71" s="122"/>
      <c r="UZR71" s="122"/>
      <c r="UZS71" s="122"/>
      <c r="UZT71" s="122"/>
      <c r="UZU71" s="122"/>
      <c r="UZV71" s="122"/>
      <c r="UZW71" s="122"/>
      <c r="UZX71" s="122"/>
      <c r="UZY71" s="122"/>
      <c r="UZZ71" s="122"/>
      <c r="VAA71" s="122"/>
      <c r="VAB71" s="122"/>
      <c r="VAC71" s="122"/>
      <c r="VAD71" s="122"/>
      <c r="VAE71" s="122"/>
      <c r="VAF71" s="122"/>
      <c r="VAG71" s="122"/>
      <c r="VAH71" s="122"/>
      <c r="VAI71" s="122"/>
      <c r="VAJ71" s="122"/>
      <c r="VAK71" s="122"/>
      <c r="VAL71" s="122"/>
      <c r="VAM71" s="122"/>
      <c r="VAN71" s="122"/>
      <c r="VAO71" s="122"/>
      <c r="VAP71" s="122"/>
      <c r="VAQ71" s="122"/>
      <c r="VAR71" s="122"/>
      <c r="VAS71" s="122"/>
      <c r="VAT71" s="122"/>
      <c r="VAU71" s="122"/>
      <c r="VAV71" s="122"/>
      <c r="VAW71" s="122"/>
      <c r="VAX71" s="122"/>
      <c r="VAY71" s="122"/>
      <c r="VAZ71" s="122"/>
      <c r="VBA71" s="122"/>
      <c r="VBB71" s="122"/>
      <c r="VBC71" s="122"/>
      <c r="VBD71" s="122"/>
      <c r="VBE71" s="122"/>
      <c r="VBF71" s="122"/>
      <c r="VBG71" s="122"/>
      <c r="VBH71" s="122"/>
      <c r="VBI71" s="122"/>
      <c r="VBJ71" s="122"/>
      <c r="VBK71" s="122"/>
      <c r="VBL71" s="122"/>
      <c r="VBM71" s="122"/>
      <c r="VBN71" s="122"/>
      <c r="VBO71" s="122"/>
      <c r="VBP71" s="122"/>
      <c r="VBQ71" s="122"/>
      <c r="VBR71" s="122"/>
      <c r="VBS71" s="122"/>
      <c r="VBT71" s="122"/>
      <c r="VBU71" s="122"/>
      <c r="VBV71" s="122"/>
      <c r="VBW71" s="122"/>
      <c r="VBX71" s="122"/>
      <c r="VBY71" s="122"/>
      <c r="VBZ71" s="122"/>
      <c r="VCA71" s="122"/>
      <c r="VCB71" s="122"/>
      <c r="VCC71" s="122"/>
      <c r="VCD71" s="122"/>
      <c r="VCE71" s="122"/>
      <c r="VCF71" s="122"/>
      <c r="VCG71" s="122"/>
      <c r="VCH71" s="122"/>
      <c r="VCI71" s="122"/>
      <c r="VCJ71" s="122"/>
      <c r="VCK71" s="122"/>
      <c r="VCL71" s="122"/>
      <c r="VCM71" s="122"/>
      <c r="VCN71" s="122"/>
      <c r="VCO71" s="122"/>
      <c r="VCP71" s="122"/>
      <c r="VCQ71" s="122"/>
      <c r="VCR71" s="122"/>
      <c r="VCS71" s="122"/>
      <c r="VCT71" s="122"/>
      <c r="VCU71" s="122"/>
      <c r="VCV71" s="122"/>
      <c r="VCW71" s="122"/>
      <c r="VCX71" s="122"/>
      <c r="VCY71" s="122"/>
      <c r="VCZ71" s="122"/>
      <c r="VDA71" s="122"/>
      <c r="VDB71" s="122"/>
      <c r="VDC71" s="122"/>
      <c r="VDD71" s="122"/>
      <c r="VDE71" s="122"/>
      <c r="VDF71" s="122"/>
      <c r="VDG71" s="122"/>
      <c r="VDH71" s="122"/>
      <c r="VDI71" s="122"/>
      <c r="VDJ71" s="122"/>
      <c r="VDK71" s="122"/>
      <c r="VDL71" s="122"/>
      <c r="VDM71" s="122"/>
      <c r="VDN71" s="122"/>
      <c r="VDO71" s="122"/>
      <c r="VDP71" s="122"/>
      <c r="VDQ71" s="122"/>
      <c r="VDR71" s="122"/>
      <c r="VDS71" s="122"/>
      <c r="VDT71" s="122"/>
      <c r="VDU71" s="122"/>
      <c r="VDV71" s="122"/>
      <c r="VDW71" s="122"/>
      <c r="VDX71" s="122"/>
      <c r="VDY71" s="122"/>
      <c r="VDZ71" s="122"/>
      <c r="VEA71" s="122"/>
      <c r="VEB71" s="122"/>
      <c r="VEC71" s="122"/>
      <c r="VED71" s="122"/>
      <c r="VEE71" s="122"/>
      <c r="VEF71" s="122"/>
      <c r="VEG71" s="122"/>
      <c r="VEH71" s="122"/>
      <c r="VEI71" s="122"/>
      <c r="VEJ71" s="122"/>
      <c r="VEK71" s="122"/>
      <c r="VEL71" s="122"/>
      <c r="VEM71" s="122"/>
      <c r="VEN71" s="122"/>
      <c r="VEO71" s="122"/>
      <c r="VEP71" s="122"/>
      <c r="VEQ71" s="122"/>
      <c r="VER71" s="122"/>
      <c r="VES71" s="122"/>
      <c r="VET71" s="122"/>
      <c r="VEU71" s="122"/>
      <c r="VEV71" s="122"/>
      <c r="VEW71" s="122"/>
      <c r="VEX71" s="122"/>
      <c r="VEY71" s="122"/>
      <c r="VEZ71" s="122"/>
      <c r="VFA71" s="122"/>
      <c r="VFB71" s="122"/>
      <c r="VFC71" s="122"/>
      <c r="VFD71" s="122"/>
      <c r="VFE71" s="122"/>
      <c r="VFF71" s="122"/>
      <c r="VFG71" s="122"/>
      <c r="VFH71" s="122"/>
      <c r="VFI71" s="122"/>
      <c r="VFJ71" s="122"/>
      <c r="VFK71" s="122"/>
      <c r="VFL71" s="122"/>
      <c r="VFM71" s="122"/>
      <c r="VFN71" s="122"/>
      <c r="VFO71" s="122"/>
      <c r="VFP71" s="122"/>
      <c r="VFQ71" s="122"/>
      <c r="VFR71" s="122"/>
      <c r="VFS71" s="122"/>
      <c r="VFT71" s="122"/>
      <c r="VFU71" s="122"/>
      <c r="VFV71" s="122"/>
      <c r="VFW71" s="122"/>
      <c r="VFX71" s="122"/>
      <c r="VFY71" s="122"/>
      <c r="VFZ71" s="122"/>
      <c r="VGA71" s="122"/>
      <c r="VGB71" s="122"/>
      <c r="VGC71" s="122"/>
      <c r="VGD71" s="122"/>
      <c r="VGE71" s="122"/>
      <c r="VGF71" s="122"/>
      <c r="VGG71" s="122"/>
      <c r="VGH71" s="122"/>
      <c r="VGI71" s="122"/>
      <c r="VGJ71" s="122"/>
      <c r="VGK71" s="122"/>
      <c r="VGL71" s="122"/>
      <c r="VGM71" s="122"/>
      <c r="VGN71" s="122"/>
      <c r="VGO71" s="122"/>
      <c r="VGP71" s="122"/>
      <c r="VGQ71" s="122"/>
      <c r="VGR71" s="122"/>
      <c r="VGS71" s="122"/>
      <c r="VGT71" s="122"/>
      <c r="VGU71" s="122"/>
      <c r="VGV71" s="122"/>
      <c r="VGW71" s="122"/>
      <c r="VGX71" s="122"/>
      <c r="VGY71" s="122"/>
      <c r="VGZ71" s="122"/>
      <c r="VHA71" s="122"/>
      <c r="VHB71" s="122"/>
      <c r="VHC71" s="122"/>
      <c r="VHD71" s="122"/>
      <c r="VHE71" s="122"/>
      <c r="VHF71" s="122"/>
      <c r="VHG71" s="122"/>
      <c r="VHH71" s="122"/>
      <c r="VHI71" s="122"/>
      <c r="VHJ71" s="122"/>
      <c r="VHK71" s="122"/>
      <c r="VHL71" s="122"/>
      <c r="VHM71" s="122"/>
      <c r="VHN71" s="122"/>
      <c r="VHO71" s="122"/>
      <c r="VHP71" s="122"/>
      <c r="VHQ71" s="122"/>
      <c r="VHR71" s="122"/>
      <c r="VHS71" s="122"/>
      <c r="VHT71" s="122"/>
      <c r="VHU71" s="122"/>
      <c r="VHV71" s="122"/>
      <c r="VHW71" s="122"/>
      <c r="VHX71" s="122"/>
      <c r="VHY71" s="122"/>
      <c r="VHZ71" s="122"/>
      <c r="VIA71" s="122"/>
      <c r="VIB71" s="122"/>
      <c r="VIC71" s="122"/>
      <c r="VID71" s="122"/>
      <c r="VIE71" s="122"/>
      <c r="VIF71" s="122"/>
      <c r="VIG71" s="122"/>
      <c r="VIH71" s="122"/>
      <c r="VII71" s="122"/>
      <c r="VIJ71" s="122"/>
      <c r="VIK71" s="122"/>
      <c r="VIL71" s="122"/>
      <c r="VIM71" s="122"/>
      <c r="VIN71" s="122"/>
      <c r="VIO71" s="122"/>
      <c r="VIP71" s="122"/>
      <c r="VIQ71" s="122"/>
      <c r="VIR71" s="122"/>
      <c r="VIS71" s="122"/>
      <c r="VIT71" s="122"/>
      <c r="VIU71" s="122"/>
      <c r="VIV71" s="122"/>
      <c r="VIW71" s="122"/>
      <c r="VIX71" s="122"/>
      <c r="VIY71" s="122"/>
      <c r="VIZ71" s="122"/>
      <c r="VJA71" s="122"/>
      <c r="VJB71" s="122"/>
      <c r="VJC71" s="122"/>
      <c r="VJD71" s="122"/>
      <c r="VJE71" s="122"/>
      <c r="VJF71" s="122"/>
      <c r="VJG71" s="122"/>
      <c r="VJH71" s="122"/>
      <c r="VJI71" s="122"/>
      <c r="VJJ71" s="122"/>
      <c r="VJK71" s="122"/>
      <c r="VJL71" s="122"/>
      <c r="VJM71" s="122"/>
      <c r="VJN71" s="122"/>
      <c r="VJO71" s="122"/>
      <c r="VJP71" s="122"/>
      <c r="VJQ71" s="122"/>
      <c r="VJR71" s="122"/>
      <c r="VJS71" s="122"/>
      <c r="VJT71" s="122"/>
      <c r="VJU71" s="122"/>
      <c r="VJV71" s="122"/>
      <c r="VJW71" s="122"/>
      <c r="VJX71" s="122"/>
      <c r="VJY71" s="122"/>
      <c r="VJZ71" s="122"/>
      <c r="VKA71" s="122"/>
      <c r="VKB71" s="122"/>
      <c r="VKC71" s="122"/>
      <c r="VKD71" s="122"/>
      <c r="VKE71" s="122"/>
      <c r="VKF71" s="122"/>
      <c r="VKG71" s="122"/>
      <c r="VKH71" s="122"/>
      <c r="VKI71" s="122"/>
      <c r="VKJ71" s="122"/>
      <c r="VKK71" s="122"/>
      <c r="VKL71" s="122"/>
      <c r="VKM71" s="122"/>
      <c r="VKN71" s="122"/>
      <c r="VKO71" s="122"/>
      <c r="VKP71" s="122"/>
      <c r="VKQ71" s="122"/>
      <c r="VKR71" s="122"/>
      <c r="VKS71" s="122"/>
      <c r="VKT71" s="122"/>
      <c r="VKU71" s="122"/>
      <c r="VKV71" s="122"/>
      <c r="VKW71" s="122"/>
      <c r="VKX71" s="122"/>
      <c r="VKY71" s="122"/>
      <c r="VKZ71" s="122"/>
      <c r="VLA71" s="122"/>
      <c r="VLB71" s="122"/>
      <c r="VLC71" s="122"/>
      <c r="VLD71" s="122"/>
      <c r="VLE71" s="122"/>
      <c r="VLF71" s="122"/>
      <c r="VLG71" s="122"/>
      <c r="VLH71" s="122"/>
      <c r="VLI71" s="122"/>
      <c r="VLJ71" s="122"/>
      <c r="VLK71" s="122"/>
      <c r="VLL71" s="122"/>
      <c r="VLM71" s="122"/>
      <c r="VLN71" s="122"/>
      <c r="VLO71" s="122"/>
      <c r="VLP71" s="122"/>
      <c r="VLQ71" s="122"/>
      <c r="VLR71" s="122"/>
      <c r="VLS71" s="122"/>
      <c r="VLT71" s="122"/>
      <c r="VLU71" s="122"/>
      <c r="VLV71" s="122"/>
      <c r="VLW71" s="122"/>
      <c r="VLX71" s="122"/>
      <c r="VLY71" s="122"/>
      <c r="VLZ71" s="122"/>
      <c r="VMA71" s="122"/>
      <c r="VMB71" s="122"/>
      <c r="VMC71" s="122"/>
      <c r="VMD71" s="122"/>
      <c r="VME71" s="122"/>
      <c r="VMF71" s="122"/>
      <c r="VMG71" s="122"/>
      <c r="VMH71" s="122"/>
      <c r="VMI71" s="122"/>
      <c r="VMJ71" s="122"/>
      <c r="VMK71" s="122"/>
      <c r="VML71" s="122"/>
      <c r="VMM71" s="122"/>
      <c r="VMN71" s="122"/>
      <c r="VMO71" s="122"/>
      <c r="VMP71" s="122"/>
      <c r="VMQ71" s="122"/>
      <c r="VMR71" s="122"/>
      <c r="VMS71" s="122"/>
      <c r="VMT71" s="122"/>
      <c r="VMU71" s="122"/>
      <c r="VMV71" s="122"/>
      <c r="VMW71" s="122"/>
      <c r="VMX71" s="122"/>
      <c r="VMY71" s="122"/>
      <c r="VMZ71" s="122"/>
      <c r="VNA71" s="122"/>
      <c r="VNB71" s="122"/>
      <c r="VNC71" s="122"/>
      <c r="VND71" s="122"/>
      <c r="VNE71" s="122"/>
      <c r="VNF71" s="122"/>
      <c r="VNG71" s="122"/>
      <c r="VNH71" s="122"/>
      <c r="VNI71" s="122"/>
      <c r="VNJ71" s="122"/>
      <c r="VNK71" s="122"/>
      <c r="VNL71" s="122"/>
      <c r="VNM71" s="122"/>
      <c r="VNN71" s="122"/>
      <c r="VNO71" s="122"/>
      <c r="VNP71" s="122"/>
      <c r="VNQ71" s="122"/>
      <c r="VNR71" s="122"/>
      <c r="VNS71" s="122"/>
      <c r="VNT71" s="122"/>
      <c r="VNU71" s="122"/>
      <c r="VNV71" s="122"/>
      <c r="VNW71" s="122"/>
      <c r="VNX71" s="122"/>
      <c r="VNY71" s="122"/>
      <c r="VNZ71" s="122"/>
      <c r="VOA71" s="122"/>
      <c r="VOB71" s="122"/>
      <c r="VOC71" s="122"/>
      <c r="VOD71" s="122"/>
      <c r="VOE71" s="122"/>
      <c r="VOF71" s="122"/>
      <c r="VOG71" s="122"/>
      <c r="VOH71" s="122"/>
      <c r="VOI71" s="122"/>
      <c r="VOJ71" s="122"/>
      <c r="VOK71" s="122"/>
      <c r="VOL71" s="122"/>
      <c r="VOM71" s="122"/>
      <c r="VON71" s="122"/>
      <c r="VOO71" s="122"/>
      <c r="VOP71" s="122"/>
      <c r="VOQ71" s="122"/>
      <c r="VOR71" s="122"/>
      <c r="VOS71" s="122"/>
      <c r="VOT71" s="122"/>
      <c r="VOU71" s="122"/>
      <c r="VOV71" s="122"/>
      <c r="VOW71" s="122"/>
      <c r="VOX71" s="122"/>
      <c r="VOY71" s="122"/>
      <c r="VOZ71" s="122"/>
      <c r="VPA71" s="122"/>
      <c r="VPB71" s="122"/>
      <c r="VPC71" s="122"/>
      <c r="VPD71" s="122"/>
      <c r="VPE71" s="122"/>
      <c r="VPF71" s="122"/>
      <c r="VPG71" s="122"/>
      <c r="VPH71" s="122"/>
      <c r="VPI71" s="122"/>
      <c r="VPJ71" s="122"/>
      <c r="VPK71" s="122"/>
      <c r="VPL71" s="122"/>
      <c r="VPM71" s="122"/>
      <c r="VPN71" s="122"/>
      <c r="VPO71" s="122"/>
      <c r="VPP71" s="122"/>
      <c r="VPQ71" s="122"/>
      <c r="VPR71" s="122"/>
      <c r="VPS71" s="122"/>
      <c r="VPT71" s="122"/>
      <c r="VPU71" s="122"/>
      <c r="VPV71" s="122"/>
      <c r="VPW71" s="122"/>
      <c r="VPX71" s="122"/>
      <c r="VPY71" s="122"/>
      <c r="VPZ71" s="122"/>
      <c r="VQA71" s="122"/>
      <c r="VQB71" s="122"/>
      <c r="VQC71" s="122"/>
      <c r="VQD71" s="122"/>
      <c r="VQE71" s="122"/>
      <c r="VQF71" s="122"/>
      <c r="VQG71" s="122"/>
      <c r="VQH71" s="122"/>
      <c r="VQI71" s="122"/>
      <c r="VQJ71" s="122"/>
      <c r="VQK71" s="122"/>
      <c r="VQL71" s="122"/>
      <c r="VQM71" s="122"/>
      <c r="VQN71" s="122"/>
      <c r="VQO71" s="122"/>
      <c r="VQP71" s="122"/>
      <c r="VQQ71" s="122"/>
      <c r="VQR71" s="122"/>
      <c r="VQS71" s="122"/>
      <c r="VQT71" s="122"/>
      <c r="VQU71" s="122"/>
      <c r="VQV71" s="122"/>
      <c r="VQW71" s="122"/>
      <c r="VQX71" s="122"/>
      <c r="VQY71" s="122"/>
      <c r="VQZ71" s="122"/>
      <c r="VRA71" s="122"/>
      <c r="VRB71" s="122"/>
      <c r="VRC71" s="122"/>
      <c r="VRD71" s="122"/>
      <c r="VRE71" s="122"/>
      <c r="VRF71" s="122"/>
      <c r="VRG71" s="122"/>
      <c r="VRH71" s="122"/>
      <c r="VRI71" s="122"/>
      <c r="VRJ71" s="122"/>
      <c r="VRK71" s="122"/>
      <c r="VRL71" s="122"/>
      <c r="VRM71" s="122"/>
      <c r="VRN71" s="122"/>
      <c r="VRO71" s="122"/>
      <c r="VRP71" s="122"/>
      <c r="VRQ71" s="122"/>
      <c r="VRR71" s="122"/>
      <c r="VRS71" s="122"/>
      <c r="VRT71" s="122"/>
      <c r="VRU71" s="122"/>
      <c r="VRV71" s="122"/>
      <c r="VRW71" s="122"/>
      <c r="VRX71" s="122"/>
      <c r="VRY71" s="122"/>
      <c r="VRZ71" s="122"/>
      <c r="VSA71" s="122"/>
      <c r="VSB71" s="122"/>
      <c r="VSC71" s="122"/>
      <c r="VSD71" s="122"/>
      <c r="VSE71" s="122"/>
      <c r="VSF71" s="122"/>
      <c r="VSG71" s="122"/>
      <c r="VSH71" s="122"/>
      <c r="VSI71" s="122"/>
      <c r="VSJ71" s="122"/>
      <c r="VSK71" s="122"/>
      <c r="VSL71" s="122"/>
      <c r="VSM71" s="122"/>
      <c r="VSN71" s="122"/>
      <c r="VSO71" s="122"/>
      <c r="VSP71" s="122"/>
      <c r="VSQ71" s="122"/>
      <c r="VSR71" s="122"/>
      <c r="VSS71" s="122"/>
      <c r="VST71" s="122"/>
      <c r="VSU71" s="122"/>
      <c r="VSV71" s="122"/>
      <c r="VSW71" s="122"/>
      <c r="VSX71" s="122"/>
      <c r="VSY71" s="122"/>
      <c r="VSZ71" s="122"/>
      <c r="VTA71" s="122"/>
      <c r="VTB71" s="122"/>
      <c r="VTC71" s="122"/>
      <c r="VTD71" s="122"/>
      <c r="VTE71" s="122"/>
      <c r="VTF71" s="122"/>
      <c r="VTG71" s="122"/>
      <c r="VTH71" s="122"/>
      <c r="VTI71" s="122"/>
      <c r="VTJ71" s="122"/>
      <c r="VTK71" s="122"/>
      <c r="VTL71" s="122"/>
      <c r="VTM71" s="122"/>
      <c r="VTN71" s="122"/>
      <c r="VTO71" s="122"/>
      <c r="VTP71" s="122"/>
      <c r="VTQ71" s="122"/>
      <c r="VTR71" s="122"/>
      <c r="VTS71" s="122"/>
      <c r="VTT71" s="122"/>
      <c r="VTU71" s="122"/>
      <c r="VTV71" s="122"/>
      <c r="VTW71" s="122"/>
      <c r="VTX71" s="122"/>
      <c r="VTY71" s="122"/>
      <c r="VTZ71" s="122"/>
      <c r="VUA71" s="122"/>
      <c r="VUB71" s="122"/>
      <c r="VUC71" s="122"/>
      <c r="VUD71" s="122"/>
      <c r="VUE71" s="122"/>
      <c r="VUF71" s="122"/>
      <c r="VUG71" s="122"/>
      <c r="VUH71" s="122"/>
      <c r="VUI71" s="122"/>
      <c r="VUJ71" s="122"/>
      <c r="VUK71" s="122"/>
      <c r="VUL71" s="122"/>
      <c r="VUM71" s="122"/>
      <c r="VUN71" s="122"/>
      <c r="VUO71" s="122"/>
      <c r="VUP71" s="122"/>
      <c r="VUQ71" s="122"/>
      <c r="VUR71" s="122"/>
      <c r="VUS71" s="122"/>
      <c r="VUT71" s="122"/>
      <c r="VUU71" s="122"/>
      <c r="VUV71" s="122"/>
      <c r="VUW71" s="122"/>
      <c r="VUX71" s="122"/>
      <c r="VUY71" s="122"/>
      <c r="VUZ71" s="122"/>
      <c r="VVA71" s="122"/>
      <c r="VVB71" s="122"/>
      <c r="VVC71" s="122"/>
      <c r="VVD71" s="122"/>
      <c r="VVE71" s="122"/>
      <c r="VVF71" s="122"/>
      <c r="VVG71" s="122"/>
      <c r="VVH71" s="122"/>
      <c r="VVI71" s="122"/>
      <c r="VVJ71" s="122"/>
      <c r="VVK71" s="122"/>
      <c r="VVL71" s="122"/>
      <c r="VVM71" s="122"/>
      <c r="VVN71" s="122"/>
      <c r="VVO71" s="122"/>
      <c r="VVP71" s="122"/>
      <c r="VVQ71" s="122"/>
      <c r="VVR71" s="122"/>
      <c r="VVS71" s="122"/>
      <c r="VVT71" s="122"/>
      <c r="VVU71" s="122"/>
      <c r="VVV71" s="122"/>
      <c r="VVW71" s="122"/>
      <c r="VVX71" s="122"/>
      <c r="VVY71" s="122"/>
      <c r="VVZ71" s="122"/>
      <c r="VWA71" s="122"/>
      <c r="VWB71" s="122"/>
      <c r="VWC71" s="122"/>
      <c r="VWD71" s="122"/>
      <c r="VWE71" s="122"/>
      <c r="VWF71" s="122"/>
      <c r="VWG71" s="122"/>
      <c r="VWH71" s="122"/>
      <c r="VWI71" s="122"/>
      <c r="VWJ71" s="122"/>
      <c r="VWK71" s="122"/>
      <c r="VWL71" s="122"/>
      <c r="VWM71" s="122"/>
      <c r="VWN71" s="122"/>
      <c r="VWO71" s="122"/>
      <c r="VWP71" s="122"/>
      <c r="VWQ71" s="122"/>
      <c r="VWR71" s="122"/>
      <c r="VWS71" s="122"/>
      <c r="VWT71" s="122"/>
      <c r="VWU71" s="122"/>
      <c r="VWV71" s="122"/>
      <c r="VWW71" s="122"/>
      <c r="VWX71" s="122"/>
      <c r="VWY71" s="122"/>
      <c r="VWZ71" s="122"/>
      <c r="VXA71" s="122"/>
      <c r="VXB71" s="122"/>
      <c r="VXC71" s="122"/>
      <c r="VXD71" s="122"/>
      <c r="VXE71" s="122"/>
      <c r="VXF71" s="122"/>
      <c r="VXG71" s="122"/>
      <c r="VXH71" s="122"/>
      <c r="VXI71" s="122"/>
      <c r="VXJ71" s="122"/>
      <c r="VXK71" s="122"/>
      <c r="VXL71" s="122"/>
      <c r="VXM71" s="122"/>
      <c r="VXN71" s="122"/>
      <c r="VXO71" s="122"/>
      <c r="VXP71" s="122"/>
      <c r="VXQ71" s="122"/>
      <c r="VXR71" s="122"/>
      <c r="VXS71" s="122"/>
      <c r="VXT71" s="122"/>
      <c r="VXU71" s="122"/>
      <c r="VXV71" s="122"/>
      <c r="VXW71" s="122"/>
      <c r="VXX71" s="122"/>
      <c r="VXY71" s="122"/>
      <c r="VXZ71" s="122"/>
      <c r="VYA71" s="122"/>
      <c r="VYB71" s="122"/>
      <c r="VYC71" s="122"/>
      <c r="VYD71" s="122"/>
      <c r="VYE71" s="122"/>
      <c r="VYF71" s="122"/>
      <c r="VYG71" s="122"/>
      <c r="VYH71" s="122"/>
      <c r="VYI71" s="122"/>
      <c r="VYJ71" s="122"/>
      <c r="VYK71" s="122"/>
      <c r="VYL71" s="122"/>
      <c r="VYM71" s="122"/>
      <c r="VYN71" s="122"/>
      <c r="VYO71" s="122"/>
      <c r="VYP71" s="122"/>
      <c r="VYQ71" s="122"/>
      <c r="VYR71" s="122"/>
      <c r="VYS71" s="122"/>
      <c r="VYT71" s="122"/>
      <c r="VYU71" s="122"/>
      <c r="VYV71" s="122"/>
      <c r="VYW71" s="122"/>
      <c r="VYX71" s="122"/>
      <c r="VYY71" s="122"/>
      <c r="VYZ71" s="122"/>
      <c r="VZA71" s="122"/>
      <c r="VZB71" s="122"/>
      <c r="VZC71" s="122"/>
      <c r="VZD71" s="122"/>
      <c r="VZE71" s="122"/>
      <c r="VZF71" s="122"/>
      <c r="VZG71" s="122"/>
      <c r="VZH71" s="122"/>
      <c r="VZI71" s="122"/>
      <c r="VZJ71" s="122"/>
      <c r="VZK71" s="122"/>
      <c r="VZL71" s="122"/>
      <c r="VZM71" s="122"/>
      <c r="VZN71" s="122"/>
      <c r="VZO71" s="122"/>
      <c r="VZP71" s="122"/>
      <c r="VZQ71" s="122"/>
      <c r="VZR71" s="122"/>
      <c r="VZS71" s="122"/>
      <c r="VZT71" s="122"/>
      <c r="VZU71" s="122"/>
      <c r="VZV71" s="122"/>
      <c r="VZW71" s="122"/>
      <c r="VZX71" s="122"/>
      <c r="VZY71" s="122"/>
      <c r="VZZ71" s="122"/>
      <c r="WAA71" s="122"/>
      <c r="WAB71" s="122"/>
      <c r="WAC71" s="122"/>
      <c r="WAD71" s="122"/>
      <c r="WAE71" s="122"/>
      <c r="WAF71" s="122"/>
      <c r="WAG71" s="122"/>
      <c r="WAH71" s="122"/>
      <c r="WAI71" s="122"/>
      <c r="WAJ71" s="122"/>
      <c r="WAK71" s="122"/>
      <c r="WAL71" s="122"/>
      <c r="WAM71" s="122"/>
      <c r="WAN71" s="122"/>
      <c r="WAO71" s="122"/>
      <c r="WAP71" s="122"/>
      <c r="WAQ71" s="122"/>
      <c r="WAR71" s="122"/>
      <c r="WAS71" s="122"/>
      <c r="WAT71" s="122"/>
      <c r="WAU71" s="122"/>
      <c r="WAV71" s="122"/>
      <c r="WAW71" s="122"/>
      <c r="WAX71" s="122"/>
      <c r="WAY71" s="122"/>
      <c r="WAZ71" s="122"/>
      <c r="WBA71" s="122"/>
      <c r="WBB71" s="122"/>
      <c r="WBC71" s="122"/>
      <c r="WBD71" s="122"/>
      <c r="WBE71" s="122"/>
      <c r="WBF71" s="122"/>
      <c r="WBG71" s="122"/>
      <c r="WBH71" s="122"/>
      <c r="WBI71" s="122"/>
      <c r="WBJ71" s="122"/>
      <c r="WBK71" s="122"/>
      <c r="WBL71" s="122"/>
      <c r="WBM71" s="122"/>
      <c r="WBN71" s="122"/>
      <c r="WBO71" s="122"/>
      <c r="WBP71" s="122"/>
      <c r="WBQ71" s="122"/>
      <c r="WBR71" s="122"/>
      <c r="WBS71" s="122"/>
      <c r="WBT71" s="122"/>
      <c r="WBU71" s="122"/>
      <c r="WBV71" s="122"/>
      <c r="WBW71" s="122"/>
      <c r="WBX71" s="122"/>
      <c r="WBY71" s="122"/>
      <c r="WBZ71" s="122"/>
      <c r="WCA71" s="122"/>
      <c r="WCB71" s="122"/>
      <c r="WCC71" s="122"/>
      <c r="WCD71" s="122"/>
      <c r="WCE71" s="122"/>
      <c r="WCF71" s="122"/>
      <c r="WCG71" s="122"/>
      <c r="WCH71" s="122"/>
      <c r="WCI71" s="122"/>
      <c r="WCJ71" s="122"/>
      <c r="WCK71" s="122"/>
      <c r="WCL71" s="122"/>
      <c r="WCM71" s="122"/>
      <c r="WCN71" s="122"/>
      <c r="WCO71" s="122"/>
      <c r="WCP71" s="122"/>
      <c r="WCQ71" s="122"/>
      <c r="WCR71" s="122"/>
      <c r="WCS71" s="122"/>
      <c r="WCT71" s="122"/>
      <c r="WCU71" s="122"/>
      <c r="WCV71" s="122"/>
      <c r="WCW71" s="122"/>
      <c r="WCX71" s="122"/>
      <c r="WCY71" s="122"/>
      <c r="WCZ71" s="122"/>
      <c r="WDA71" s="122"/>
      <c r="WDB71" s="122"/>
      <c r="WDC71" s="122"/>
      <c r="WDD71" s="122"/>
      <c r="WDE71" s="122"/>
      <c r="WDF71" s="122"/>
      <c r="WDG71" s="122"/>
      <c r="WDH71" s="122"/>
      <c r="WDI71" s="122"/>
      <c r="WDJ71" s="122"/>
      <c r="WDK71" s="122"/>
      <c r="WDL71" s="122"/>
      <c r="WDM71" s="122"/>
      <c r="WDN71" s="122"/>
      <c r="WDO71" s="122"/>
      <c r="WDP71" s="122"/>
      <c r="WDQ71" s="122"/>
      <c r="WDR71" s="122"/>
      <c r="WDS71" s="122"/>
      <c r="WDT71" s="122"/>
      <c r="WDU71" s="122"/>
      <c r="WDV71" s="122"/>
      <c r="WDW71" s="122"/>
      <c r="WDX71" s="122"/>
      <c r="WDY71" s="122"/>
      <c r="WDZ71" s="122"/>
      <c r="WEA71" s="122"/>
      <c r="WEB71" s="122"/>
      <c r="WEC71" s="122"/>
      <c r="WED71" s="122"/>
      <c r="WEE71" s="122"/>
      <c r="WEF71" s="122"/>
      <c r="WEG71" s="122"/>
      <c r="WEH71" s="122"/>
      <c r="WEI71" s="122"/>
      <c r="WEJ71" s="122"/>
      <c r="WEK71" s="122"/>
      <c r="WEL71" s="122"/>
      <c r="WEM71" s="122"/>
      <c r="WEN71" s="122"/>
      <c r="WEO71" s="122"/>
      <c r="WEP71" s="122"/>
      <c r="WEQ71" s="122"/>
      <c r="WER71" s="122"/>
      <c r="WES71" s="122"/>
      <c r="WET71" s="122"/>
      <c r="WEU71" s="122"/>
      <c r="WEV71" s="122"/>
      <c r="WEW71" s="122"/>
      <c r="WEX71" s="122"/>
      <c r="WEY71" s="122"/>
      <c r="WEZ71" s="122"/>
      <c r="WFA71" s="122"/>
      <c r="WFB71" s="122"/>
      <c r="WFC71" s="122"/>
      <c r="WFD71" s="122"/>
      <c r="WFE71" s="122"/>
      <c r="WFF71" s="122"/>
      <c r="WFG71" s="122"/>
      <c r="WFH71" s="122"/>
      <c r="WFI71" s="122"/>
      <c r="WFJ71" s="122"/>
      <c r="WFK71" s="122"/>
      <c r="WFL71" s="122"/>
      <c r="WFM71" s="122"/>
      <c r="WFN71" s="122"/>
      <c r="WFO71" s="122"/>
      <c r="WFP71" s="122"/>
      <c r="WFQ71" s="122"/>
      <c r="WFR71" s="122"/>
      <c r="WFS71" s="122"/>
      <c r="WFT71" s="122"/>
      <c r="WFU71" s="122"/>
      <c r="WFV71" s="122"/>
      <c r="WFW71" s="122"/>
      <c r="WFX71" s="122"/>
      <c r="WFY71" s="122"/>
      <c r="WFZ71" s="122"/>
      <c r="WGA71" s="122"/>
      <c r="WGB71" s="122"/>
      <c r="WGC71" s="122"/>
      <c r="WGD71" s="122"/>
      <c r="WGE71" s="122"/>
      <c r="WGF71" s="122"/>
      <c r="WGG71" s="122"/>
      <c r="WGH71" s="122"/>
      <c r="WGI71" s="122"/>
      <c r="WGJ71" s="122"/>
      <c r="WGK71" s="122"/>
      <c r="WGL71" s="122"/>
      <c r="WGM71" s="122"/>
      <c r="WGN71" s="122"/>
      <c r="WGO71" s="122"/>
      <c r="WGP71" s="122"/>
      <c r="WGQ71" s="122"/>
      <c r="WGR71" s="122"/>
      <c r="WGS71" s="122"/>
      <c r="WGT71" s="122"/>
      <c r="WGU71" s="122"/>
      <c r="WGV71" s="122"/>
      <c r="WGW71" s="122"/>
      <c r="WGX71" s="122"/>
      <c r="WGY71" s="122"/>
      <c r="WGZ71" s="122"/>
      <c r="WHA71" s="122"/>
      <c r="WHB71" s="122"/>
      <c r="WHC71" s="122"/>
      <c r="WHD71" s="122"/>
      <c r="WHE71" s="122"/>
      <c r="WHF71" s="122"/>
      <c r="WHG71" s="122"/>
      <c r="WHH71" s="122"/>
      <c r="WHI71" s="122"/>
      <c r="WHJ71" s="122"/>
      <c r="WHK71" s="122"/>
      <c r="WHL71" s="122"/>
      <c r="WHM71" s="122"/>
      <c r="WHN71" s="122"/>
      <c r="WHO71" s="122"/>
      <c r="WHP71" s="122"/>
      <c r="WHQ71" s="122"/>
      <c r="WHR71" s="122"/>
      <c r="WHS71" s="122"/>
      <c r="WHT71" s="122"/>
      <c r="WHU71" s="122"/>
      <c r="WHV71" s="122"/>
      <c r="WHW71" s="122"/>
      <c r="WHX71" s="122"/>
      <c r="WHY71" s="122"/>
      <c r="WHZ71" s="122"/>
      <c r="WIA71" s="122"/>
      <c r="WIB71" s="122"/>
      <c r="WIC71" s="122"/>
      <c r="WID71" s="122"/>
      <c r="WIE71" s="122"/>
      <c r="WIF71" s="122"/>
      <c r="WIG71" s="122"/>
      <c r="WIH71" s="122"/>
      <c r="WII71" s="122"/>
      <c r="WIJ71" s="122"/>
      <c r="WIK71" s="122"/>
      <c r="WIL71" s="122"/>
      <c r="WIM71" s="122"/>
      <c r="WIN71" s="122"/>
      <c r="WIO71" s="122"/>
      <c r="WIP71" s="122"/>
      <c r="WIQ71" s="122"/>
      <c r="WIR71" s="122"/>
      <c r="WIS71" s="122"/>
      <c r="WIT71" s="122"/>
      <c r="WIU71" s="122"/>
      <c r="WIV71" s="122"/>
      <c r="WIW71" s="122"/>
      <c r="WIX71" s="122"/>
      <c r="WIY71" s="122"/>
      <c r="WIZ71" s="122"/>
      <c r="WJA71" s="122"/>
      <c r="WJB71" s="122"/>
      <c r="WJC71" s="122"/>
      <c r="WJD71" s="122"/>
      <c r="WJE71" s="122"/>
      <c r="WJF71" s="122"/>
      <c r="WJG71" s="122"/>
      <c r="WJH71" s="122"/>
      <c r="WJI71" s="122"/>
      <c r="WJJ71" s="122"/>
      <c r="WJK71" s="122"/>
      <c r="WJL71" s="122"/>
      <c r="WJM71" s="122"/>
      <c r="WJN71" s="122"/>
      <c r="WJO71" s="122"/>
      <c r="WJP71" s="122"/>
      <c r="WJQ71" s="122"/>
      <c r="WJR71" s="122"/>
      <c r="WJS71" s="122"/>
      <c r="WJT71" s="122"/>
      <c r="WJU71" s="122"/>
      <c r="WJV71" s="122"/>
      <c r="WJW71" s="122"/>
      <c r="WJX71" s="122"/>
      <c r="WJY71" s="122"/>
      <c r="WJZ71" s="122"/>
      <c r="WKA71" s="122"/>
      <c r="WKB71" s="122"/>
      <c r="WKC71" s="122"/>
      <c r="WKD71" s="122"/>
      <c r="WKE71" s="122"/>
      <c r="WKF71" s="122"/>
      <c r="WKG71" s="122"/>
      <c r="WKH71" s="122"/>
      <c r="WKI71" s="122"/>
      <c r="WKJ71" s="122"/>
      <c r="WKK71" s="122"/>
      <c r="WKL71" s="122"/>
      <c r="WKM71" s="122"/>
      <c r="WKN71" s="122"/>
      <c r="WKO71" s="122"/>
      <c r="WKP71" s="122"/>
      <c r="WKQ71" s="122"/>
      <c r="WKR71" s="122"/>
      <c r="WKS71" s="122"/>
      <c r="WKT71" s="122"/>
      <c r="WKU71" s="122"/>
      <c r="WKV71" s="122"/>
      <c r="WKW71" s="122"/>
      <c r="WKX71" s="122"/>
      <c r="WKY71" s="122"/>
      <c r="WKZ71" s="122"/>
      <c r="WLA71" s="122"/>
      <c r="WLB71" s="122"/>
      <c r="WLC71" s="122"/>
      <c r="WLD71" s="122"/>
      <c r="WLE71" s="122"/>
      <c r="WLF71" s="122"/>
      <c r="WLG71" s="122"/>
      <c r="WLH71" s="122"/>
      <c r="WLI71" s="122"/>
      <c r="WLJ71" s="122"/>
      <c r="WLK71" s="122"/>
      <c r="WLL71" s="122"/>
      <c r="WLM71" s="122"/>
      <c r="WLN71" s="122"/>
      <c r="WLO71" s="122"/>
      <c r="WLP71" s="122"/>
      <c r="WLQ71" s="122"/>
      <c r="WLR71" s="122"/>
      <c r="WLS71" s="122"/>
      <c r="WLT71" s="122"/>
      <c r="WLU71" s="122"/>
      <c r="WLV71" s="122"/>
      <c r="WLW71" s="122"/>
      <c r="WLX71" s="122"/>
      <c r="WLY71" s="122"/>
      <c r="WLZ71" s="122"/>
      <c r="WMA71" s="122"/>
      <c r="WMB71" s="122"/>
      <c r="WMC71" s="122"/>
      <c r="WMD71" s="122"/>
      <c r="WME71" s="122"/>
      <c r="WMF71" s="122"/>
      <c r="WMG71" s="122"/>
      <c r="WMH71" s="122"/>
      <c r="WMI71" s="122"/>
      <c r="WMJ71" s="122"/>
      <c r="WMK71" s="122"/>
      <c r="WML71" s="122"/>
      <c r="WMM71" s="122"/>
      <c r="WMN71" s="122"/>
      <c r="WMO71" s="122"/>
      <c r="WMP71" s="122"/>
      <c r="WMQ71" s="122"/>
      <c r="WMR71" s="122"/>
      <c r="WMS71" s="122"/>
      <c r="WMT71" s="122"/>
      <c r="WMU71" s="122"/>
      <c r="WMV71" s="122"/>
      <c r="WMW71" s="122"/>
      <c r="WMX71" s="122"/>
      <c r="WMY71" s="122"/>
      <c r="WMZ71" s="122"/>
      <c r="WNA71" s="122"/>
      <c r="WNB71" s="122"/>
      <c r="WNC71" s="122"/>
      <c r="WND71" s="122"/>
      <c r="WNE71" s="122"/>
      <c r="WNF71" s="122"/>
      <c r="WNG71" s="122"/>
      <c r="WNH71" s="122"/>
      <c r="WNI71" s="122"/>
      <c r="WNJ71" s="122"/>
      <c r="WNK71" s="122"/>
      <c r="WNL71" s="122"/>
      <c r="WNM71" s="122"/>
      <c r="WNN71" s="122"/>
      <c r="WNO71" s="122"/>
      <c r="WNP71" s="122"/>
      <c r="WNQ71" s="122"/>
      <c r="WNR71" s="122"/>
      <c r="WNS71" s="122"/>
      <c r="WNT71" s="122"/>
      <c r="WNU71" s="122"/>
      <c r="WNV71" s="122"/>
      <c r="WNW71" s="122"/>
      <c r="WNX71" s="122"/>
      <c r="WNY71" s="122"/>
      <c r="WNZ71" s="122"/>
      <c r="WOA71" s="122"/>
      <c r="WOB71" s="122"/>
      <c r="WOC71" s="122"/>
      <c r="WOD71" s="122"/>
      <c r="WOE71" s="122"/>
      <c r="WOF71" s="122"/>
      <c r="WOG71" s="122"/>
      <c r="WOH71" s="122"/>
      <c r="WOI71" s="122"/>
      <c r="WOJ71" s="122"/>
      <c r="WOK71" s="122"/>
      <c r="WOL71" s="122"/>
      <c r="WOM71" s="122"/>
      <c r="WON71" s="122"/>
      <c r="WOO71" s="122"/>
      <c r="WOP71" s="122"/>
      <c r="WOQ71" s="122"/>
      <c r="WOR71" s="122"/>
      <c r="WOS71" s="122"/>
      <c r="WOT71" s="122"/>
      <c r="WOU71" s="122"/>
      <c r="WOV71" s="122"/>
      <c r="WOW71" s="122"/>
      <c r="WOX71" s="122"/>
      <c r="WOY71" s="122"/>
      <c r="WOZ71" s="122"/>
      <c r="WPA71" s="122"/>
      <c r="WPB71" s="122"/>
      <c r="WPC71" s="122"/>
      <c r="WPD71" s="122"/>
      <c r="WPE71" s="122"/>
      <c r="WPF71" s="122"/>
      <c r="WPG71" s="122"/>
      <c r="WPH71" s="122"/>
      <c r="WPI71" s="122"/>
      <c r="WPJ71" s="122"/>
      <c r="WPK71" s="122"/>
      <c r="WPL71" s="122"/>
      <c r="WPM71" s="122"/>
      <c r="WPN71" s="122"/>
      <c r="WPO71" s="122"/>
      <c r="WPP71" s="122"/>
      <c r="WPQ71" s="122"/>
      <c r="WPR71" s="122"/>
      <c r="WPS71" s="122"/>
      <c r="WPT71" s="122"/>
      <c r="WPU71" s="122"/>
      <c r="WPV71" s="122"/>
      <c r="WPW71" s="122"/>
      <c r="WPX71" s="122"/>
      <c r="WPY71" s="122"/>
      <c r="WPZ71" s="122"/>
      <c r="WQA71" s="122"/>
      <c r="WQB71" s="122"/>
      <c r="WQC71" s="122"/>
      <c r="WQD71" s="122"/>
      <c r="WQE71" s="122"/>
      <c r="WQF71" s="122"/>
      <c r="WQG71" s="122"/>
      <c r="WQH71" s="122"/>
      <c r="WQI71" s="122"/>
      <c r="WQJ71" s="122"/>
      <c r="WQK71" s="122"/>
      <c r="WQL71" s="122"/>
      <c r="WQM71" s="122"/>
      <c r="WQN71" s="122"/>
      <c r="WQO71" s="122"/>
      <c r="WQP71" s="122"/>
      <c r="WQQ71" s="122"/>
      <c r="WQR71" s="122"/>
      <c r="WQS71" s="122"/>
      <c r="WQT71" s="122"/>
      <c r="WQU71" s="122"/>
      <c r="WQV71" s="122"/>
      <c r="WQW71" s="122"/>
      <c r="WQX71" s="122"/>
      <c r="WQY71" s="122"/>
      <c r="WQZ71" s="122"/>
      <c r="WRA71" s="122"/>
      <c r="WRB71" s="122"/>
      <c r="WRC71" s="122"/>
      <c r="WRD71" s="122"/>
      <c r="WRE71" s="122"/>
      <c r="WRF71" s="122"/>
      <c r="WRG71" s="122"/>
      <c r="WRH71" s="122"/>
      <c r="WRI71" s="122"/>
      <c r="WRJ71" s="122"/>
      <c r="WRK71" s="122"/>
      <c r="WRL71" s="122"/>
      <c r="WRM71" s="122"/>
      <c r="WRN71" s="122"/>
      <c r="WRO71" s="122"/>
      <c r="WRP71" s="122"/>
      <c r="WRQ71" s="122"/>
      <c r="WRR71" s="122"/>
      <c r="WRS71" s="122"/>
      <c r="WRT71" s="122"/>
      <c r="WRU71" s="122"/>
      <c r="WRV71" s="122"/>
      <c r="WRW71" s="122"/>
      <c r="WRX71" s="122"/>
      <c r="WRY71" s="122"/>
      <c r="WRZ71" s="122"/>
      <c r="WSA71" s="122"/>
      <c r="WSB71" s="122"/>
      <c r="WSC71" s="122"/>
      <c r="WSD71" s="122"/>
      <c r="WSE71" s="122"/>
      <c r="WSF71" s="122"/>
      <c r="WSG71" s="122"/>
      <c r="WSH71" s="122"/>
      <c r="WSI71" s="122"/>
      <c r="WSJ71" s="122"/>
      <c r="WSK71" s="122"/>
      <c r="WSL71" s="122"/>
      <c r="WSM71" s="122"/>
      <c r="WSN71" s="122"/>
      <c r="WSO71" s="122"/>
      <c r="WSP71" s="122"/>
      <c r="WSQ71" s="122"/>
      <c r="WSR71" s="122"/>
      <c r="WSS71" s="122"/>
      <c r="WST71" s="122"/>
      <c r="WSU71" s="122"/>
      <c r="WSV71" s="122"/>
      <c r="WSW71" s="122"/>
      <c r="WSX71" s="122"/>
      <c r="WSY71" s="122"/>
      <c r="WSZ71" s="122"/>
      <c r="WTA71" s="122"/>
      <c r="WTB71" s="122"/>
      <c r="WTC71" s="122"/>
      <c r="WTD71" s="122"/>
      <c r="WTE71" s="122"/>
      <c r="WTF71" s="122"/>
      <c r="WTG71" s="122"/>
      <c r="WTH71" s="122"/>
      <c r="WTI71" s="122"/>
      <c r="WTJ71" s="122"/>
      <c r="WTK71" s="122"/>
      <c r="WTL71" s="122"/>
      <c r="WTM71" s="122"/>
      <c r="WTN71" s="122"/>
      <c r="WTO71" s="122"/>
      <c r="WTP71" s="122"/>
      <c r="WTQ71" s="122"/>
      <c r="WTR71" s="122"/>
      <c r="WTS71" s="122"/>
      <c r="WTT71" s="122"/>
      <c r="WTU71" s="122"/>
      <c r="WTV71" s="122"/>
      <c r="WTW71" s="122"/>
      <c r="WTX71" s="122"/>
      <c r="WTY71" s="122"/>
      <c r="WTZ71" s="122"/>
      <c r="WUA71" s="122"/>
      <c r="WUB71" s="122"/>
      <c r="WUC71" s="122"/>
      <c r="WUD71" s="122"/>
      <c r="WUE71" s="122"/>
      <c r="WUF71" s="122"/>
      <c r="WUG71" s="122"/>
      <c r="WUH71" s="122"/>
      <c r="WUI71" s="122"/>
      <c r="WUJ71" s="122"/>
      <c r="WUK71" s="122"/>
      <c r="WUL71" s="122"/>
      <c r="WUM71" s="122"/>
      <c r="WUN71" s="122"/>
      <c r="WUO71" s="122"/>
      <c r="WUP71" s="122"/>
      <c r="WUQ71" s="122"/>
      <c r="WUR71" s="122"/>
      <c r="WUS71" s="122"/>
      <c r="WUT71" s="122"/>
      <c r="WUU71" s="122"/>
      <c r="WUV71" s="122"/>
      <c r="WUW71" s="122"/>
      <c r="WUX71" s="122"/>
      <c r="WUY71" s="122"/>
      <c r="WUZ71" s="122"/>
      <c r="WVA71" s="122"/>
      <c r="WVB71" s="122"/>
      <c r="WVC71" s="122"/>
      <c r="WVD71" s="122"/>
      <c r="WVE71" s="122"/>
      <c r="WVF71" s="122"/>
      <c r="WVG71" s="122"/>
      <c r="WVH71" s="122"/>
      <c r="WVI71" s="122"/>
      <c r="WVJ71" s="122"/>
      <c r="WVK71" s="122"/>
      <c r="WVL71" s="122"/>
      <c r="WVM71" s="122"/>
      <c r="WVN71" s="122"/>
      <c r="WVO71" s="122"/>
      <c r="WVP71" s="122"/>
      <c r="WVQ71" s="122"/>
      <c r="WVR71" s="122"/>
      <c r="WVS71" s="122"/>
      <c r="WVT71" s="122"/>
      <c r="WVU71" s="122"/>
      <c r="WVV71" s="122"/>
      <c r="WVW71" s="122"/>
      <c r="WVX71" s="122"/>
      <c r="WVY71" s="122"/>
      <c r="WVZ71" s="122"/>
      <c r="WWA71" s="122"/>
      <c r="WWB71" s="122"/>
      <c r="WWC71" s="122"/>
      <c r="WWD71" s="122"/>
      <c r="WWE71" s="122"/>
      <c r="WWF71" s="122"/>
      <c r="WWG71" s="122"/>
      <c r="WWH71" s="122"/>
      <c r="WWI71" s="122"/>
      <c r="WWJ71" s="122"/>
      <c r="WWK71" s="122"/>
      <c r="WWL71" s="122"/>
      <c r="WWM71" s="122"/>
      <c r="WWN71" s="122"/>
      <c r="WWO71" s="122"/>
      <c r="WWP71" s="122"/>
      <c r="WWQ71" s="122"/>
      <c r="WWR71" s="122"/>
      <c r="WWS71" s="122"/>
      <c r="WWT71" s="122"/>
      <c r="WWU71" s="122"/>
      <c r="WWV71" s="122"/>
      <c r="WWW71" s="122"/>
      <c r="WWX71" s="122"/>
      <c r="WWY71" s="122"/>
      <c r="WWZ71" s="122"/>
      <c r="WXA71" s="122"/>
      <c r="WXB71" s="122"/>
      <c r="WXC71" s="122"/>
      <c r="WXD71" s="122"/>
      <c r="WXE71" s="122"/>
      <c r="WXF71" s="122"/>
      <c r="WXG71" s="122"/>
      <c r="WXH71" s="122"/>
      <c r="WXI71" s="122"/>
      <c r="WXJ71" s="122"/>
      <c r="WXK71" s="122"/>
      <c r="WXL71" s="122"/>
      <c r="WXM71" s="122"/>
      <c r="WXN71" s="122"/>
      <c r="WXO71" s="122"/>
      <c r="WXP71" s="122"/>
      <c r="WXQ71" s="122"/>
      <c r="WXR71" s="122"/>
      <c r="WXS71" s="122"/>
      <c r="WXT71" s="122"/>
      <c r="WXU71" s="122"/>
      <c r="WXV71" s="122"/>
      <c r="WXW71" s="122"/>
      <c r="WXX71" s="122"/>
      <c r="WXY71" s="122"/>
      <c r="WXZ71" s="122"/>
      <c r="WYA71" s="122"/>
      <c r="WYB71" s="122"/>
      <c r="WYC71" s="122"/>
      <c r="WYD71" s="122"/>
      <c r="WYE71" s="122"/>
      <c r="WYF71" s="122"/>
      <c r="WYG71" s="122"/>
      <c r="WYH71" s="122"/>
      <c r="WYI71" s="122"/>
      <c r="WYJ71" s="122"/>
      <c r="WYK71" s="122"/>
      <c r="WYL71" s="122"/>
      <c r="WYM71" s="122"/>
      <c r="WYN71" s="122"/>
      <c r="WYO71" s="122"/>
      <c r="WYP71" s="122"/>
      <c r="WYQ71" s="122"/>
      <c r="WYR71" s="122"/>
      <c r="WYS71" s="122"/>
      <c r="WYT71" s="122"/>
      <c r="WYU71" s="122"/>
      <c r="WYV71" s="122"/>
      <c r="WYW71" s="122"/>
      <c r="WYX71" s="122"/>
      <c r="WYY71" s="122"/>
      <c r="WYZ71" s="122"/>
      <c r="WZA71" s="122"/>
      <c r="WZB71" s="122"/>
      <c r="WZC71" s="122"/>
      <c r="WZD71" s="122"/>
      <c r="WZE71" s="122"/>
      <c r="WZF71" s="122"/>
      <c r="WZG71" s="122"/>
      <c r="WZH71" s="122"/>
      <c r="WZI71" s="122"/>
      <c r="WZJ71" s="122"/>
      <c r="WZK71" s="122"/>
      <c r="WZL71" s="122"/>
      <c r="WZM71" s="122"/>
      <c r="WZN71" s="122"/>
      <c r="WZO71" s="122"/>
      <c r="WZP71" s="122"/>
      <c r="WZQ71" s="122"/>
      <c r="WZR71" s="122"/>
      <c r="WZS71" s="122"/>
      <c r="WZT71" s="122"/>
      <c r="WZU71" s="122"/>
      <c r="WZV71" s="122"/>
      <c r="WZW71" s="122"/>
      <c r="WZX71" s="122"/>
      <c r="WZY71" s="122"/>
      <c r="WZZ71" s="122"/>
      <c r="XAA71" s="122"/>
      <c r="XAB71" s="122"/>
      <c r="XAC71" s="122"/>
      <c r="XAD71" s="122"/>
      <c r="XAE71" s="122"/>
      <c r="XAF71" s="122"/>
      <c r="XAG71" s="122"/>
      <c r="XAH71" s="122"/>
      <c r="XAI71" s="122"/>
      <c r="XAJ71" s="122"/>
      <c r="XAK71" s="122"/>
      <c r="XAL71" s="122"/>
      <c r="XAM71" s="122"/>
      <c r="XAN71" s="122"/>
      <c r="XAO71" s="122"/>
      <c r="XAP71" s="122"/>
      <c r="XAQ71" s="122"/>
      <c r="XAR71" s="122"/>
      <c r="XAS71" s="122"/>
      <c r="XAT71" s="122"/>
      <c r="XAU71" s="122"/>
      <c r="XAV71" s="122"/>
      <c r="XAW71" s="122"/>
      <c r="XAX71" s="122"/>
      <c r="XAY71" s="122"/>
      <c r="XAZ71" s="122"/>
      <c r="XBA71" s="122"/>
      <c r="XBB71" s="122"/>
      <c r="XBC71" s="122"/>
      <c r="XBD71" s="122"/>
      <c r="XBE71" s="122"/>
      <c r="XBF71" s="122"/>
      <c r="XBG71" s="122"/>
      <c r="XBH71" s="122"/>
      <c r="XBI71" s="122"/>
      <c r="XBJ71" s="122"/>
      <c r="XBK71" s="122"/>
      <c r="XBL71" s="122"/>
      <c r="XBM71" s="122"/>
      <c r="XBN71" s="122"/>
      <c r="XBO71" s="122"/>
      <c r="XBP71" s="122"/>
      <c r="XBQ71" s="122"/>
      <c r="XBR71" s="122"/>
      <c r="XBS71" s="122"/>
      <c r="XBT71" s="122"/>
      <c r="XBU71" s="122"/>
      <c r="XBV71" s="122"/>
      <c r="XBW71" s="122"/>
      <c r="XBX71" s="122"/>
      <c r="XBY71" s="122"/>
      <c r="XBZ71" s="122"/>
      <c r="XCA71" s="122"/>
      <c r="XCB71" s="122"/>
      <c r="XCC71" s="122"/>
      <c r="XCD71" s="122"/>
      <c r="XCE71" s="122"/>
      <c r="XCF71" s="122"/>
      <c r="XCG71" s="122"/>
      <c r="XCH71" s="122"/>
      <c r="XCI71" s="122"/>
      <c r="XCJ71" s="122"/>
      <c r="XCK71" s="122"/>
      <c r="XCL71" s="122"/>
      <c r="XCM71" s="122"/>
      <c r="XCN71" s="122"/>
      <c r="XCO71" s="122"/>
      <c r="XCP71" s="122"/>
      <c r="XCQ71" s="122"/>
      <c r="XCR71" s="122"/>
      <c r="XCS71" s="122"/>
      <c r="XCT71" s="122"/>
      <c r="XCU71" s="122"/>
      <c r="XCV71" s="122"/>
      <c r="XCW71" s="122"/>
      <c r="XCX71" s="122"/>
      <c r="XCY71" s="122"/>
      <c r="XCZ71" s="122"/>
      <c r="XDA71" s="122"/>
      <c r="XDB71" s="122"/>
      <c r="XDC71" s="122"/>
      <c r="XDD71" s="122"/>
      <c r="XDE71" s="122"/>
      <c r="XDF71" s="122"/>
      <c r="XDG71" s="122"/>
      <c r="XDH71" s="122"/>
      <c r="XDI71" s="122"/>
      <c r="XDJ71" s="122"/>
      <c r="XDK71" s="122"/>
      <c r="XDL71" s="122"/>
      <c r="XDM71" s="122"/>
      <c r="XDN71" s="122"/>
      <c r="XDO71" s="122"/>
      <c r="XDP71" s="122"/>
      <c r="XDQ71" s="122"/>
      <c r="XDR71" s="122"/>
      <c r="XDS71" s="122"/>
      <c r="XDT71" s="122"/>
      <c r="XDU71" s="122"/>
      <c r="XDV71" s="122"/>
      <c r="XDW71" s="122"/>
      <c r="XDX71" s="122"/>
      <c r="XDY71" s="122"/>
      <c r="XDZ71" s="122"/>
      <c r="XEA71" s="122"/>
      <c r="XEB71" s="122"/>
      <c r="XEC71" s="122"/>
      <c r="XED71" s="122"/>
      <c r="XEE71" s="122"/>
      <c r="XEF71" s="122"/>
      <c r="XEG71" s="122"/>
      <c r="XEH71" s="122"/>
      <c r="XEI71" s="122"/>
      <c r="XEJ71" s="122"/>
      <c r="XEK71" s="122"/>
      <c r="XEL71" s="122"/>
      <c r="XEM71" s="122"/>
      <c r="XEN71" s="122"/>
      <c r="XEO71" s="122"/>
      <c r="XEP71" s="122"/>
      <c r="XEQ71" s="122"/>
      <c r="XER71" s="122"/>
      <c r="XES71" s="122"/>
      <c r="XET71" s="122"/>
      <c r="XEU71" s="122"/>
      <c r="XEV71" s="122"/>
      <c r="XEW71" s="122"/>
      <c r="XEX71" s="122"/>
      <c r="XEY71" s="122"/>
      <c r="XEZ71" s="122"/>
      <c r="XFA71" s="122"/>
      <c r="XFB71" s="122"/>
      <c r="XFC71" s="122"/>
      <c r="XFD71" s="122"/>
    </row>
  </sheetData>
  <mergeCells count="1">
    <mergeCell ref="B2:B4"/>
  </mergeCells>
  <conditionalFormatting sqref="C66:L66">
    <cfRule type="containsText" dxfId="73" priority="1" operator="containsText" text="Validé">
      <formula>NOT(ISERROR(SEARCH("Validé",C66)))</formula>
    </cfRule>
    <cfRule type="containsText" dxfId="72" priority="2" operator="containsText" text="Erreur">
      <formula>NOT(ISERROR(SEARCH("Erreur",C66)))</formula>
    </cfRule>
  </conditionalFormatting>
  <conditionalFormatting sqref="C63:M63">
    <cfRule type="containsText" dxfId="71" priority="3" operator="containsText" text="Equilibré">
      <formula>NOT(ISERROR(SEARCH("Equilibré",C63)))</formula>
    </cfRule>
    <cfRule type="containsText" dxfId="70" priority="4" operator="containsText" text="Erreur">
      <formula>NOT(ISERROR(SEARCH("Erreur",C63)))</formula>
    </cfRule>
    <cfRule type="containsText" dxfId="69" priority="5" operator="containsText" text="Validé">
      <formula>NOT(ISERROR(SEARCH("Validé",C63)))</formula>
    </cfRule>
    <cfRule type="containsText" dxfId="68" priority="6" operator="containsText" text="Erreur">
      <formula>NOT(ISERROR(SEARCH("Erreur",C63)))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04D17-D807-411E-90BC-2DFFBDAE09CE}">
  <sheetPr codeName="Feuil3">
    <tabColor rgb="FF006C4C"/>
  </sheetPr>
  <dimension ref="B2:H110"/>
  <sheetViews>
    <sheetView zoomScaleNormal="100" workbookViewId="0">
      <selection activeCell="J11" sqref="J11"/>
    </sheetView>
  </sheetViews>
  <sheetFormatPr baseColWidth="10" defaultColWidth="9.140625" defaultRowHeight="15" outlineLevelRow="2"/>
  <cols>
    <col min="1" max="1" width="9.140625" style="32"/>
    <col min="2" max="2" width="20" style="32" customWidth="1"/>
    <col min="3" max="6" width="9.42578125" style="32" bestFit="1" customWidth="1"/>
    <col min="7" max="7" width="9.140625" style="32"/>
    <col min="8" max="8" width="49.42578125" style="32" customWidth="1"/>
    <col min="9" max="16384" width="9.140625" style="32"/>
  </cols>
  <sheetData>
    <row r="2" spans="2:8" ht="15.75" thickBot="1">
      <c r="B2" s="1" t="s">
        <v>0</v>
      </c>
      <c r="C2" s="2"/>
      <c r="D2" s="2"/>
      <c r="E2" s="2"/>
      <c r="F2" s="2" t="s">
        <v>274</v>
      </c>
      <c r="G2" s="51"/>
      <c r="H2" s="4" t="s">
        <v>1</v>
      </c>
    </row>
    <row r="3" spans="2:8">
      <c r="B3" s="55"/>
      <c r="C3" s="54">
        <v>44074</v>
      </c>
      <c r="D3" s="54">
        <v>44439</v>
      </c>
      <c r="E3" s="54">
        <v>44804</v>
      </c>
      <c r="F3" s="54">
        <v>45169</v>
      </c>
      <c r="G3" s="51"/>
      <c r="H3" s="6"/>
    </row>
    <row r="4" spans="2:8">
      <c r="B4" s="53" t="s">
        <v>2</v>
      </c>
      <c r="C4" s="58" t="s">
        <v>3</v>
      </c>
      <c r="D4" s="58" t="s">
        <v>3</v>
      </c>
      <c r="E4" s="58" t="s">
        <v>3</v>
      </c>
      <c r="F4" s="58" t="s">
        <v>3</v>
      </c>
      <c r="G4" s="51"/>
      <c r="H4" s="9"/>
    </row>
    <row r="5" spans="2:8" hidden="1" outlineLevel="1">
      <c r="B5" s="51" t="s">
        <v>4</v>
      </c>
      <c r="C5" s="222">
        <v>0</v>
      </c>
      <c r="D5" s="222">
        <v>0</v>
      </c>
      <c r="E5" s="222">
        <v>0</v>
      </c>
      <c r="F5" s="222">
        <v>0</v>
      </c>
      <c r="G5" s="51"/>
      <c r="H5" s="9"/>
    </row>
    <row r="6" spans="2:8" collapsed="1">
      <c r="B6" s="51" t="s">
        <v>5</v>
      </c>
      <c r="C6" s="222">
        <v>816.81100000000004</v>
      </c>
      <c r="D6" s="222">
        <v>846.06700000000001</v>
      </c>
      <c r="E6" s="222">
        <v>1683.182</v>
      </c>
      <c r="F6" s="222">
        <v>1886.6010000000001</v>
      </c>
      <c r="G6" s="51"/>
      <c r="H6" s="9"/>
    </row>
    <row r="7" spans="2:8">
      <c r="B7" s="51" t="s">
        <v>6</v>
      </c>
      <c r="C7" s="222">
        <v>0</v>
      </c>
      <c r="D7" s="222">
        <v>0</v>
      </c>
      <c r="E7" s="222">
        <v>0</v>
      </c>
      <c r="F7" s="222">
        <v>0</v>
      </c>
      <c r="G7" s="51"/>
      <c r="H7" s="9"/>
    </row>
    <row r="8" spans="2:8">
      <c r="B8" s="59" t="s">
        <v>7</v>
      </c>
      <c r="C8" s="223">
        <f>SUM(C5:C7)</f>
        <v>816.81100000000004</v>
      </c>
      <c r="D8" s="223">
        <f t="shared" ref="D8:F8" si="0">SUM(D5:D7)</f>
        <v>846.06700000000001</v>
      </c>
      <c r="E8" s="223">
        <f t="shared" si="0"/>
        <v>1683.182</v>
      </c>
      <c r="F8" s="223">
        <f t="shared" si="0"/>
        <v>1886.6010000000001</v>
      </c>
      <c r="G8" s="51"/>
      <c r="H8" s="9"/>
    </row>
    <row r="9" spans="2:8" hidden="1" outlineLevel="1">
      <c r="B9" s="51" t="s">
        <v>8</v>
      </c>
      <c r="C9" s="222">
        <v>39.884999999999998</v>
      </c>
      <c r="D9" s="222">
        <v>6.6710000000000003</v>
      </c>
      <c r="E9" s="222">
        <v>-70.177999999999997</v>
      </c>
      <c r="F9" s="222">
        <v>72.664000000000001</v>
      </c>
      <c r="G9" s="51"/>
      <c r="H9" s="9"/>
    </row>
    <row r="10" spans="2:8" hidden="1" outlineLevel="1">
      <c r="B10" s="51" t="s">
        <v>9</v>
      </c>
      <c r="C10" s="222">
        <v>0</v>
      </c>
      <c r="D10" s="222">
        <v>0</v>
      </c>
      <c r="E10" s="222">
        <v>0</v>
      </c>
      <c r="F10" s="222">
        <v>0</v>
      </c>
      <c r="G10" s="51"/>
      <c r="H10" s="9"/>
    </row>
    <row r="11" spans="2:8" hidden="1" outlineLevel="1">
      <c r="B11" s="51" t="s">
        <v>10</v>
      </c>
      <c r="C11" s="222">
        <v>0</v>
      </c>
      <c r="D11" s="222">
        <v>18.902000000000001</v>
      </c>
      <c r="E11" s="222">
        <v>9.3780000000000001</v>
      </c>
      <c r="F11" s="222">
        <v>50.923000000000002</v>
      </c>
      <c r="G11" s="51"/>
      <c r="H11" s="9"/>
    </row>
    <row r="12" spans="2:8" hidden="1" outlineLevel="1">
      <c r="B12" s="51" t="s">
        <v>13</v>
      </c>
      <c r="C12" s="222">
        <f>SUM(C9:C11)</f>
        <v>39.884999999999998</v>
      </c>
      <c r="D12" s="222">
        <f>SUM(D9:D11)</f>
        <v>25.573</v>
      </c>
      <c r="E12" s="222">
        <f>SUM(E9:E11)</f>
        <v>-60.8</v>
      </c>
      <c r="F12" s="222">
        <f>SUM(F9:F11)</f>
        <v>123.587</v>
      </c>
      <c r="G12" s="51"/>
      <c r="H12" s="9"/>
    </row>
    <row r="13" spans="2:8" collapsed="1">
      <c r="B13" s="59" t="s">
        <v>14</v>
      </c>
      <c r="C13" s="223">
        <f>C8+C12</f>
        <v>856.69600000000003</v>
      </c>
      <c r="D13" s="223">
        <f>D8+D12</f>
        <v>871.64</v>
      </c>
      <c r="E13" s="223">
        <f>E8+E12</f>
        <v>1622.3820000000001</v>
      </c>
      <c r="F13" s="223">
        <f>F8+F12</f>
        <v>2010.1880000000001</v>
      </c>
      <c r="G13" s="51"/>
      <c r="H13" s="9"/>
    </row>
    <row r="14" spans="2:8">
      <c r="B14" s="51" t="s">
        <v>15</v>
      </c>
      <c r="C14" s="222">
        <f>-564.814</f>
        <v>-564.81399999999996</v>
      </c>
      <c r="D14" s="222">
        <v>-497.66199999999998</v>
      </c>
      <c r="E14" s="222">
        <v>-976.28499999999997</v>
      </c>
      <c r="F14" s="222">
        <v>-1327.3209999999999</v>
      </c>
      <c r="G14" s="51"/>
      <c r="H14" s="9"/>
    </row>
    <row r="15" spans="2:8">
      <c r="B15" s="55" t="s">
        <v>16</v>
      </c>
      <c r="C15" s="224">
        <f t="shared" ref="C15:F15" si="1">SUM(C13:C14)</f>
        <v>291.88200000000006</v>
      </c>
      <c r="D15" s="224">
        <f t="shared" si="1"/>
        <v>373.97800000000001</v>
      </c>
      <c r="E15" s="224">
        <f t="shared" si="1"/>
        <v>646.09700000000009</v>
      </c>
      <c r="F15" s="224">
        <f t="shared" si="1"/>
        <v>682.86700000000019</v>
      </c>
      <c r="G15" s="51"/>
      <c r="H15" s="9"/>
    </row>
    <row r="16" spans="2:8">
      <c r="B16" s="51" t="s">
        <v>17</v>
      </c>
      <c r="C16" s="222">
        <f>(-25152-69880)/1000</f>
        <v>-95.031999999999996</v>
      </c>
      <c r="D16" s="222">
        <f>(-33199-131302)/1000</f>
        <v>-164.501</v>
      </c>
      <c r="E16" s="222">
        <f>(-36611-271806)/1000</f>
        <v>-308.41699999999997</v>
      </c>
      <c r="F16" s="222">
        <f>(-41956-291496)/1000</f>
        <v>-333.452</v>
      </c>
      <c r="G16" s="51"/>
      <c r="H16" s="9"/>
    </row>
    <row r="17" spans="2:8">
      <c r="B17" s="51" t="s">
        <v>22</v>
      </c>
      <c r="C17" s="222">
        <v>-4.125</v>
      </c>
      <c r="D17" s="222">
        <v>-4.4740000000000002</v>
      </c>
      <c r="E17" s="222">
        <v>-5.3520000000000003</v>
      </c>
      <c r="F17" s="222">
        <v>-4.6829999999999998</v>
      </c>
      <c r="G17" s="52"/>
      <c r="H17" s="9"/>
    </row>
    <row r="18" spans="2:8" hidden="1" outlineLevel="1">
      <c r="B18" s="57" t="s">
        <v>18</v>
      </c>
      <c r="C18" s="225">
        <v>-110.131</v>
      </c>
      <c r="D18" s="225">
        <v>-115.572</v>
      </c>
      <c r="E18" s="225">
        <v>-169.69300000000001</v>
      </c>
      <c r="F18" s="225">
        <v>-172.392</v>
      </c>
      <c r="G18" s="51"/>
      <c r="H18" s="9"/>
    </row>
    <row r="19" spans="2:8" hidden="1" outlineLevel="1">
      <c r="B19" s="57" t="s">
        <v>19</v>
      </c>
      <c r="C19" s="225">
        <v>-14.423</v>
      </c>
      <c r="D19" s="225">
        <v>-16.526</v>
      </c>
      <c r="E19" s="225">
        <v>-24.065999999999999</v>
      </c>
      <c r="F19" s="225">
        <v>-22.277999999999999</v>
      </c>
      <c r="G19" s="51"/>
      <c r="H19" s="9"/>
    </row>
    <row r="20" spans="2:8" hidden="1" outlineLevel="1">
      <c r="B20" s="57" t="s">
        <v>20</v>
      </c>
      <c r="C20" s="225"/>
      <c r="D20" s="225"/>
      <c r="E20" s="225"/>
      <c r="F20" s="225"/>
      <c r="G20" s="51"/>
      <c r="H20" s="9"/>
    </row>
    <row r="21" spans="2:8" collapsed="1">
      <c r="B21" s="51" t="s">
        <v>21</v>
      </c>
      <c r="C21" s="222">
        <f t="shared" ref="C21:F21" si="2">SUM(C18:C20)</f>
        <v>-124.554</v>
      </c>
      <c r="D21" s="222">
        <f>SUM(D18:D20)</f>
        <v>-132.09800000000001</v>
      </c>
      <c r="E21" s="222">
        <f t="shared" si="2"/>
        <v>-193.75900000000001</v>
      </c>
      <c r="F21" s="222">
        <f t="shared" si="2"/>
        <v>-194.67</v>
      </c>
      <c r="G21" s="51"/>
      <c r="H21" s="9"/>
    </row>
    <row r="22" spans="2:8" ht="15.75" thickBot="1">
      <c r="B22" s="56" t="s">
        <v>24</v>
      </c>
      <c r="C22" s="226">
        <f t="shared" ref="C22:E22" si="3">SUM(C15:C17,C21)</f>
        <v>68.171000000000078</v>
      </c>
      <c r="D22" s="226">
        <f t="shared" si="3"/>
        <v>72.905000000000001</v>
      </c>
      <c r="E22" s="226">
        <f t="shared" si="3"/>
        <v>138.56900000000013</v>
      </c>
      <c r="F22" s="226">
        <f>SUM(F15:F17,F21)</f>
        <v>150.06200000000021</v>
      </c>
      <c r="G22" s="81"/>
      <c r="H22" s="9"/>
    </row>
    <row r="23" spans="2:8" hidden="1" outlineLevel="1">
      <c r="B23" s="51" t="s">
        <v>11</v>
      </c>
      <c r="C23" s="222">
        <v>0</v>
      </c>
      <c r="D23" s="222">
        <v>0</v>
      </c>
      <c r="E23" s="222">
        <v>0</v>
      </c>
      <c r="F23" s="222">
        <v>0</v>
      </c>
      <c r="G23" s="51"/>
      <c r="H23" s="9"/>
    </row>
    <row r="24" spans="2:8" hidden="1" outlineLevel="1">
      <c r="B24" s="51" t="s">
        <v>12</v>
      </c>
      <c r="C24" s="222">
        <v>8.0000000000000002E-3</v>
      </c>
      <c r="D24" s="222">
        <v>0.97</v>
      </c>
      <c r="E24" s="222">
        <v>2.9000000000000001E-2</v>
      </c>
      <c r="F24" s="222">
        <v>1.256</v>
      </c>
      <c r="G24" s="51"/>
      <c r="H24" s="9"/>
    </row>
    <row r="25" spans="2:8" collapsed="1">
      <c r="B25" s="51" t="s">
        <v>23</v>
      </c>
      <c r="C25" s="222">
        <v>-4.0000000000000001E-3</v>
      </c>
      <c r="D25" s="222">
        <v>-1.0999999999999999E-2</v>
      </c>
      <c r="E25" s="222">
        <v>-7.0000000000000001E-3</v>
      </c>
      <c r="F25" s="222">
        <v>-5.6000000000000001E-2</v>
      </c>
      <c r="G25" s="51"/>
      <c r="H25" s="9"/>
    </row>
    <row r="26" spans="2:8">
      <c r="B26" s="51" t="s">
        <v>25</v>
      </c>
      <c r="C26" s="222">
        <f>(3751-38170)/1000</f>
        <v>-34.418999999999997</v>
      </c>
      <c r="D26" s="222">
        <f>(6-39462)/1000</f>
        <v>-39.456000000000003</v>
      </c>
      <c r="E26" s="222">
        <f>(3064-40701)/1000</f>
        <v>-37.637</v>
      </c>
      <c r="F26" s="222">
        <f>(1002-40946)/1000</f>
        <v>-39.944000000000003</v>
      </c>
      <c r="G26" s="51"/>
      <c r="H26" s="9"/>
    </row>
    <row r="27" spans="2:8" ht="15.75" thickBot="1">
      <c r="B27" s="56" t="s">
        <v>26</v>
      </c>
      <c r="C27" s="226">
        <f t="shared" ref="C27:E27" si="4">SUM(C22:C26)</f>
        <v>33.756000000000071</v>
      </c>
      <c r="D27" s="226">
        <f t="shared" si="4"/>
        <v>34.408000000000001</v>
      </c>
      <c r="E27" s="226">
        <f t="shared" si="4"/>
        <v>100.95400000000012</v>
      </c>
      <c r="F27" s="226">
        <f>SUM(F22:F26)</f>
        <v>111.3180000000002</v>
      </c>
      <c r="G27" s="51"/>
      <c r="H27" s="9"/>
    </row>
    <row r="28" spans="2:8" hidden="1" outlineLevel="1">
      <c r="B28" s="57" t="s">
        <v>27</v>
      </c>
      <c r="C28" s="225">
        <v>0</v>
      </c>
      <c r="D28" s="225">
        <v>0</v>
      </c>
      <c r="E28" s="225">
        <v>0</v>
      </c>
      <c r="F28" s="225">
        <v>0</v>
      </c>
      <c r="G28" s="51"/>
      <c r="H28" s="9"/>
    </row>
    <row r="29" spans="2:8" hidden="1" outlineLevel="1">
      <c r="B29" s="57" t="s">
        <v>28</v>
      </c>
      <c r="C29" s="225">
        <v>-5.1139999999999999</v>
      </c>
      <c r="D29" s="225">
        <v>-7.0170000000000003</v>
      </c>
      <c r="E29" s="225">
        <v>-5.6319999999999997</v>
      </c>
      <c r="F29" s="225">
        <v>-19.079000000000001</v>
      </c>
      <c r="G29" s="51"/>
      <c r="H29" s="9"/>
    </row>
    <row r="30" spans="2:8" collapsed="1">
      <c r="B30" s="51" t="s">
        <v>29</v>
      </c>
      <c r="C30" s="222">
        <f>SUM(C28:C29)</f>
        <v>-5.1139999999999999</v>
      </c>
      <c r="D30" s="222">
        <f>SUM(D28:D29)</f>
        <v>-7.0170000000000003</v>
      </c>
      <c r="E30" s="222">
        <f t="shared" ref="E30:F30" si="5">SUM(E28:E29)</f>
        <v>-5.6319999999999997</v>
      </c>
      <c r="F30" s="222">
        <f t="shared" si="5"/>
        <v>-19.079000000000001</v>
      </c>
      <c r="G30" s="51"/>
      <c r="H30" s="9"/>
    </row>
    <row r="31" spans="2:8">
      <c r="B31" s="51" t="s">
        <v>30</v>
      </c>
      <c r="C31" s="222">
        <f>(12986-3939)/1000</f>
        <v>9.0470000000000006</v>
      </c>
      <c r="D31" s="222">
        <f>(4762-370)/1000</f>
        <v>4.3920000000000003</v>
      </c>
      <c r="E31" s="222">
        <f>(16889-3125)/1000</f>
        <v>13.763999999999999</v>
      </c>
      <c r="F31" s="222">
        <f>5.636</f>
        <v>5.6360000000000001</v>
      </c>
      <c r="G31" s="51"/>
      <c r="H31" s="9"/>
    </row>
    <row r="32" spans="2:8">
      <c r="B32" s="51" t="s">
        <v>31</v>
      </c>
      <c r="C32" s="222">
        <v>-5.6840000000000002</v>
      </c>
      <c r="D32" s="222">
        <v>-4.7670000000000003</v>
      </c>
      <c r="E32" s="222">
        <v>-24.523</v>
      </c>
      <c r="F32" s="222">
        <v>-20.079000000000001</v>
      </c>
      <c r="G32" s="51"/>
      <c r="H32" s="9"/>
    </row>
    <row r="33" spans="2:8" ht="15.75" thickBot="1">
      <c r="B33" s="56" t="s">
        <v>32</v>
      </c>
      <c r="C33" s="226">
        <f>SUM(C27,C30:C32)</f>
        <v>32.005000000000074</v>
      </c>
      <c r="D33" s="226">
        <f>SUM(D27,D30:D32)</f>
        <v>27.016000000000002</v>
      </c>
      <c r="E33" s="226">
        <f>SUM(E27,E30:E32)</f>
        <v>84.563000000000116</v>
      </c>
      <c r="F33" s="226">
        <f>SUM(F27,F30:F32)</f>
        <v>77.796000000000191</v>
      </c>
      <c r="G33" s="51"/>
      <c r="H33" s="9"/>
    </row>
    <row r="34" spans="2:8">
      <c r="B34" s="13" t="s">
        <v>33</v>
      </c>
      <c r="C34" s="14"/>
      <c r="D34" s="14"/>
      <c r="E34" s="14"/>
      <c r="F34" s="14"/>
      <c r="G34" s="51"/>
      <c r="H34" s="9"/>
    </row>
    <row r="35" spans="2:8">
      <c r="B35" s="15" t="s">
        <v>34</v>
      </c>
      <c r="C35" s="16" t="str">
        <f>IFERROR(C8/#REF!-1,"na ")</f>
        <v xml:space="preserve">na </v>
      </c>
      <c r="D35" s="16">
        <f>IFERROR(D8/C8-1,"na ")</f>
        <v>3.5817343302183779E-2</v>
      </c>
      <c r="E35" s="16">
        <f>IFERROR(E8/D8-1,"na ")</f>
        <v>0.989419277669499</v>
      </c>
      <c r="F35" s="16">
        <f>IFERROR(F8/E8-1,"na ")</f>
        <v>0.12085383517646942</v>
      </c>
      <c r="G35" s="51"/>
      <c r="H35" s="9"/>
    </row>
    <row r="36" spans="2:8">
      <c r="B36" s="15" t="s">
        <v>16</v>
      </c>
      <c r="C36" s="16">
        <f>C15/C8</f>
        <v>0.35734337564014201</v>
      </c>
      <c r="D36" s="16">
        <f>D15/D8</f>
        <v>0.4420193672605125</v>
      </c>
      <c r="E36" s="16">
        <f>E15/E8</f>
        <v>0.38385450890040418</v>
      </c>
      <c r="F36" s="16">
        <f>F15/F8</f>
        <v>0.36195623769943946</v>
      </c>
      <c r="G36" s="51"/>
      <c r="H36" s="9"/>
    </row>
    <row r="37" spans="2:8">
      <c r="B37" s="15" t="s">
        <v>24</v>
      </c>
      <c r="C37" s="16">
        <f>C22/C8</f>
        <v>8.345994360996617E-2</v>
      </c>
      <c r="D37" s="16">
        <f>D22/D8</f>
        <v>8.6169298648924961E-2</v>
      </c>
      <c r="E37" s="16">
        <f>E22/E8</f>
        <v>8.2325618976438752E-2</v>
      </c>
      <c r="F37" s="16">
        <f>F22/F8</f>
        <v>7.9540931018270533E-2</v>
      </c>
      <c r="G37" s="51"/>
      <c r="H37" s="9"/>
    </row>
    <row r="38" spans="2:8">
      <c r="B38" s="15" t="s">
        <v>26</v>
      </c>
      <c r="C38" s="16">
        <f>C27/C8</f>
        <v>4.1326573711666557E-2</v>
      </c>
      <c r="D38" s="16">
        <f>D27/D8</f>
        <v>4.0668174033498532E-2</v>
      </c>
      <c r="E38" s="16">
        <f>E27/E8</f>
        <v>5.997806535478642E-2</v>
      </c>
      <c r="F38" s="16">
        <f>F27/F8</f>
        <v>5.9004527189374004E-2</v>
      </c>
      <c r="G38" s="51"/>
      <c r="H38" s="9"/>
    </row>
    <row r="39" spans="2:8">
      <c r="B39" s="17" t="s">
        <v>35</v>
      </c>
      <c r="C39" s="18">
        <f>C33/C8</f>
        <v>3.918287094566561E-2</v>
      </c>
      <c r="D39" s="18">
        <f>D33/D8</f>
        <v>3.1931277310189382E-2</v>
      </c>
      <c r="E39" s="18">
        <f>E33/E8</f>
        <v>5.0239962166895864E-2</v>
      </c>
      <c r="F39" s="18">
        <f>F33/F8</f>
        <v>4.1236064223436848E-2</v>
      </c>
      <c r="G39" s="51"/>
      <c r="H39" s="9"/>
    </row>
    <row r="40" spans="2:8">
      <c r="B40" s="51"/>
      <c r="C40" s="52"/>
      <c r="D40" s="52"/>
      <c r="E40" s="52"/>
      <c r="F40" s="52"/>
      <c r="G40" s="51"/>
      <c r="H40" s="60"/>
    </row>
    <row r="42" spans="2:8">
      <c r="B42" s="1" t="s">
        <v>36</v>
      </c>
      <c r="C42" s="2"/>
      <c r="D42" s="2"/>
      <c r="E42" s="2"/>
      <c r="F42" s="2" t="str">
        <f>F2</f>
        <v>BSB</v>
      </c>
    </row>
    <row r="43" spans="2:8">
      <c r="B43" s="53" t="s">
        <v>2</v>
      </c>
      <c r="C43" s="64">
        <f>C3</f>
        <v>44074</v>
      </c>
      <c r="D43" s="64">
        <f>D3</f>
        <v>44439</v>
      </c>
      <c r="E43" s="64">
        <f>E3</f>
        <v>44804</v>
      </c>
      <c r="F43" s="64">
        <f>F3</f>
        <v>45169</v>
      </c>
    </row>
    <row r="44" spans="2:8" hidden="1" outlineLevel="1">
      <c r="B44" s="55" t="s">
        <v>37</v>
      </c>
      <c r="C44" s="223"/>
      <c r="D44" s="223"/>
      <c r="E44" s="223"/>
      <c r="F44" s="223"/>
    </row>
    <row r="45" spans="2:8" hidden="1" outlineLevel="1">
      <c r="B45" s="51" t="s">
        <v>38</v>
      </c>
      <c r="C45" s="222">
        <f>(2832+5000)/1000</f>
        <v>7.8319999999999999</v>
      </c>
      <c r="D45" s="222">
        <f>(1439+5000)/1000</f>
        <v>6.4390000000000001</v>
      </c>
      <c r="E45" s="222">
        <f>(169+5000)/1000</f>
        <v>5.1689999999999996</v>
      </c>
      <c r="F45" s="222">
        <f>5</f>
        <v>5</v>
      </c>
    </row>
    <row r="46" spans="2:8" hidden="1" outlineLevel="1">
      <c r="B46" s="51" t="s">
        <v>39</v>
      </c>
      <c r="C46" s="222">
        <f>(6387+32665+306859)/1000</f>
        <v>345.911</v>
      </c>
      <c r="D46" s="222">
        <f>(5493+73221+314448)/1000</f>
        <v>393.16199999999998</v>
      </c>
      <c r="E46" s="222">
        <f>(4599+144458+280606)/1000</f>
        <v>429.66300000000001</v>
      </c>
      <c r="F46" s="222">
        <f>(19329+132727+259759+62400)/1000</f>
        <v>474.21499999999997</v>
      </c>
    </row>
    <row r="47" spans="2:8" hidden="1" outlineLevel="1">
      <c r="B47" s="51" t="s">
        <v>40</v>
      </c>
      <c r="C47" s="222">
        <v>0</v>
      </c>
      <c r="D47" s="222">
        <v>0</v>
      </c>
      <c r="E47" s="222">
        <v>0</v>
      </c>
      <c r="F47" s="222">
        <v>0</v>
      </c>
    </row>
    <row r="48" spans="2:8" hidden="1" outlineLevel="1">
      <c r="B48" s="55" t="s">
        <v>41</v>
      </c>
      <c r="C48" s="223">
        <f>SUM(C44:C47)</f>
        <v>353.74299999999999</v>
      </c>
      <c r="D48" s="223">
        <f>SUM(D44:D47)</f>
        <v>399.601</v>
      </c>
      <c r="E48" s="223">
        <f>SUM(E44:E47)</f>
        <v>434.83199999999999</v>
      </c>
      <c r="F48" s="223">
        <f>SUM(F44:F47)</f>
        <v>479.21499999999997</v>
      </c>
    </row>
    <row r="49" spans="2:7" hidden="1" outlineLevel="1">
      <c r="B49" s="51" t="s">
        <v>42</v>
      </c>
      <c r="C49" s="222">
        <f>(153292+103809)/1000</f>
        <v>257.101</v>
      </c>
      <c r="D49" s="222">
        <f>(205242+110480)/1000</f>
        <v>315.72199999999998</v>
      </c>
      <c r="E49" s="222">
        <f>(509456+40302)/1000</f>
        <v>549.75800000000004</v>
      </c>
      <c r="F49" s="222">
        <f>(499302+112966)/1000</f>
        <v>612.26800000000003</v>
      </c>
    </row>
    <row r="50" spans="2:7" hidden="1" outlineLevel="1">
      <c r="B50" s="51" t="s">
        <v>43</v>
      </c>
      <c r="C50" s="222">
        <f>(157701+5637)/1000</f>
        <v>163.33799999999999</v>
      </c>
      <c r="D50" s="222">
        <f>(133427+6230)/1000</f>
        <v>139.65700000000001</v>
      </c>
      <c r="E50" s="222">
        <f>(277532+22082)/1000</f>
        <v>299.61399999999998</v>
      </c>
      <c r="F50" s="222">
        <f>(244841+20097)/1000</f>
        <v>264.93799999999999</v>
      </c>
    </row>
    <row r="51" spans="2:7" hidden="1" outlineLevel="1">
      <c r="B51" s="51" t="s">
        <v>44</v>
      </c>
      <c r="C51" s="222">
        <f>-163.013</f>
        <v>-163.01300000000001</v>
      </c>
      <c r="D51" s="222">
        <f>-138.366</f>
        <v>-138.36600000000001</v>
      </c>
      <c r="E51" s="222">
        <f>-521.03</f>
        <v>-521.03</v>
      </c>
      <c r="F51" s="222">
        <f>-278.536</f>
        <v>-278.536</v>
      </c>
    </row>
    <row r="52" spans="2:7" hidden="1" outlineLevel="1">
      <c r="B52" s="55" t="s">
        <v>45</v>
      </c>
      <c r="C52" s="223">
        <f t="shared" ref="C52:F52" si="6">SUM(C49:C51)</f>
        <v>257.42599999999993</v>
      </c>
      <c r="D52" s="223">
        <f t="shared" si="6"/>
        <v>317.01300000000003</v>
      </c>
      <c r="E52" s="223">
        <f t="shared" si="6"/>
        <v>328.3420000000001</v>
      </c>
      <c r="F52" s="223">
        <f t="shared" si="6"/>
        <v>598.67000000000007</v>
      </c>
    </row>
    <row r="53" spans="2:7" hidden="1" outlineLevel="1">
      <c r="B53" s="51" t="s">
        <v>46</v>
      </c>
      <c r="C53" s="222">
        <f>(13420+4024)/1000</f>
        <v>17.443999999999999</v>
      </c>
      <c r="D53" s="222">
        <f>(4532+4249)/1000</f>
        <v>8.7810000000000006</v>
      </c>
      <c r="E53" s="222">
        <f>4.358</f>
        <v>4.3579999999999997</v>
      </c>
      <c r="F53" s="222">
        <f>(2367+4739)/1000</f>
        <v>7.1059999999999999</v>
      </c>
    </row>
    <row r="54" spans="2:7" hidden="1" outlineLevel="1">
      <c r="B54" s="51" t="s">
        <v>47</v>
      </c>
      <c r="C54" s="222">
        <v>-25.748000000000001</v>
      </c>
      <c r="D54" s="222">
        <v>-17.797999999999998</v>
      </c>
      <c r="E54" s="222">
        <v>-48.206000000000003</v>
      </c>
      <c r="F54" s="222">
        <v>-36.709000000000003</v>
      </c>
    </row>
    <row r="55" spans="2:7" hidden="1" outlineLevel="1">
      <c r="B55" s="51" t="s">
        <v>48</v>
      </c>
      <c r="C55" s="222">
        <v>-1.9E-2</v>
      </c>
      <c r="D55" s="222">
        <v>-1E-3</v>
      </c>
      <c r="E55" s="222" t="s">
        <v>275</v>
      </c>
      <c r="F55" s="222">
        <v>-6.0000000000000001E-3</v>
      </c>
    </row>
    <row r="56" spans="2:7" hidden="1" outlineLevel="1">
      <c r="B56" s="55" t="s">
        <v>49</v>
      </c>
      <c r="C56" s="227">
        <f t="shared" ref="C56:D56" si="7">SUM(C53:C55)</f>
        <v>-8.3230000000000022</v>
      </c>
      <c r="D56" s="227">
        <f t="shared" si="7"/>
        <v>-9.0179999999999971</v>
      </c>
      <c r="E56" s="227">
        <f>SUM(E53:E55)</f>
        <v>-43.848000000000006</v>
      </c>
      <c r="F56" s="227">
        <f>SUM(F53:F55)</f>
        <v>-29.609000000000002</v>
      </c>
    </row>
    <row r="57" spans="2:7" ht="15.75" hidden="1" outlineLevel="1" thickBot="1">
      <c r="B57" s="56" t="s">
        <v>50</v>
      </c>
      <c r="C57" s="226">
        <f t="shared" ref="C57:D57" si="8">SUM(C52,C56)</f>
        <v>249.10299999999992</v>
      </c>
      <c r="D57" s="226">
        <f t="shared" si="8"/>
        <v>307.99500000000006</v>
      </c>
      <c r="E57" s="226">
        <f>SUM(E52,E56)</f>
        <v>284.49400000000009</v>
      </c>
      <c r="F57" s="226">
        <f>SUM(F52,F56)</f>
        <v>569.06100000000004</v>
      </c>
    </row>
    <row r="58" spans="2:7" hidden="1" outlineLevel="1">
      <c r="B58" s="55" t="s">
        <v>51</v>
      </c>
      <c r="C58" s="227">
        <v>0</v>
      </c>
      <c r="D58" s="227">
        <v>0</v>
      </c>
      <c r="E58" s="227">
        <v>0</v>
      </c>
      <c r="F58" s="227">
        <v>0</v>
      </c>
    </row>
    <row r="59" spans="2:7" hidden="1" outlineLevel="2">
      <c r="B59" s="57" t="s">
        <v>52</v>
      </c>
      <c r="C59" s="225">
        <v>261.31400000000002</v>
      </c>
      <c r="D59" s="225">
        <v>38.209000000000003</v>
      </c>
      <c r="E59" s="225">
        <v>72.296000000000006</v>
      </c>
      <c r="F59" s="225">
        <v>121.384</v>
      </c>
      <c r="G59" s="65"/>
    </row>
    <row r="60" spans="2:7" hidden="1" outlineLevel="2">
      <c r="B60" s="57" t="s">
        <v>53</v>
      </c>
      <c r="C60" s="225"/>
      <c r="D60" s="225"/>
      <c r="E60" s="225"/>
      <c r="F60" s="225"/>
    </row>
    <row r="61" spans="2:7" hidden="1" outlineLevel="1">
      <c r="B61" s="51" t="s">
        <v>54</v>
      </c>
      <c r="C61" s="222">
        <f t="shared" ref="C61:F61" si="9">SUM(C59:C60)</f>
        <v>261.31400000000002</v>
      </c>
      <c r="D61" s="222">
        <f t="shared" si="9"/>
        <v>38.209000000000003</v>
      </c>
      <c r="E61" s="222">
        <f t="shared" si="9"/>
        <v>72.296000000000006</v>
      </c>
      <c r="F61" s="222">
        <f t="shared" si="9"/>
        <v>121.384</v>
      </c>
    </row>
    <row r="62" spans="2:7" hidden="1" outlineLevel="2">
      <c r="B62" s="57" t="s">
        <v>55</v>
      </c>
      <c r="C62" s="225">
        <v>-495.553</v>
      </c>
      <c r="D62" s="225">
        <v>-416.67700000000002</v>
      </c>
      <c r="E62" s="225">
        <v>-359.46899999999999</v>
      </c>
      <c r="F62" s="225">
        <v>-268.24700000000001</v>
      </c>
      <c r="G62" s="65"/>
    </row>
    <row r="63" spans="2:7" hidden="1" outlineLevel="2">
      <c r="B63" s="57" t="s">
        <v>56</v>
      </c>
      <c r="C63" s="225">
        <v>-203.95500000000001</v>
      </c>
      <c r="D63" s="225">
        <v>-142.22300000000001</v>
      </c>
      <c r="E63" s="225">
        <v>-165.44399999999999</v>
      </c>
      <c r="F63" s="225">
        <v>-543.66300000000001</v>
      </c>
    </row>
    <row r="64" spans="2:7" hidden="1" outlineLevel="2">
      <c r="B64" s="57" t="s">
        <v>57</v>
      </c>
      <c r="C64" s="225"/>
      <c r="D64" s="225"/>
      <c r="E64" s="225"/>
      <c r="F64" s="225"/>
    </row>
    <row r="65" spans="2:6" hidden="1" outlineLevel="2">
      <c r="B65" s="57" t="s">
        <v>58</v>
      </c>
      <c r="C65" s="225"/>
      <c r="D65" s="225"/>
      <c r="E65" s="225"/>
      <c r="F65" s="225"/>
    </row>
    <row r="66" spans="2:6" hidden="1" outlineLevel="2">
      <c r="B66" s="57" t="s">
        <v>59</v>
      </c>
      <c r="C66" s="225"/>
      <c r="D66" s="225"/>
      <c r="E66" s="225"/>
      <c r="F66" s="225"/>
    </row>
    <row r="67" spans="2:6" hidden="1" outlineLevel="1">
      <c r="B67" s="51" t="s">
        <v>60</v>
      </c>
      <c r="C67" s="222">
        <f t="shared" ref="C67:D67" si="10">SUM(C62:C66)</f>
        <v>-699.50800000000004</v>
      </c>
      <c r="D67" s="222">
        <f t="shared" si="10"/>
        <v>-558.90000000000009</v>
      </c>
      <c r="E67" s="222">
        <f>SUM(E62:E66)</f>
        <v>-524.91300000000001</v>
      </c>
      <c r="F67" s="222">
        <f>SUM(F62:F66)</f>
        <v>-811.91000000000008</v>
      </c>
    </row>
    <row r="68" spans="2:6" hidden="1" outlineLevel="1">
      <c r="B68" s="55" t="s">
        <v>61</v>
      </c>
      <c r="C68" s="223">
        <f t="shared" ref="C68:D68" si="11">SUM(C61,C67)</f>
        <v>-438.19400000000002</v>
      </c>
      <c r="D68" s="223">
        <f t="shared" si="11"/>
        <v>-520.69100000000003</v>
      </c>
      <c r="E68" s="223">
        <f>SUM(E61,E67)</f>
        <v>-452.61700000000002</v>
      </c>
      <c r="F68" s="223">
        <f>SUM(F61,F67)</f>
        <v>-690.52600000000007</v>
      </c>
    </row>
    <row r="69" spans="2:6" ht="15.75" hidden="1" outlineLevel="1" thickBot="1">
      <c r="B69" s="56" t="s">
        <v>62</v>
      </c>
      <c r="C69" s="226">
        <f>SUM(C48,C57,C58,C68)</f>
        <v>164.65199999999987</v>
      </c>
      <c r="D69" s="226">
        <f t="shared" ref="D69" si="12">SUM(D48,D57,D58,D68)</f>
        <v>186.90499999999997</v>
      </c>
      <c r="E69" s="226">
        <f>SUM(E48,E57,E58,E68)</f>
        <v>266.709</v>
      </c>
      <c r="F69" s="226">
        <f>SUM(F48,F57,F58,F68)</f>
        <v>357.75</v>
      </c>
    </row>
    <row r="70" spans="2:6" collapsed="1">
      <c r="B70" s="51" t="s">
        <v>63</v>
      </c>
      <c r="C70" s="222">
        <v>10</v>
      </c>
      <c r="D70" s="222">
        <v>10</v>
      </c>
      <c r="E70" s="222">
        <v>10</v>
      </c>
      <c r="F70" s="222">
        <v>10</v>
      </c>
    </row>
    <row r="71" spans="2:6">
      <c r="B71" s="51" t="s">
        <v>64</v>
      </c>
      <c r="C71" s="222">
        <v>0</v>
      </c>
      <c r="D71" s="222">
        <v>0</v>
      </c>
      <c r="E71" s="222">
        <v>0</v>
      </c>
      <c r="F71" s="222">
        <v>0</v>
      </c>
    </row>
    <row r="72" spans="2:6">
      <c r="B72" s="51" t="s">
        <v>65</v>
      </c>
      <c r="C72" s="222">
        <f>(1000+57770)/1000</f>
        <v>58.77</v>
      </c>
      <c r="D72" s="222">
        <f>(1000+89776)/1000</f>
        <v>90.775999999999996</v>
      </c>
      <c r="E72" s="222">
        <f>(1000+116791)/1000</f>
        <v>117.791</v>
      </c>
      <c r="F72" s="222">
        <f>(1000+201352)/1000</f>
        <v>202.352</v>
      </c>
    </row>
    <row r="73" spans="2:6">
      <c r="B73" s="51" t="s">
        <v>66</v>
      </c>
      <c r="C73" s="222">
        <v>32.006</v>
      </c>
      <c r="D73" s="222">
        <v>27.015000000000001</v>
      </c>
      <c r="E73" s="222">
        <v>84.561000000000007</v>
      </c>
      <c r="F73" s="222">
        <v>77.795000000000002</v>
      </c>
    </row>
    <row r="74" spans="2:6">
      <c r="B74" s="51" t="s">
        <v>160</v>
      </c>
      <c r="C74" s="222">
        <v>63.875999999999998</v>
      </c>
      <c r="D74" s="222">
        <v>59.113999999999997</v>
      </c>
      <c r="E74" s="222">
        <v>54.353000000000002</v>
      </c>
      <c r="F74" s="222">
        <v>67.603999999999999</v>
      </c>
    </row>
    <row r="75" spans="2:6" ht="15.75" thickBot="1">
      <c r="B75" s="56" t="s">
        <v>67</v>
      </c>
      <c r="C75" s="226">
        <f t="shared" ref="C75:F75" si="13">SUM(C70:C74)</f>
        <v>164.65200000000002</v>
      </c>
      <c r="D75" s="226">
        <f t="shared" si="13"/>
        <v>186.905</v>
      </c>
      <c r="E75" s="226">
        <f t="shared" si="13"/>
        <v>266.70499999999998</v>
      </c>
      <c r="F75" s="226">
        <f t="shared" si="13"/>
        <v>357.75099999999998</v>
      </c>
    </row>
    <row r="76" spans="2:6">
      <c r="B76" s="13" t="s">
        <v>68</v>
      </c>
      <c r="C76" s="234"/>
      <c r="D76" s="234"/>
      <c r="E76" s="234"/>
      <c r="F76" s="234"/>
    </row>
    <row r="77" spans="2:6" hidden="1" outlineLevel="1">
      <c r="B77" s="15" t="s">
        <v>42</v>
      </c>
      <c r="C77" s="228">
        <f>(C$49/(C$8/365))</f>
        <v>114.88810140901627</v>
      </c>
      <c r="D77" s="228">
        <f>(D$49/(D$8/365))</f>
        <v>136.20496958278716</v>
      </c>
      <c r="E77" s="228">
        <f>(E$49/(E$8/365))</f>
        <v>119.21567008202322</v>
      </c>
      <c r="F77" s="228">
        <f>(F$49/(F$8/365))</f>
        <v>118.45526425566402</v>
      </c>
    </row>
    <row r="78" spans="2:6" hidden="1" outlineLevel="1">
      <c r="B78" s="15" t="s">
        <v>69</v>
      </c>
      <c r="C78" s="228">
        <f>(C$50/(C$8/365))</f>
        <v>72.989185992842891</v>
      </c>
      <c r="D78" s="228">
        <f>(D$50/(D$8/365))</f>
        <v>60.249135115776888</v>
      </c>
      <c r="E78" s="228">
        <f>(E$50/(E$8/365))</f>
        <v>64.971648936359813</v>
      </c>
      <c r="F78" s="228">
        <f>(F$50/(F$8/365))</f>
        <v>51.257457194181491</v>
      </c>
    </row>
    <row r="79" spans="2:6" hidden="1" outlineLevel="1">
      <c r="B79" s="15" t="s">
        <v>70</v>
      </c>
      <c r="C79" s="228">
        <f>(C$51/(C$8/365))</f>
        <v>-72.84395655788181</v>
      </c>
      <c r="D79" s="228">
        <f>(D$51/(D$8/365))</f>
        <v>-59.692187498153224</v>
      </c>
      <c r="E79" s="228">
        <f>(E$51/(E$8/365))</f>
        <v>-112.98596943170732</v>
      </c>
      <c r="F79" s="228">
        <f>(F$51/(F$8/365))</f>
        <v>-53.888257241462291</v>
      </c>
    </row>
    <row r="80" spans="2:6" hidden="1" outlineLevel="1">
      <c r="B80" s="24" t="s">
        <v>71</v>
      </c>
      <c r="C80" s="228">
        <f>(C$52/(C$8/365))</f>
        <v>115.03333084397732</v>
      </c>
      <c r="D80" s="228">
        <f>(D$52/(D$8/365))</f>
        <v>136.76191720041086</v>
      </c>
      <c r="E80" s="228">
        <f>(E$52/(E$8/365))</f>
        <v>71.201349586675732</v>
      </c>
      <c r="F80" s="228">
        <f>(F$52/(F$8/365))</f>
        <v>115.82446420838323</v>
      </c>
    </row>
    <row r="81" spans="2:6" hidden="1" outlineLevel="1">
      <c r="B81" s="25" t="s">
        <v>50</v>
      </c>
      <c r="C81" s="229">
        <f>(C$57/(C$8/365))</f>
        <v>111.31411672957387</v>
      </c>
      <c r="D81" s="229">
        <f>(D$57/(D$8/365))</f>
        <v>132.87148062742077</v>
      </c>
      <c r="E81" s="229">
        <f>(E$57/(E$8/365))</f>
        <v>61.692859120404108</v>
      </c>
      <c r="F81" s="229">
        <f>(F$57/(F$8/365))</f>
        <v>110.09602189334151</v>
      </c>
    </row>
    <row r="82" spans="2:6" collapsed="1">
      <c r="B82" s="25" t="s">
        <v>72</v>
      </c>
      <c r="C82" s="229">
        <f t="shared" ref="C82:F82" si="14">SUM(C48,C49,C50,C53,C61)</f>
        <v>1052.94</v>
      </c>
      <c r="D82" s="229">
        <f t="shared" si="14"/>
        <v>901.97</v>
      </c>
      <c r="E82" s="229">
        <f t="shared" si="14"/>
        <v>1360.8579999999999</v>
      </c>
      <c r="F82" s="229">
        <f t="shared" si="14"/>
        <v>1484.9109999999998</v>
      </c>
    </row>
    <row r="83" spans="2:6">
      <c r="B83" s="28" t="s">
        <v>73</v>
      </c>
      <c r="C83" s="29">
        <f>IFERROR(C68/C75,"na ")</f>
        <v>-2.6613342079051572</v>
      </c>
      <c r="D83" s="29">
        <f>IFERROR(D68/D75,"na ")</f>
        <v>-2.7858591262941066</v>
      </c>
      <c r="E83" s="29">
        <f>IFERROR(E68/E75,"na ")</f>
        <v>-1.697069796216794</v>
      </c>
      <c r="F83" s="29">
        <f>IFERROR(F68/F75,"na ")</f>
        <v>-1.9301860791444332</v>
      </c>
    </row>
    <row r="84" spans="2:6">
      <c r="B84" s="17" t="s">
        <v>74</v>
      </c>
      <c r="C84" s="30">
        <f>C67/C22</f>
        <v>-10.261078757829564</v>
      </c>
      <c r="D84" s="30">
        <f>D67/D22</f>
        <v>-7.6661408682532075</v>
      </c>
      <c r="E84" s="30">
        <f>E67/E22</f>
        <v>-3.7880983481153758</v>
      </c>
      <c r="F84" s="30">
        <f>F67/F22</f>
        <v>-5.4104969945755688</v>
      </c>
    </row>
    <row r="85" spans="2:6">
      <c r="B85" s="51"/>
      <c r="C85" s="52"/>
      <c r="D85" s="52"/>
      <c r="E85" s="52"/>
      <c r="F85" s="52"/>
    </row>
    <row r="86" spans="2:6">
      <c r="B86" s="19" t="s">
        <v>75</v>
      </c>
      <c r="C86" s="20">
        <f>C69-C75</f>
        <v>0</v>
      </c>
      <c r="D86" s="20">
        <f>D69-D75</f>
        <v>0</v>
      </c>
      <c r="E86" s="20">
        <f t="shared" ref="E86:F86" si="15">E69-E75</f>
        <v>4.0000000000190994E-3</v>
      </c>
      <c r="F86" s="20">
        <f t="shared" si="15"/>
        <v>-9.9999999997635314E-4</v>
      </c>
    </row>
    <row r="89" spans="2:6">
      <c r="B89" s="1" t="s">
        <v>76</v>
      </c>
      <c r="C89" s="2"/>
      <c r="D89" s="2"/>
      <c r="E89" s="2"/>
      <c r="F89" s="2" t="str">
        <f>F42</f>
        <v>BSB</v>
      </c>
    </row>
    <row r="90" spans="2:6">
      <c r="B90" s="53" t="s">
        <v>2</v>
      </c>
      <c r="C90" s="64">
        <f t="shared" ref="C90:F90" si="16">C43</f>
        <v>44074</v>
      </c>
      <c r="D90" s="64">
        <f t="shared" si="16"/>
        <v>44439</v>
      </c>
      <c r="E90" s="64">
        <f t="shared" si="16"/>
        <v>44804</v>
      </c>
      <c r="F90" s="64">
        <f t="shared" si="16"/>
        <v>45169</v>
      </c>
    </row>
    <row r="91" spans="2:6">
      <c r="B91" s="61" t="s">
        <v>77</v>
      </c>
      <c r="C91" s="236"/>
      <c r="D91" s="236">
        <f>D33</f>
        <v>27.016000000000002</v>
      </c>
      <c r="E91" s="236">
        <f>E33</f>
        <v>84.563000000000116</v>
      </c>
      <c r="F91" s="236">
        <f>F33</f>
        <v>77.796000000000191</v>
      </c>
    </row>
    <row r="92" spans="2:6">
      <c r="B92" s="62" t="s">
        <v>78</v>
      </c>
      <c r="C92" s="237"/>
      <c r="D92" s="237">
        <f>-D26</f>
        <v>39.456000000000003</v>
      </c>
      <c r="E92" s="237">
        <f>-E26</f>
        <v>37.637</v>
      </c>
      <c r="F92" s="237">
        <f>-F26</f>
        <v>39.944000000000003</v>
      </c>
    </row>
    <row r="93" spans="2:6">
      <c r="B93" s="62" t="s">
        <v>79</v>
      </c>
      <c r="C93" s="237"/>
      <c r="D93" s="237"/>
      <c r="E93" s="237"/>
      <c r="F93" s="237"/>
    </row>
    <row r="94" spans="2:6">
      <c r="B94" s="62" t="s">
        <v>80</v>
      </c>
      <c r="C94" s="237"/>
      <c r="D94" s="237">
        <f>D57-C57</f>
        <v>58.892000000000138</v>
      </c>
      <c r="E94" s="237">
        <f>E57-D57</f>
        <v>-23.500999999999976</v>
      </c>
      <c r="F94" s="237">
        <f>F57-E57</f>
        <v>284.56699999999995</v>
      </c>
    </row>
    <row r="95" spans="2:6">
      <c r="B95" s="63" t="s">
        <v>81</v>
      </c>
      <c r="C95" s="238"/>
      <c r="D95" s="238">
        <f>SUM(D91:D93)-D94</f>
        <v>7.5799999999998704</v>
      </c>
      <c r="E95" s="238">
        <f>SUM(E91:E93)-E94</f>
        <v>145.70100000000008</v>
      </c>
      <c r="F95" s="238">
        <f>SUM(F91:F93)-F94</f>
        <v>-166.82699999999977</v>
      </c>
    </row>
    <row r="96" spans="2:6">
      <c r="B96" s="62" t="s">
        <v>82</v>
      </c>
      <c r="C96" s="239"/>
      <c r="D96" s="239">
        <f>C48-D48+D26</f>
        <v>-85.314000000000007</v>
      </c>
      <c r="E96" s="239">
        <f>D48-E48+E26</f>
        <v>-72.867999999999995</v>
      </c>
      <c r="F96" s="239">
        <f>E48-F48+F26</f>
        <v>-84.326999999999984</v>
      </c>
    </row>
    <row r="97" spans="2:6">
      <c r="B97" s="63" t="s">
        <v>83</v>
      </c>
      <c r="C97" s="240"/>
      <c r="D97" s="240">
        <f>D96</f>
        <v>-85.314000000000007</v>
      </c>
      <c r="E97" s="240">
        <f>E96</f>
        <v>-72.867999999999995</v>
      </c>
      <c r="F97" s="240">
        <f>F96</f>
        <v>-84.326999999999984</v>
      </c>
    </row>
    <row r="98" spans="2:6">
      <c r="B98" s="62" t="s">
        <v>84</v>
      </c>
      <c r="C98" s="239"/>
      <c r="D98" s="239">
        <f>D70-C70</f>
        <v>0</v>
      </c>
      <c r="E98" s="239">
        <f t="shared" ref="E98:F98" si="17">E70-D70</f>
        <v>0</v>
      </c>
      <c r="F98" s="239">
        <f t="shared" si="17"/>
        <v>0</v>
      </c>
    </row>
    <row r="99" spans="2:6">
      <c r="B99" s="62" t="s">
        <v>85</v>
      </c>
      <c r="C99" s="239"/>
      <c r="D99" s="239"/>
      <c r="E99" s="239">
        <f>-D72-D73+E72</f>
        <v>0</v>
      </c>
      <c r="F99" s="239">
        <f>-E72-E73+F72</f>
        <v>0</v>
      </c>
    </row>
    <row r="100" spans="2:6">
      <c r="B100" s="62" t="s">
        <v>86</v>
      </c>
      <c r="C100" s="239"/>
      <c r="D100" s="239">
        <f>C65-D65</f>
        <v>0</v>
      </c>
      <c r="E100" s="239">
        <f>D65-E65</f>
        <v>0</v>
      </c>
      <c r="F100" s="239">
        <f>E65-F65</f>
        <v>0</v>
      </c>
    </row>
    <row r="101" spans="2:6">
      <c r="B101" s="62" t="s">
        <v>87</v>
      </c>
      <c r="C101" s="239"/>
      <c r="D101" s="239">
        <f>C62-D62+C63-D63</f>
        <v>-140.608</v>
      </c>
      <c r="E101" s="239">
        <f>D62-E62+D63-E63</f>
        <v>-33.987000000000052</v>
      </c>
      <c r="F101" s="239">
        <f>E62-F62+E63-F63</f>
        <v>286.99700000000007</v>
      </c>
    </row>
    <row r="102" spans="2:6">
      <c r="B102" s="62" t="s">
        <v>88</v>
      </c>
      <c r="C102" s="239"/>
      <c r="D102" s="239"/>
      <c r="E102" s="239"/>
      <c r="F102" s="239"/>
    </row>
    <row r="103" spans="2:6">
      <c r="B103" s="62" t="s">
        <v>89</v>
      </c>
      <c r="C103" s="239"/>
      <c r="D103" s="239"/>
      <c r="E103" s="239"/>
      <c r="F103" s="239"/>
    </row>
    <row r="104" spans="2:6">
      <c r="B104" s="63" t="s">
        <v>90</v>
      </c>
      <c r="C104" s="238"/>
      <c r="D104" s="238">
        <f>SUM(D98:D103)</f>
        <v>-140.608</v>
      </c>
      <c r="E104" s="238">
        <f>SUM(E98:E103)</f>
        <v>-33.987000000000052</v>
      </c>
      <c r="F104" s="238">
        <f>SUM(F98:F103)</f>
        <v>286.99700000000007</v>
      </c>
    </row>
    <row r="105" spans="2:6">
      <c r="B105" s="62" t="s">
        <v>91</v>
      </c>
      <c r="C105" s="239"/>
      <c r="D105" s="239">
        <f>D74-C74</f>
        <v>-4.7620000000000005</v>
      </c>
      <c r="E105" s="239">
        <f>E74-D74</f>
        <v>-4.7609999999999957</v>
      </c>
      <c r="F105" s="239">
        <v>13</v>
      </c>
    </row>
    <row r="106" spans="2:6" ht="15.75" thickBot="1">
      <c r="B106" s="56" t="s">
        <v>92</v>
      </c>
      <c r="C106" s="241"/>
      <c r="D106" s="241">
        <f>D97+D104+D105+D95</f>
        <v>-223.10400000000016</v>
      </c>
      <c r="E106" s="241">
        <f>E97+E104+E105+E95</f>
        <v>34.085000000000036</v>
      </c>
      <c r="F106" s="241">
        <f>F97+F104+F105+F95</f>
        <v>48.843000000000302</v>
      </c>
    </row>
    <row r="107" spans="2:6">
      <c r="B107" s="31" t="s">
        <v>93</v>
      </c>
      <c r="C107" s="242"/>
      <c r="D107" s="242">
        <f t="shared" ref="D107" si="18">C108</f>
        <v>261.31400000000002</v>
      </c>
      <c r="E107" s="242">
        <f>D108</f>
        <v>38.209999999999866</v>
      </c>
      <c r="F107" s="242">
        <f>E108</f>
        <v>72.294999999999902</v>
      </c>
    </row>
    <row r="108" spans="2:6">
      <c r="B108" s="31" t="s">
        <v>94</v>
      </c>
      <c r="C108" s="242">
        <f>C59</f>
        <v>261.31400000000002</v>
      </c>
      <c r="D108" s="242">
        <f t="shared" ref="D108" si="19">SUM(D106:D107)</f>
        <v>38.209999999999866</v>
      </c>
      <c r="E108" s="242">
        <f>SUM(E106:E107)</f>
        <v>72.294999999999902</v>
      </c>
      <c r="F108" s="242">
        <f>SUM(F106:F107)</f>
        <v>121.1380000000002</v>
      </c>
    </row>
    <row r="110" spans="2:6">
      <c r="C110" s="230"/>
      <c r="D110" s="230"/>
      <c r="E110" s="230"/>
      <c r="F110" s="230"/>
    </row>
  </sheetData>
  <conditionalFormatting sqref="C86:F86">
    <cfRule type="cellIs" dxfId="164" priority="1" operator="equal">
      <formula>0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1FEEA-AC2B-C949-92A5-0C541335A91C}">
  <sheetPr codeName="Feuil39">
    <tabColor theme="9" tint="0.79998168889431442"/>
  </sheetPr>
  <dimension ref="A2:XFD70"/>
  <sheetViews>
    <sheetView showGridLines="0" zoomScaleNormal="100" workbookViewId="0">
      <pane xSplit="2" ySplit="4" topLeftCell="C20" activePane="bottomRight" state="frozen"/>
      <selection pane="topRight" activeCell="C1" sqref="C1"/>
      <selection pane="bottomLeft" activeCell="A3" sqref="A3"/>
      <selection pane="bottomRight" activeCell="Q30" sqref="Q30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44074</v>
      </c>
      <c r="D3" s="244">
        <v>44439</v>
      </c>
      <c r="E3" s="244">
        <v>44804</v>
      </c>
      <c r="F3" s="244">
        <v>45169</v>
      </c>
      <c r="G3" s="244"/>
      <c r="H3" s="248">
        <v>45535</v>
      </c>
      <c r="I3" s="248">
        <v>45900</v>
      </c>
      <c r="J3" s="248">
        <v>46265</v>
      </c>
      <c r="K3" s="248">
        <v>46630</v>
      </c>
      <c r="L3" s="248">
        <v>46996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0</v>
      </c>
      <c r="D8" s="128">
        <f t="shared" si="0"/>
        <v>0</v>
      </c>
      <c r="E8" s="128">
        <f t="shared" si="0"/>
        <v>0</v>
      </c>
      <c r="F8" s="128">
        <f>SUM(F9:F11)</f>
        <v>0</v>
      </c>
      <c r="G8" s="128"/>
      <c r="H8" s="128">
        <f t="shared" ref="H8:L8" si="1">SUM(H9:H11)</f>
        <v>0</v>
      </c>
      <c r="I8" s="128">
        <f t="shared" si="1"/>
        <v>0</v>
      </c>
      <c r="J8" s="128">
        <f t="shared" si="1"/>
        <v>1829688</v>
      </c>
      <c r="K8" s="128">
        <f t="shared" si="1"/>
        <v>1524740</v>
      </c>
      <c r="L8" s="128">
        <f t="shared" si="1"/>
        <v>1219792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/>
      <c r="E10" s="132"/>
      <c r="F10" s="132"/>
      <c r="G10" s="132"/>
      <c r="H10" s="132"/>
      <c r="I10" s="132"/>
      <c r="J10" s="132">
        <f>Investissement!D30+'Profilyss - P&amp;L (2)'!I132</f>
        <v>1829688</v>
      </c>
      <c r="K10" s="132">
        <f>J10+'Profilyss - P&amp;L (2)'!J132</f>
        <v>1524740</v>
      </c>
      <c r="L10" s="132">
        <f>K10+'Profilyss - P&amp;L (2)'!K132</f>
        <v>1219792</v>
      </c>
      <c r="M10" s="188"/>
      <c r="N10" s="188"/>
      <c r="O10" s="188"/>
    </row>
    <row r="11" spans="2:15">
      <c r="B11" s="131" t="s">
        <v>197</v>
      </c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0</v>
      </c>
      <c r="D13" s="128">
        <f t="shared" si="2"/>
        <v>0</v>
      </c>
      <c r="E13" s="128">
        <f t="shared" si="2"/>
        <v>0</v>
      </c>
      <c r="F13" s="128">
        <f>SUM(F14:F16,F17:F19)</f>
        <v>0</v>
      </c>
      <c r="G13" s="128"/>
      <c r="H13" s="128">
        <f>SUM(H14:H20)</f>
        <v>0</v>
      </c>
      <c r="I13" s="128">
        <f>SUM(I14:I20)</f>
        <v>50000</v>
      </c>
      <c r="J13" s="128">
        <f>SUM(J14:J20)</f>
        <v>925523.12278031465</v>
      </c>
      <c r="K13" s="128">
        <f>SUM(K14:K20)</f>
        <v>837552.98026649561</v>
      </c>
      <c r="L13" s="128">
        <f>SUM(L14:L20)</f>
        <v>1306088.9711340754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>
        <f>'Profilyss - P&amp;L (2)'!I39/3</f>
        <v>233333.33333333334</v>
      </c>
      <c r="K14" s="132">
        <f>'Profilyss - P&amp;L (2)'!J39/3</f>
        <v>333333.33333333337</v>
      </c>
      <c r="L14" s="132">
        <f>'Profilyss - P&amp;L (2)'!K39/3</f>
        <v>466666.66666666669</v>
      </c>
      <c r="M14" s="132"/>
      <c r="N14" s="299" t="s">
        <v>839</v>
      </c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/>
      <c r="E16" s="132"/>
      <c r="F16" s="132"/>
      <c r="G16" s="132"/>
      <c r="H16" s="132"/>
      <c r="I16" s="132"/>
      <c r="J16" s="132">
        <f>'Profilyss - P&amp;L (2)'!I24*1.2*45/365</f>
        <v>212301.36986301371</v>
      </c>
      <c r="K16" s="132">
        <f>'Profilyss - P&amp;L (2)'!J24*1.2*45/365</f>
        <v>318082.19178082194</v>
      </c>
      <c r="L16" s="132">
        <f>'Profilyss - P&amp;L (2)'!K24*1.2*45/365</f>
        <v>466027.39726027398</v>
      </c>
      <c r="M16" s="136"/>
      <c r="N16" s="299" t="s">
        <v>840</v>
      </c>
      <c r="O16" s="136"/>
    </row>
    <row r="17" spans="2:15 16384:16384">
      <c r="B17" s="131" t="s">
        <v>202</v>
      </c>
      <c r="C17" s="132"/>
      <c r="D17" s="132"/>
      <c r="E17" s="132"/>
      <c r="F17" s="132"/>
      <c r="G17" s="132"/>
      <c r="H17" s="132"/>
      <c r="I17" s="132"/>
      <c r="J17" s="132">
        <v>20000</v>
      </c>
      <c r="K17" s="132">
        <v>20000</v>
      </c>
      <c r="L17" s="132">
        <v>20000</v>
      </c>
      <c r="M17" s="136"/>
      <c r="N17" s="136"/>
      <c r="O17" s="136"/>
    </row>
    <row r="18" spans="2:15 16384:16384">
      <c r="B18" s="131" t="s">
        <v>203</v>
      </c>
      <c r="C18" s="132"/>
      <c r="D18" s="132"/>
      <c r="E18" s="132"/>
      <c r="F18" s="132"/>
      <c r="G18" s="132"/>
      <c r="H18" s="132"/>
      <c r="I18" s="132">
        <v>50000</v>
      </c>
      <c r="J18" s="132">
        <f>'Profilyss - CF (2)'!J64</f>
        <v>459888.41958396754</v>
      </c>
      <c r="K18" s="132">
        <f>'Profilyss - CF (2)'!K64</f>
        <v>166137.45515234029</v>
      </c>
      <c r="L18" s="132">
        <f>'Profilyss - CF (2)'!L64</f>
        <v>353394.90720713488</v>
      </c>
      <c r="M18" s="136"/>
      <c r="N18" s="136"/>
      <c r="O18" s="136"/>
    </row>
    <row r="19" spans="2:15 16384:16384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 16384:16384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 16384:16384">
      <c r="B21" s="130" t="s">
        <v>188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5 16384:16384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 16384:16384">
      <c r="B23" s="139" t="s">
        <v>205</v>
      </c>
      <c r="C23" s="140">
        <f>+C6+C8+C13+C21</f>
        <v>0</v>
      </c>
      <c r="D23" s="140">
        <f t="shared" ref="D23:L23" si="3">+D6+D8+D13+D21</f>
        <v>0</v>
      </c>
      <c r="E23" s="140">
        <f t="shared" si="3"/>
        <v>0</v>
      </c>
      <c r="F23" s="140">
        <f t="shared" si="3"/>
        <v>0</v>
      </c>
      <c r="G23" s="271"/>
      <c r="H23" s="140">
        <f t="shared" si="3"/>
        <v>0</v>
      </c>
      <c r="I23" s="140">
        <f t="shared" si="3"/>
        <v>50000</v>
      </c>
      <c r="J23" s="140">
        <f t="shared" si="3"/>
        <v>2755211.1227803146</v>
      </c>
      <c r="K23" s="140">
        <f t="shared" si="3"/>
        <v>2362292.9802664956</v>
      </c>
      <c r="L23" s="140">
        <f t="shared" si="3"/>
        <v>2525880.9711340754</v>
      </c>
    </row>
    <row r="24" spans="2:15 16384:16384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 16384:16384">
      <c r="B25" s="130" t="s">
        <v>111</v>
      </c>
      <c r="C25" s="128">
        <f t="shared" ref="C25:E25" si="4">SUM(C26:C31)</f>
        <v>0</v>
      </c>
      <c r="D25" s="128">
        <f t="shared" si="4"/>
        <v>0</v>
      </c>
      <c r="E25" s="128">
        <f t="shared" si="4"/>
        <v>0</v>
      </c>
      <c r="F25" s="128">
        <f t="shared" ref="F25:L25" si="5">SUM(F26:F31)</f>
        <v>0</v>
      </c>
      <c r="G25" s="128"/>
      <c r="H25" s="128">
        <f t="shared" si="5"/>
        <v>0</v>
      </c>
      <c r="I25" s="128">
        <f t="shared" si="5"/>
        <v>50000</v>
      </c>
      <c r="J25" s="128">
        <f t="shared" si="5"/>
        <v>94673.629629629664</v>
      </c>
      <c r="K25" s="128">
        <f t="shared" si="5"/>
        <v>-80692.458089668769</v>
      </c>
      <c r="L25" s="128">
        <f t="shared" si="5"/>
        <v>276471.8752436646</v>
      </c>
    </row>
    <row r="26" spans="2:15 16384:16384">
      <c r="B26" s="131" t="s">
        <v>206</v>
      </c>
      <c r="C26" s="132"/>
      <c r="D26" s="132"/>
      <c r="E26" s="132"/>
      <c r="F26" s="132"/>
      <c r="G26" s="132"/>
      <c r="H26" s="132"/>
      <c r="I26" s="132">
        <v>50000</v>
      </c>
      <c r="J26" s="132">
        <v>50000</v>
      </c>
      <c r="K26" s="132">
        <v>50000</v>
      </c>
      <c r="L26" s="132">
        <v>50000</v>
      </c>
    </row>
    <row r="27" spans="2:15 16384:16384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 16384:16384">
      <c r="B28" s="131" t="s">
        <v>65</v>
      </c>
      <c r="C28" s="132"/>
      <c r="D28" s="132"/>
      <c r="E28" s="132"/>
      <c r="F28" s="132"/>
      <c r="G28" s="132"/>
      <c r="H28" s="132"/>
      <c r="I28" s="132"/>
      <c r="J28" s="132">
        <f>I28+I29</f>
        <v>0</v>
      </c>
      <c r="K28" s="132">
        <f>J28+J29</f>
        <v>-469612.08465608465</v>
      </c>
      <c r="L28" s="132">
        <f>K28+K29</f>
        <v>-559263.88666109741</v>
      </c>
      <c r="N28" s="134"/>
      <c r="O28" s="134"/>
      <c r="XFD28" s="132"/>
    </row>
    <row r="29" spans="2:15 16384:16384">
      <c r="B29" s="131" t="s">
        <v>32</v>
      </c>
      <c r="C29" s="132"/>
      <c r="D29" s="132"/>
      <c r="E29" s="132"/>
      <c r="F29" s="132"/>
      <c r="G29" s="132"/>
      <c r="H29" s="132"/>
      <c r="I29" s="132"/>
      <c r="J29" s="132">
        <f>'Profilyss - P&amp;L (2)'!I150</f>
        <v>-469612.08465608465</v>
      </c>
      <c r="K29" s="132">
        <f>'Profilyss - P&amp;L (2)'!J150</f>
        <v>-89651.802005012723</v>
      </c>
      <c r="L29" s="132">
        <f>'Profilyss - P&amp;L (2)'!K150</f>
        <v>442878.61904761905</v>
      </c>
      <c r="N29" s="134"/>
    </row>
    <row r="30" spans="2:15 16384:16384">
      <c r="B30" s="131" t="s">
        <v>208</v>
      </c>
      <c r="C30" s="132"/>
      <c r="D30" s="132"/>
      <c r="E30" s="132"/>
      <c r="F30" s="132"/>
      <c r="G30" s="132"/>
      <c r="H30" s="132"/>
      <c r="I30" s="132"/>
      <c r="J30" s="132">
        <f>'E-R'!G155*1000-'Profilyss - P&amp;L (2)'!I145</f>
        <v>514285.71428571432</v>
      </c>
      <c r="K30" s="132">
        <f>J30-'Profilyss - P&amp;L (2)'!J145</f>
        <v>428571.42857142864</v>
      </c>
      <c r="L30" s="132">
        <f>K30-'Profilyss - P&amp;L (2)'!K145</f>
        <v>342857.14285714296</v>
      </c>
    </row>
    <row r="31" spans="2:15 16384:16384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 16384:16384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6">SUM(C34:C36)</f>
        <v>0</v>
      </c>
      <c r="D33" s="128">
        <f t="shared" si="6"/>
        <v>0</v>
      </c>
      <c r="E33" s="128">
        <f t="shared" si="6"/>
        <v>0</v>
      </c>
      <c r="F33" s="128">
        <f t="shared" si="6"/>
        <v>0</v>
      </c>
      <c r="G33" s="128"/>
      <c r="H33" s="128">
        <f t="shared" si="6"/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  <c r="L33" s="128">
        <f t="shared" si="6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>+C38+C42</f>
        <v>0</v>
      </c>
      <c r="D37" s="185">
        <f>+D38+D42</f>
        <v>0</v>
      </c>
      <c r="E37" s="185">
        <f>+E38+E42</f>
        <v>0</v>
      </c>
      <c r="F37" s="185">
        <f>+F38+F42</f>
        <v>0</v>
      </c>
      <c r="G37" s="185"/>
      <c r="H37" s="185">
        <f>+H38+H42</f>
        <v>0</v>
      </c>
      <c r="I37" s="185">
        <f>+I38+I42</f>
        <v>0</v>
      </c>
      <c r="J37" s="185">
        <f>+J38+J42</f>
        <v>2520469</v>
      </c>
      <c r="K37" s="185">
        <f>+K38+K42</f>
        <v>2282369</v>
      </c>
      <c r="L37" s="185">
        <f>+L38+L42</f>
        <v>2035368</v>
      </c>
      <c r="M37" s="190"/>
      <c r="N37" s="190"/>
      <c r="O37" s="190"/>
    </row>
    <row r="38" spans="2:17">
      <c r="B38" s="131" t="s">
        <v>213</v>
      </c>
      <c r="C38" s="132"/>
      <c r="D38" s="132"/>
      <c r="E38" s="132"/>
      <c r="F38" s="132"/>
      <c r="G38" s="132"/>
      <c r="H38" s="132"/>
      <c r="I38" s="132"/>
      <c r="J38" s="132">
        <f>SUM(J39:J41)</f>
        <v>1520469</v>
      </c>
      <c r="K38" s="132">
        <f>SUM(K39:K41)</f>
        <v>1282369</v>
      </c>
      <c r="L38" s="132">
        <f>SUM(L39:L41)</f>
        <v>1035368</v>
      </c>
      <c r="M38" s="189"/>
      <c r="N38" s="189"/>
      <c r="O38" s="189"/>
      <c r="Q38" s="134"/>
    </row>
    <row r="39" spans="2:17" s="192" customFormat="1" ht="12.75" hidden="1" outlineLevel="1">
      <c r="B39" s="147" t="s">
        <v>834</v>
      </c>
      <c r="C39" s="133"/>
      <c r="D39" s="133"/>
      <c r="E39" s="133"/>
      <c r="F39" s="133"/>
      <c r="G39" s="133"/>
      <c r="H39" s="133"/>
      <c r="I39" s="133"/>
      <c r="J39" s="133">
        <v>1438261</v>
      </c>
      <c r="K39" s="133">
        <v>1218993</v>
      </c>
      <c r="L39" s="216">
        <v>991925</v>
      </c>
      <c r="M39" s="216"/>
      <c r="N39" s="216"/>
      <c r="P39" s="217"/>
    </row>
    <row r="40" spans="2:17" s="192" customFormat="1" ht="12.75" hidden="1" outlineLevel="1">
      <c r="B40" s="147" t="s">
        <v>835</v>
      </c>
      <c r="C40" s="133"/>
      <c r="D40" s="133"/>
      <c r="E40" s="133"/>
      <c r="F40" s="133"/>
      <c r="G40" s="133"/>
      <c r="H40" s="133"/>
      <c r="I40" s="133"/>
      <c r="J40" s="133">
        <v>82208</v>
      </c>
      <c r="K40" s="133">
        <v>63376</v>
      </c>
      <c r="L40" s="216">
        <v>43443</v>
      </c>
      <c r="M40" s="216"/>
      <c r="N40" s="216"/>
      <c r="P40" s="217"/>
    </row>
    <row r="41" spans="2:17" s="192" customFormat="1" ht="12.75" hidden="1" outlineLevel="1">
      <c r="B41" s="147"/>
      <c r="C41" s="133"/>
      <c r="D41" s="133"/>
      <c r="E41" s="133"/>
      <c r="F41" s="133"/>
      <c r="G41" s="133"/>
      <c r="H41" s="133"/>
      <c r="I41" s="133"/>
      <c r="J41" s="133"/>
      <c r="K41" s="133"/>
      <c r="L41" s="216"/>
      <c r="M41" s="216"/>
      <c r="N41" s="216"/>
      <c r="P41" s="217"/>
    </row>
    <row r="42" spans="2:17" collapsed="1">
      <c r="B42" s="131" t="s">
        <v>214</v>
      </c>
      <c r="C42" s="132"/>
      <c r="D42" s="132"/>
      <c r="E42" s="132"/>
      <c r="F42" s="132"/>
      <c r="G42" s="132"/>
      <c r="H42" s="132">
        <f>SUM(H43:H43)</f>
        <v>0</v>
      </c>
      <c r="I42" s="132">
        <f>SUM(I43:I43)</f>
        <v>0</v>
      </c>
      <c r="J42" s="132">
        <f>'E-R'!G152*1000</f>
        <v>1000000</v>
      </c>
      <c r="K42" s="132">
        <f>J42</f>
        <v>1000000</v>
      </c>
      <c r="L42" s="132">
        <f>K42</f>
        <v>1000000</v>
      </c>
      <c r="M42" s="189"/>
      <c r="N42" s="189"/>
      <c r="O42" s="189"/>
    </row>
    <row r="43" spans="2:17">
      <c r="B43" s="147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211"/>
    </row>
    <row r="44" spans="2:17">
      <c r="B44" s="130" t="s">
        <v>215</v>
      </c>
      <c r="C44" s="128">
        <f t="shared" ref="C44:L44" si="7">SUM(C45:C51)</f>
        <v>0</v>
      </c>
      <c r="D44" s="128">
        <f t="shared" si="7"/>
        <v>0</v>
      </c>
      <c r="E44" s="128">
        <f t="shared" si="7"/>
        <v>0</v>
      </c>
      <c r="F44" s="128">
        <f t="shared" si="7"/>
        <v>0</v>
      </c>
      <c r="G44" s="128"/>
      <c r="H44" s="128">
        <f t="shared" si="7"/>
        <v>0</v>
      </c>
      <c r="I44" s="128">
        <f t="shared" si="7"/>
        <v>0</v>
      </c>
      <c r="J44" s="128">
        <f t="shared" si="7"/>
        <v>140068.49315068492</v>
      </c>
      <c r="K44" s="128">
        <f t="shared" si="7"/>
        <v>160616.43835616441</v>
      </c>
      <c r="L44" s="128">
        <f t="shared" si="7"/>
        <v>214041.09589041097</v>
      </c>
      <c r="M44" s="187"/>
      <c r="N44" s="187"/>
      <c r="O44" s="187"/>
    </row>
    <row r="45" spans="2:17">
      <c r="B45" s="131" t="s">
        <v>216</v>
      </c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4"/>
      <c r="N45" s="134"/>
      <c r="O45" s="134"/>
    </row>
    <row r="46" spans="2:17">
      <c r="B46" s="131" t="s">
        <v>44</v>
      </c>
      <c r="C46" s="132"/>
      <c r="D46" s="132"/>
      <c r="E46" s="132"/>
      <c r="F46" s="132"/>
      <c r="G46" s="132"/>
      <c r="H46" s="132"/>
      <c r="I46" s="132"/>
      <c r="J46" s="132">
        <f>-'Profilyss - P&amp;L (2)'!I33*45/365</f>
        <v>115068.49315068492</v>
      </c>
      <c r="K46" s="132">
        <f>-'Profilyss - P&amp;L (2)'!J33*45/365</f>
        <v>135616.43835616441</v>
      </c>
      <c r="L46" s="132">
        <f>-'Profilyss - P&amp;L (2)'!K33*45/365</f>
        <v>189041.09589041097</v>
      </c>
      <c r="M46" s="134"/>
      <c r="N46" s="300" t="s">
        <v>840</v>
      </c>
      <c r="O46" s="134"/>
    </row>
    <row r="47" spans="2:17">
      <c r="B47" s="131" t="s">
        <v>217</v>
      </c>
      <c r="C47" s="132"/>
      <c r="D47" s="132"/>
      <c r="E47" s="132"/>
      <c r="F47" s="132"/>
      <c r="G47" s="132"/>
      <c r="H47" s="132"/>
      <c r="I47" s="132"/>
      <c r="J47" s="132">
        <v>25000</v>
      </c>
      <c r="K47" s="132">
        <v>25000</v>
      </c>
      <c r="L47" s="132">
        <v>25000</v>
      </c>
      <c r="M47" s="134"/>
      <c r="N47" s="134"/>
      <c r="O47" s="134"/>
    </row>
    <row r="48" spans="2:17">
      <c r="B48" s="131" t="s">
        <v>222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4"/>
      <c r="N48" s="134"/>
      <c r="O48" s="134"/>
    </row>
    <row r="49" spans="1:42">
      <c r="B49" s="131" t="s">
        <v>218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4"/>
      <c r="N49" s="134"/>
      <c r="O49" s="134"/>
    </row>
    <row r="50" spans="1:42">
      <c r="B50" s="131" t="s">
        <v>219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4"/>
      <c r="N50" s="134"/>
      <c r="O50" s="134"/>
    </row>
    <row r="51" spans="1:42">
      <c r="B51" s="131"/>
      <c r="C51" s="135"/>
      <c r="D51" s="135"/>
      <c r="E51" s="135"/>
      <c r="F51" s="135"/>
      <c r="G51" s="135"/>
      <c r="H51" s="135"/>
      <c r="I51" s="135"/>
      <c r="J51" s="135"/>
      <c r="K51" s="135"/>
      <c r="L51" s="135"/>
    </row>
    <row r="52" spans="1:42">
      <c r="B52" s="130" t="s">
        <v>188</v>
      </c>
      <c r="C52" s="132"/>
      <c r="D52" s="135"/>
      <c r="E52" s="132"/>
      <c r="F52" s="132"/>
      <c r="G52" s="132"/>
      <c r="H52" s="132"/>
      <c r="I52" s="132"/>
      <c r="J52" s="132"/>
      <c r="K52" s="132"/>
      <c r="L52" s="132"/>
    </row>
    <row r="53" spans="1:42">
      <c r="B53" s="130"/>
      <c r="C53" s="135"/>
      <c r="D53" s="135"/>
      <c r="E53" s="135"/>
      <c r="F53" s="135"/>
      <c r="G53" s="135"/>
      <c r="H53" s="135"/>
      <c r="I53" s="135"/>
      <c r="J53" s="135"/>
      <c r="K53" s="135"/>
      <c r="L53" s="135"/>
    </row>
    <row r="54" spans="1:42">
      <c r="B54" s="139" t="s">
        <v>220</v>
      </c>
      <c r="C54" s="140">
        <f>+C25+C33+C37+C44+C52</f>
        <v>0</v>
      </c>
      <c r="D54" s="140">
        <f>+D25+D33+D37+D44+D52</f>
        <v>0</v>
      </c>
      <c r="E54" s="140">
        <f>+E25+E33+E37+E44+E52</f>
        <v>0</v>
      </c>
      <c r="F54" s="140">
        <f>+F25+F33+F37+F44+F52</f>
        <v>0</v>
      </c>
      <c r="G54" s="271"/>
      <c r="H54" s="140">
        <f>+H25+H33+H37+H44+H52</f>
        <v>0</v>
      </c>
      <c r="I54" s="140">
        <f>+I25+I33+I37+I44+I52</f>
        <v>50000</v>
      </c>
      <c r="J54" s="140">
        <f>+J25+J33+J37+J44+J52</f>
        <v>2755211.1227803146</v>
      </c>
      <c r="K54" s="140">
        <f>+K25+K33+K37+K44+K52</f>
        <v>2362292.9802664956</v>
      </c>
      <c r="L54" s="140">
        <f>+L25+L33+L37+L44+L52</f>
        <v>2525880.9711340759</v>
      </c>
    </row>
    <row r="55" spans="1:42">
      <c r="B55" s="141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42">
      <c r="B56" s="143" t="s">
        <v>221</v>
      </c>
      <c r="C56" s="144" t="str">
        <f>IF(ABS(C54-C23)&lt;2,"Equilibré","Erreur")</f>
        <v>Equilibré</v>
      </c>
      <c r="D56" s="144" t="str">
        <f>IF(ABS(D54-D23)&lt;2,"Equilibré","Erreur")</f>
        <v>Equilibré</v>
      </c>
      <c r="E56" s="144" t="str">
        <f>IF(ABS(E54-E23)&lt;2,"Equilibré","Erreur")</f>
        <v>Equilibré</v>
      </c>
      <c r="F56" s="144" t="str">
        <f>IF(ABS(F54-F23)&lt;2,"Equilibré","Erreur")</f>
        <v>Equilibré</v>
      </c>
      <c r="G56" s="252"/>
      <c r="H56" s="144" t="str">
        <f>IF(ABS(H54-H23)&lt;2,"Equilibré","Erreur")</f>
        <v>Equilibré</v>
      </c>
      <c r="I56" s="144" t="str">
        <f>IF(ABS(I54-I23)&lt;2,"Equilibré","Erreur")</f>
        <v>Equilibré</v>
      </c>
      <c r="J56" s="144" t="str">
        <f>IF(ABS(J54-J23)&lt;2,"Equilibré","Erreur")</f>
        <v>Equilibré</v>
      </c>
      <c r="K56" s="144" t="str">
        <f>IF(ABS(K54-K23)&lt;2,"Equilibré","Erreur")</f>
        <v>Equilibré</v>
      </c>
      <c r="L56" s="144" t="str">
        <f>IF(ABS(L54-L23)&lt;2,"Equilibré","Erreur")</f>
        <v>Equilibré</v>
      </c>
    </row>
    <row r="58" spans="1:42" s="32" customFormat="1">
      <c r="A58" s="83"/>
      <c r="B58" s="13" t="s">
        <v>68</v>
      </c>
      <c r="C58" s="14"/>
      <c r="D58" s="14"/>
      <c r="E58" s="14"/>
      <c r="F58" s="14"/>
      <c r="G58" s="52"/>
      <c r="H58" s="14"/>
      <c r="I58" s="14"/>
      <c r="J58" s="14"/>
      <c r="K58" s="14"/>
      <c r="L58" s="14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</row>
    <row r="59" spans="1:42" s="32" customFormat="1">
      <c r="A59" s="83"/>
      <c r="B59" s="15" t="s">
        <v>42</v>
      </c>
      <c r="C59" s="23">
        <f>C14/('Probois 43 - P&amp;L'!C33/365)</f>
        <v>0</v>
      </c>
      <c r="D59" s="23">
        <f>D14/('Probois 43 - P&amp;L'!D33/365)</f>
        <v>0</v>
      </c>
      <c r="E59" s="23">
        <f>E14/('Probois 43 - P&amp;L'!E33/365)</f>
        <v>0</v>
      </c>
      <c r="F59" s="23">
        <f>F14/('Probois 43 - P&amp;L'!F33/365)</f>
        <v>0</v>
      </c>
      <c r="G59" s="272"/>
      <c r="H59" s="23"/>
      <c r="I59" s="23">
        <f>I14/('Probois 43 - P&amp;L'!I33/365)</f>
        <v>0</v>
      </c>
      <c r="J59" s="23">
        <f>J14/('Profilyss - P&amp;L (2)'!I24/365)</f>
        <v>59.349593495934961</v>
      </c>
      <c r="K59" s="23">
        <f>K14/('Profilyss - P&amp;L (2)'!J24/365)</f>
        <v>56.589147286821706</v>
      </c>
      <c r="L59" s="23">
        <f>L14/('Profilyss - P&amp;L (2)'!K24/365)</f>
        <v>54.074074074074076</v>
      </c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</row>
    <row r="60" spans="1:42" s="32" customFormat="1">
      <c r="A60" s="83"/>
      <c r="B60" s="15" t="s">
        <v>69</v>
      </c>
      <c r="C60" s="23">
        <f>C16/('Probois 43 - P&amp;L'!C33/365)</f>
        <v>0</v>
      </c>
      <c r="D60" s="23">
        <f>D16/('Probois 43 - P&amp;L'!D33/365)</f>
        <v>0</v>
      </c>
      <c r="E60" s="23">
        <f>E16/('Probois 43 - P&amp;L'!E33/365)</f>
        <v>0</v>
      </c>
      <c r="F60" s="23">
        <f>F16/('Probois 43 - P&amp;L'!F33/365)</f>
        <v>0</v>
      </c>
      <c r="G60" s="272"/>
      <c r="H60" s="23"/>
      <c r="I60" s="23">
        <f>I16/('Probois 43 - P&amp;L'!I33/365)</f>
        <v>0</v>
      </c>
      <c r="J60" s="23">
        <f>J16/('Profilyss - P&amp;L (2)'!I24/365)</f>
        <v>54.000000000000007</v>
      </c>
      <c r="K60" s="23">
        <f>K16/('Profilyss - P&amp;L (2)'!J24/365)</f>
        <v>54</v>
      </c>
      <c r="L60" s="23">
        <f>L16/('Profilyss - P&amp;L (2)'!K24/365)</f>
        <v>54</v>
      </c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</row>
    <row r="61" spans="1:42" s="32" customFormat="1">
      <c r="A61" s="83"/>
      <c r="B61" s="15" t="s">
        <v>70</v>
      </c>
      <c r="C61" s="23">
        <f>C46/('Probois 43 - P&amp;L'!C33/365)</f>
        <v>0</v>
      </c>
      <c r="D61" s="23">
        <f>D46/('Probois 43 - P&amp;L'!D33/365)</f>
        <v>0</v>
      </c>
      <c r="E61" s="23">
        <f>E46/('Probois 43 - P&amp;L'!E33/365)</f>
        <v>0</v>
      </c>
      <c r="F61" s="23">
        <f>F46/('Probois 43 - P&amp;L'!F33/365)</f>
        <v>0</v>
      </c>
      <c r="G61" s="272"/>
      <c r="H61" s="23"/>
      <c r="I61" s="23">
        <f>I46/('Probois 43 - P&amp;L'!I33/365)</f>
        <v>0</v>
      </c>
      <c r="J61" s="23">
        <f>J46/('Profilyss - P&amp;L (2)'!I24/365)</f>
        <v>29.268292682926827</v>
      </c>
      <c r="K61" s="23">
        <f>K46/('Profilyss - P&amp;L (2)'!J24/365)</f>
        <v>23.02325581395349</v>
      </c>
      <c r="L61" s="23">
        <f>L46/('Profilyss - P&amp;L (2)'!K24/365)</f>
        <v>21.904761904761905</v>
      </c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 s="168" customFormat="1">
      <c r="B62" s="24" t="s">
        <v>71</v>
      </c>
      <c r="C62" s="310">
        <f>(C14+C16-C46)/('Probois 43 - P&amp;L'!C33/365)</f>
        <v>0</v>
      </c>
      <c r="D62" s="310">
        <f>(D14+D16-D46)/('Probois 43 - P&amp;L'!D33/365)</f>
        <v>0</v>
      </c>
      <c r="E62" s="310">
        <f>(E14+E16-E46)/('Probois 43 - P&amp;L'!E33/365)</f>
        <v>0</v>
      </c>
      <c r="F62" s="310">
        <f>(F14+F16-F46)/('Probois 43 - P&amp;L'!F33/365)</f>
        <v>0</v>
      </c>
      <c r="G62" s="280"/>
      <c r="H62" s="310"/>
      <c r="I62" s="310">
        <f>(I14+I16-I46)/('Probois 43 - P&amp;L'!I33/365)</f>
        <v>0</v>
      </c>
      <c r="J62" s="310">
        <f>(J14+J16-J46)/('Profilyss - P&amp;L (2)'!I24/365)</f>
        <v>84.081300813008141</v>
      </c>
      <c r="K62" s="310">
        <f>(K14+K16-K46)/('Profilyss - P&amp;L (2)'!J24/365)</f>
        <v>87.56589147286823</v>
      </c>
      <c r="L62" s="310">
        <f>(L14+L16-L46)/('Profilyss - P&amp;L (2)'!K24/365)</f>
        <v>86.169312169312178</v>
      </c>
    </row>
    <row r="63" spans="1:42">
      <c r="B63" s="25" t="s">
        <v>50</v>
      </c>
      <c r="C63" s="26">
        <f>(SUM(C14:C17,C19)-SUM(C45:C50))/('Probois 43 - P&amp;L'!C33/365)</f>
        <v>0</v>
      </c>
      <c r="D63" s="26">
        <f>(SUM(D14:D17,D19)-SUM(D45:D50))/('Probois 43 - P&amp;L'!D33/365)</f>
        <v>0</v>
      </c>
      <c r="E63" s="26">
        <f>(SUM(E14:E17,E19)-SUM(E45:E50))/('Probois 43 - P&amp;L'!E33/365)</f>
        <v>0</v>
      </c>
      <c r="F63" s="26">
        <f>(SUM(F14:F17,F19)-SUM(F45:F50))/('Probois 43 - P&amp;L'!F33/365)</f>
        <v>0</v>
      </c>
      <c r="G63" s="280"/>
      <c r="H63" s="26"/>
      <c r="I63" s="26">
        <f>(SUM(I14:I17,I19)-SUM(I45:I50))/('Probois 43 - P&amp;L'!I33/365)</f>
        <v>0</v>
      </c>
      <c r="J63" s="26">
        <f>(SUM(J14:J17,J19)-SUM(J45:J50))/('Profilyss - P&amp;L (2)'!I24/365)</f>
        <v>82.809523809523824</v>
      </c>
      <c r="K63" s="26">
        <f>(SUM(K14:K17,K19)-SUM(K45:K50))/('Profilyss - P&amp;L (2)'!J24/365)</f>
        <v>86.717054263565913</v>
      </c>
      <c r="L63" s="26">
        <f>(SUM(L14:L17,L19)-SUM(L45:L50))/('Profilyss - P&amp;L (2)'!K24/365)</f>
        <v>85.589947089947103</v>
      </c>
    </row>
    <row r="64" spans="1:42">
      <c r="B64" s="25" t="s">
        <v>72</v>
      </c>
      <c r="C64" s="27">
        <f>C23</f>
        <v>0</v>
      </c>
      <c r="D64" s="27">
        <f>D23</f>
        <v>0</v>
      </c>
      <c r="E64" s="27">
        <f>E23</f>
        <v>0</v>
      </c>
      <c r="F64" s="27">
        <f>F23</f>
        <v>0</v>
      </c>
      <c r="G64" s="281"/>
      <c r="H64" s="27"/>
      <c r="I64" s="27">
        <f>I23</f>
        <v>50000</v>
      </c>
      <c r="J64" s="27">
        <f>J23</f>
        <v>2755211.1227803146</v>
      </c>
      <c r="K64" s="27">
        <f>K23</f>
        <v>2362292.9802664956</v>
      </c>
      <c r="L64" s="27">
        <f>L23</f>
        <v>2525880.9711340754</v>
      </c>
    </row>
    <row r="65" spans="2:12">
      <c r="B65" s="28" t="s">
        <v>73</v>
      </c>
      <c r="C65" s="29" t="e">
        <f>(C37-C18)/C25</f>
        <v>#DIV/0!</v>
      </c>
      <c r="D65" s="29" t="e">
        <f>(D37-D18)/D25</f>
        <v>#DIV/0!</v>
      </c>
      <c r="E65" s="29" t="e">
        <f>(E37-E18)/E25</f>
        <v>#DIV/0!</v>
      </c>
      <c r="F65" s="29" t="e">
        <f>(F37-F18)/F25</f>
        <v>#DIV/0!</v>
      </c>
      <c r="G65" s="282"/>
      <c r="H65" s="29"/>
      <c r="I65" s="29">
        <f>(I37-I18)/I25</f>
        <v>-1</v>
      </c>
      <c r="J65" s="29">
        <f>(J37-J18)/J25</f>
        <v>21.765095396439097</v>
      </c>
      <c r="K65" s="29">
        <f>(K37-K18)/K25</f>
        <v>-26.225890187853945</v>
      </c>
      <c r="L65" s="29">
        <f>(L37-L18)/L25</f>
        <v>6.0837041428191627</v>
      </c>
    </row>
    <row r="66" spans="2:12">
      <c r="B66" s="17" t="s">
        <v>74</v>
      </c>
      <c r="C66" s="30">
        <f>(C37-C18)/'Probois 43 - P&amp;L'!C218</f>
        <v>0</v>
      </c>
      <c r="D66" s="30">
        <f>(D37-D18)/'Probois 43 - P&amp;L'!D218</f>
        <v>0</v>
      </c>
      <c r="E66" s="30">
        <f>(E37-E18)/'Probois 43 - P&amp;L'!E218</f>
        <v>0</v>
      </c>
      <c r="F66" s="30">
        <f>(F37-F18)/'Probois 43 - P&amp;L'!F218</f>
        <v>0</v>
      </c>
      <c r="G66" s="282"/>
      <c r="H66" s="30"/>
      <c r="I66" s="30">
        <f>(I37-I18)/'Probois 43 - P&amp;L'!I218</f>
        <v>-0.24904863421728995</v>
      </c>
      <c r="J66" s="30">
        <f>(J37-J18)/'Profilyss - P&amp;L (2)'!I128</f>
        <v>-11.664013338603839</v>
      </c>
      <c r="K66" s="30">
        <f>(K37-K18)/'Profilyss - P&amp;L (2)'!J128</f>
        <v>10.867521687151635</v>
      </c>
      <c r="L66" s="30">
        <f>(L37-L18)/'Profilyss - P&amp;L (2)'!K128</f>
        <v>2.341409117618293</v>
      </c>
    </row>
    <row r="68" spans="2:12">
      <c r="I68" s="146"/>
    </row>
    <row r="69" spans="2:12">
      <c r="C69" s="146"/>
      <c r="D69" s="146"/>
      <c r="E69" s="146"/>
      <c r="F69" s="146"/>
      <c r="G69" s="146"/>
    </row>
    <row r="70" spans="2:12">
      <c r="D70" s="146"/>
      <c r="E70" s="146"/>
      <c r="F70" s="146"/>
      <c r="G70" s="146"/>
    </row>
  </sheetData>
  <mergeCells count="1">
    <mergeCell ref="B2:B4"/>
  </mergeCells>
  <conditionalFormatting sqref="C56:L56">
    <cfRule type="containsText" dxfId="67" priority="1" operator="containsText" text="Equilibré">
      <formula>NOT(ISERROR(SEARCH("Equilibré",C56)))</formula>
    </cfRule>
    <cfRule type="containsText" dxfId="66" priority="2" operator="containsText" text="Erreur">
      <formula>NOT(ISERROR(SEARCH("Erreur",C56)))</formula>
    </cfRule>
    <cfRule type="containsText" dxfId="65" priority="3" operator="containsText" text="Validé">
      <formula>NOT(ISERROR(SEARCH("Validé",C56)))</formula>
    </cfRule>
    <cfRule type="containsText" dxfId="64" priority="4" operator="containsText" text="Erreur">
      <formula>NOT(ISERROR(SEARCH("Erreur",C56)))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1111-CF01-F849-AFFB-F6020E851C1F}">
  <sheetPr codeName="Feuil46">
    <tabColor rgb="FF006C4C"/>
  </sheetPr>
  <dimension ref="A1:AQ176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5" sqref="A5"/>
      <selection pane="bottomRight" activeCell="N61" sqref="N61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84"/>
      <c r="L2" s="247" t="s">
        <v>667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246"/>
      <c r="H3" s="181" t="s">
        <v>260</v>
      </c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44196</v>
      </c>
      <c r="D4" s="54">
        <v>44561</v>
      </c>
      <c r="E4" s="54">
        <v>44926</v>
      </c>
      <c r="F4" s="54">
        <v>45291</v>
      </c>
      <c r="G4" s="54"/>
      <c r="H4" s="250">
        <v>45657</v>
      </c>
      <c r="I4" s="250">
        <v>46022</v>
      </c>
      <c r="J4" s="250">
        <v>46387</v>
      </c>
      <c r="K4" s="250">
        <v>46752</v>
      </c>
      <c r="L4" s="250">
        <v>47118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>
      <c r="A8" s="83"/>
      <c r="B8" s="83" t="s">
        <v>166</v>
      </c>
      <c r="C8" s="88">
        <f t="shared" ref="C8:E8" si="0">SUM(C9:C14)</f>
        <v>0</v>
      </c>
      <c r="D8" s="88">
        <f t="shared" si="0"/>
        <v>0</v>
      </c>
      <c r="E8" s="88">
        <f t="shared" si="0"/>
        <v>0</v>
      </c>
      <c r="F8" s="88">
        <f>SUM(F9:F14)</f>
        <v>90000</v>
      </c>
      <c r="G8" s="88"/>
      <c r="H8" s="88">
        <v>211000</v>
      </c>
      <c r="I8" s="88">
        <v>216000</v>
      </c>
      <c r="J8" s="88">
        <v>216000</v>
      </c>
      <c r="K8" s="88">
        <v>216000</v>
      </c>
      <c r="L8" s="88">
        <v>216000</v>
      </c>
      <c r="M8" s="83"/>
      <c r="N8" s="314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2">
      <c r="A9" s="83"/>
      <c r="B9" s="106" t="s">
        <v>668</v>
      </c>
      <c r="C9" s="95"/>
      <c r="D9" s="95"/>
      <c r="E9" s="95"/>
      <c r="F9" s="95">
        <v>13000</v>
      </c>
      <c r="G9" s="95"/>
      <c r="H9" s="95"/>
      <c r="I9" s="95"/>
      <c r="J9" s="95"/>
      <c r="K9" s="95"/>
      <c r="L9" s="95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2">
      <c r="A10" s="83"/>
      <c r="B10" s="106" t="s">
        <v>669</v>
      </c>
      <c r="C10" s="95"/>
      <c r="D10" s="95"/>
      <c r="E10" s="95"/>
      <c r="F10" s="95">
        <v>36400</v>
      </c>
      <c r="G10" s="95"/>
      <c r="H10" s="95"/>
      <c r="I10" s="95"/>
      <c r="J10" s="95"/>
      <c r="K10" s="95"/>
      <c r="L10" s="95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2">
      <c r="A11" s="83"/>
      <c r="B11" s="243" t="s">
        <v>670</v>
      </c>
      <c r="C11" s="95"/>
      <c r="D11" s="95"/>
      <c r="E11" s="95"/>
      <c r="F11" s="95">
        <v>18400</v>
      </c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outlineLevel="2">
      <c r="A12" s="83"/>
      <c r="B12" s="243" t="s">
        <v>671</v>
      </c>
      <c r="C12" s="95"/>
      <c r="D12" s="95"/>
      <c r="E12" s="95"/>
      <c r="F12" s="95">
        <v>18200</v>
      </c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outlineLevel="2">
      <c r="A13" s="83"/>
      <c r="B13" s="106" t="s">
        <v>672</v>
      </c>
      <c r="C13" s="95"/>
      <c r="D13" s="95"/>
      <c r="E13" s="95"/>
      <c r="F13" s="95">
        <v>4000</v>
      </c>
      <c r="G13" s="95"/>
      <c r="H13" s="95"/>
      <c r="I13" s="95"/>
      <c r="J13" s="95"/>
      <c r="K13" s="95"/>
      <c r="L13" s="95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 outlineLevel="2">
      <c r="A14" s="83"/>
      <c r="B14" s="106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>
      <c r="A15" s="83"/>
      <c r="B15" s="98" t="s">
        <v>7</v>
      </c>
      <c r="C15" s="99">
        <f>C6+C8+C7</f>
        <v>0</v>
      </c>
      <c r="D15" s="99">
        <f>D6+D8+D7</f>
        <v>0</v>
      </c>
      <c r="E15" s="99">
        <f>E6+E8+E7</f>
        <v>0</v>
      </c>
      <c r="F15" s="99">
        <f>F6+F8+F7</f>
        <v>90000</v>
      </c>
      <c r="G15" s="275"/>
      <c r="H15" s="99">
        <f t="shared" ref="H15:L15" si="1">H6+H8+H7</f>
        <v>211000</v>
      </c>
      <c r="I15" s="99">
        <f t="shared" si="1"/>
        <v>216000</v>
      </c>
      <c r="J15" s="99">
        <f t="shared" si="1"/>
        <v>216000</v>
      </c>
      <c r="K15" s="99">
        <f t="shared" si="1"/>
        <v>216000</v>
      </c>
      <c r="L15" s="99">
        <f t="shared" si="1"/>
        <v>216000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>
      <c r="A16" s="83"/>
      <c r="B16" s="97" t="s">
        <v>8</v>
      </c>
      <c r="C16" s="89">
        <v>0</v>
      </c>
      <c r="D16" s="89">
        <v>0</v>
      </c>
      <c r="E16" s="89">
        <v>0</v>
      </c>
      <c r="F16" s="89">
        <v>0</v>
      </c>
      <c r="G16" s="89"/>
      <c r="H16" s="89"/>
      <c r="I16" s="89"/>
      <c r="J16" s="89"/>
      <c r="K16" s="89"/>
      <c r="L16" s="89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>
      <c r="A17" s="83"/>
      <c r="B17" s="97" t="s">
        <v>9</v>
      </c>
      <c r="C17" s="169">
        <f>'Probois 43'!C10</f>
        <v>0</v>
      </c>
      <c r="D17" s="169">
        <f>'Probois 43'!D10</f>
        <v>0</v>
      </c>
      <c r="E17" s="169">
        <f>'Probois 43'!E10</f>
        <v>0</v>
      </c>
      <c r="F17" s="169">
        <f>'Probois 43'!F10</f>
        <v>0</v>
      </c>
      <c r="G17" s="169"/>
      <c r="H17" s="169"/>
      <c r="I17" s="169"/>
      <c r="J17" s="169"/>
      <c r="K17" s="169"/>
      <c r="L17" s="169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>
      <c r="A18" s="83"/>
      <c r="B18" s="100" t="s">
        <v>14</v>
      </c>
      <c r="C18" s="99">
        <f>C15+C16+C17</f>
        <v>0</v>
      </c>
      <c r="D18" s="99">
        <f>D15+D16+D17</f>
        <v>0</v>
      </c>
      <c r="E18" s="99">
        <f>E15+E16+E17</f>
        <v>0</v>
      </c>
      <c r="F18" s="99">
        <f>F15+F16+F17</f>
        <v>90000</v>
      </c>
      <c r="G18" s="275"/>
      <c r="H18" s="99">
        <f t="shared" ref="H18:L18" si="2">H15+H16+H17</f>
        <v>211000</v>
      </c>
      <c r="I18" s="99">
        <f t="shared" si="2"/>
        <v>216000</v>
      </c>
      <c r="J18" s="99">
        <f t="shared" si="2"/>
        <v>216000</v>
      </c>
      <c r="K18" s="99">
        <f t="shared" si="2"/>
        <v>216000</v>
      </c>
      <c r="L18" s="99">
        <f t="shared" si="2"/>
        <v>216000</v>
      </c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6.5" thickBot="1">
      <c r="A19" s="83"/>
      <c r="B19" s="101" t="s">
        <v>106</v>
      </c>
      <c r="C19" s="102" t="e">
        <f>C18/C18</f>
        <v>#DIV/0!</v>
      </c>
      <c r="D19" s="102" t="e">
        <f t="shared" ref="D19:F19" si="3">D18/D18</f>
        <v>#DIV/0!</v>
      </c>
      <c r="E19" s="102" t="e">
        <f t="shared" si="3"/>
        <v>#DIV/0!</v>
      </c>
      <c r="F19" s="102">
        <f t="shared" si="3"/>
        <v>1</v>
      </c>
      <c r="G19" s="276"/>
      <c r="H19" s="102">
        <f t="shared" ref="H19:L19" si="4">H18/H18</f>
        <v>1</v>
      </c>
      <c r="I19" s="102">
        <f t="shared" si="4"/>
        <v>1</v>
      </c>
      <c r="J19" s="102">
        <f t="shared" si="4"/>
        <v>1</v>
      </c>
      <c r="K19" s="102">
        <f t="shared" si="4"/>
        <v>1</v>
      </c>
      <c r="L19" s="102">
        <f t="shared" si="4"/>
        <v>1</v>
      </c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 collapsed="1">
      <c r="A20" s="83"/>
      <c r="B20" s="103" t="s">
        <v>167</v>
      </c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>
      <c r="A21" s="83"/>
      <c r="B21" s="103" t="s">
        <v>168</v>
      </c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5.75">
      <c r="A22" s="83"/>
      <c r="B22" s="83" t="s">
        <v>190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5.75">
      <c r="A23" s="107"/>
      <c r="B23" s="108" t="s">
        <v>169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8"/>
      <c r="N23" s="108"/>
      <c r="O23" s="109"/>
      <c r="P23" s="109"/>
      <c r="Q23" s="109"/>
      <c r="R23" s="109"/>
      <c r="S23" s="109"/>
      <c r="T23" s="109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</row>
    <row r="24" spans="1:43" ht="15.75">
      <c r="A24" s="83"/>
      <c r="B24" s="100" t="s">
        <v>16</v>
      </c>
      <c r="C24" s="99">
        <f>C18+C20+C21+C22+C23</f>
        <v>0</v>
      </c>
      <c r="D24" s="99">
        <f>D18+D20+D21+D22+D23</f>
        <v>0</v>
      </c>
      <c r="E24" s="99">
        <f>E18+E20+E21+E22+E23</f>
        <v>0</v>
      </c>
      <c r="F24" s="99">
        <f>F18+F20+F21+F22+F23</f>
        <v>90000</v>
      </c>
      <c r="G24" s="275"/>
      <c r="H24" s="99">
        <f t="shared" ref="H24:L24" si="5">H18+H20+H21+H22+H23</f>
        <v>211000</v>
      </c>
      <c r="I24" s="99">
        <f t="shared" si="5"/>
        <v>216000</v>
      </c>
      <c r="J24" s="99">
        <f t="shared" si="5"/>
        <v>216000</v>
      </c>
      <c r="K24" s="99">
        <f t="shared" si="5"/>
        <v>216000</v>
      </c>
      <c r="L24" s="99">
        <f t="shared" si="5"/>
        <v>216000</v>
      </c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</row>
    <row r="25" spans="1:43" ht="16.5" thickBot="1">
      <c r="A25" s="107"/>
      <c r="B25" s="101" t="s">
        <v>106</v>
      </c>
      <c r="C25" s="102" t="e">
        <f>C24/C18</f>
        <v>#DIV/0!</v>
      </c>
      <c r="D25" s="102" t="e">
        <f>D24/D18</f>
        <v>#DIV/0!</v>
      </c>
      <c r="E25" s="102" t="e">
        <f>E24/E18</f>
        <v>#DIV/0!</v>
      </c>
      <c r="F25" s="102">
        <f>F24/F18</f>
        <v>1</v>
      </c>
      <c r="G25" s="276"/>
      <c r="H25" s="102">
        <f t="shared" ref="H25:L25" si="6">H24/H18</f>
        <v>1</v>
      </c>
      <c r="I25" s="102">
        <f t="shared" si="6"/>
        <v>1</v>
      </c>
      <c r="J25" s="102">
        <f t="shared" si="6"/>
        <v>1</v>
      </c>
      <c r="K25" s="102">
        <f t="shared" si="6"/>
        <v>1</v>
      </c>
      <c r="L25" s="102">
        <f t="shared" si="6"/>
        <v>1</v>
      </c>
      <c r="M25" s="108"/>
      <c r="N25" s="108"/>
      <c r="O25" s="109"/>
      <c r="P25" s="109"/>
      <c r="Q25" s="109"/>
      <c r="R25" s="109"/>
      <c r="S25" s="109"/>
      <c r="T25" s="109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</row>
    <row r="26" spans="1:43" ht="15.75">
      <c r="A26" s="107"/>
      <c r="B26" s="108" t="s">
        <v>170</v>
      </c>
      <c r="C26" s="104">
        <f>C28+C29+C30+C31+C32+C33+C38+C39+C46+C50+C51+C49</f>
        <v>-2711</v>
      </c>
      <c r="D26" s="104">
        <f>D28+D29+D30+D31+D32+D33+D38+D39+D46+D50+D51+D49</f>
        <v>-3178</v>
      </c>
      <c r="E26" s="104">
        <f>E28+E29+E30+E31+E32+E33+E38+E39+E46+E50+E51+E49</f>
        <v>-5320</v>
      </c>
      <c r="F26" s="104">
        <f>F28+F29+F30+F31+F32+F33+F38+F39+F46+F50+F51+F49</f>
        <v>-15620</v>
      </c>
      <c r="G26" s="104"/>
      <c r="H26" s="104">
        <v>-25000</v>
      </c>
      <c r="I26" s="104">
        <v>-25000</v>
      </c>
      <c r="J26" s="104">
        <v>-25000</v>
      </c>
      <c r="K26" s="104">
        <v>-25000</v>
      </c>
      <c r="L26" s="104">
        <v>-25000</v>
      </c>
      <c r="M26" s="108"/>
      <c r="N26" s="108"/>
      <c r="O26" s="109"/>
      <c r="P26" s="109"/>
      <c r="Q26" s="109"/>
      <c r="R26" s="109"/>
      <c r="S26" s="109"/>
      <c r="T26" s="109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</row>
    <row r="27" spans="1:43" outlineLevel="1"/>
    <row r="28" spans="1:43" s="92" customFormat="1" ht="12.75" outlineLevel="1">
      <c r="A28" s="90"/>
      <c r="B28" s="105" t="s">
        <v>171</v>
      </c>
      <c r="C28" s="91">
        <v>0</v>
      </c>
      <c r="D28" s="91">
        <v>0</v>
      </c>
      <c r="E28" s="91">
        <v>0</v>
      </c>
      <c r="F28" s="91">
        <v>0</v>
      </c>
      <c r="G28" s="91"/>
      <c r="H28" s="91"/>
      <c r="I28" s="91"/>
      <c r="J28" s="91"/>
      <c r="K28" s="91"/>
      <c r="L28" s="91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</row>
    <row r="29" spans="1:43" s="92" customFormat="1" ht="12.75" outlineLevel="1">
      <c r="A29" s="90"/>
      <c r="B29" s="105" t="s">
        <v>172</v>
      </c>
      <c r="C29" s="91">
        <v>0</v>
      </c>
      <c r="D29" s="91">
        <v>0</v>
      </c>
      <c r="E29" s="91">
        <v>0</v>
      </c>
      <c r="F29" s="91">
        <v>0</v>
      </c>
      <c r="G29" s="91"/>
      <c r="H29" s="91"/>
      <c r="I29" s="91"/>
      <c r="J29" s="91"/>
      <c r="K29" s="91"/>
      <c r="L29" s="91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</row>
    <row r="30" spans="1:43" s="92" customFormat="1" ht="12.75" outlineLevel="1">
      <c r="A30" s="90"/>
      <c r="B30" s="105" t="s">
        <v>173</v>
      </c>
      <c r="C30" s="91">
        <v>0</v>
      </c>
      <c r="D30" s="91">
        <v>0</v>
      </c>
      <c r="E30" s="91">
        <v>0</v>
      </c>
      <c r="F30" s="91">
        <v>0</v>
      </c>
      <c r="G30" s="91"/>
      <c r="H30" s="91"/>
      <c r="I30" s="91"/>
      <c r="J30" s="91"/>
      <c r="K30" s="91"/>
      <c r="L30" s="91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</row>
    <row r="31" spans="1:43" s="92" customFormat="1" ht="12.75" outlineLevel="1">
      <c r="A31" s="90"/>
      <c r="B31" s="105" t="s">
        <v>174</v>
      </c>
      <c r="C31" s="91">
        <v>0</v>
      </c>
      <c r="D31" s="91">
        <v>0</v>
      </c>
      <c r="E31" s="91">
        <v>0</v>
      </c>
      <c r="F31" s="91">
        <v>0</v>
      </c>
      <c r="G31" s="91"/>
      <c r="H31" s="91"/>
      <c r="I31" s="91"/>
      <c r="J31" s="91"/>
      <c r="K31" s="91"/>
      <c r="L31" s="91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</row>
    <row r="32" spans="1:43" s="92" customFormat="1" ht="12.75" outlineLevel="1">
      <c r="A32" s="90"/>
      <c r="B32" s="105" t="s">
        <v>175</v>
      </c>
      <c r="C32" s="91">
        <v>0</v>
      </c>
      <c r="D32" s="91">
        <v>0</v>
      </c>
      <c r="E32" s="91">
        <v>0</v>
      </c>
      <c r="F32" s="91">
        <v>0</v>
      </c>
      <c r="G32" s="91"/>
      <c r="H32" s="91"/>
      <c r="I32" s="91"/>
      <c r="J32" s="91"/>
      <c r="K32" s="91"/>
      <c r="L32" s="91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</row>
    <row r="33" spans="1:43" s="92" customFormat="1" ht="12.75" outlineLevel="1">
      <c r="A33" s="90"/>
      <c r="B33" s="105" t="s">
        <v>176</v>
      </c>
      <c r="C33" s="91">
        <f>SUM(C34:C37)</f>
        <v>0</v>
      </c>
      <c r="D33" s="91">
        <f>SUM(D34:D37)</f>
        <v>0</v>
      </c>
      <c r="E33" s="91">
        <f>SUM(E34:E37)</f>
        <v>-672</v>
      </c>
      <c r="F33" s="91">
        <f>SUM(F34:F37)</f>
        <v>-1948</v>
      </c>
      <c r="G33" s="91"/>
      <c r="H33" s="91"/>
      <c r="I33" s="91"/>
      <c r="J33" s="91"/>
      <c r="K33" s="91"/>
      <c r="L33" s="91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</row>
    <row r="34" spans="1:43" ht="15.75" outlineLevel="2">
      <c r="A34" s="83"/>
      <c r="B34" s="106" t="s">
        <v>674</v>
      </c>
      <c r="C34" s="95"/>
      <c r="D34" s="95"/>
      <c r="E34" s="95"/>
      <c r="F34" s="95">
        <v>-509</v>
      </c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2">
      <c r="A35" s="83"/>
      <c r="B35" s="106" t="s">
        <v>675</v>
      </c>
      <c r="C35" s="95"/>
      <c r="D35" s="95"/>
      <c r="E35" s="95">
        <v>-672</v>
      </c>
      <c r="F35" s="95"/>
      <c r="G35" s="95"/>
      <c r="H35" s="95"/>
      <c r="I35" s="95"/>
      <c r="J35" s="95"/>
      <c r="K35" s="95"/>
      <c r="L35" s="95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2">
      <c r="A36" s="83"/>
      <c r="B36" s="106" t="s">
        <v>676</v>
      </c>
      <c r="C36" s="95"/>
      <c r="D36" s="95"/>
      <c r="E36" s="95"/>
      <c r="F36" s="95">
        <v>-1439</v>
      </c>
      <c r="G36" s="95"/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2">
      <c r="A37" s="83"/>
      <c r="B37" s="106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s="92" customFormat="1" ht="12.75" outlineLevel="1">
      <c r="A38" s="90"/>
      <c r="B38" s="105" t="s">
        <v>177</v>
      </c>
      <c r="C38" s="91">
        <v>0</v>
      </c>
      <c r="D38" s="91">
        <v>0</v>
      </c>
      <c r="E38" s="91">
        <v>0</v>
      </c>
      <c r="F38" s="91">
        <v>0</v>
      </c>
      <c r="G38" s="91"/>
      <c r="H38" s="91"/>
      <c r="I38" s="91"/>
      <c r="J38" s="91"/>
      <c r="K38" s="91"/>
      <c r="L38" s="91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</row>
    <row r="39" spans="1:43" s="92" customFormat="1" ht="12.75" outlineLevel="1">
      <c r="A39" s="90"/>
      <c r="B39" s="105" t="s">
        <v>143</v>
      </c>
      <c r="C39" s="91">
        <f>SUM(C40:C45)</f>
        <v>-1822</v>
      </c>
      <c r="D39" s="91">
        <f>SUM(D40:D45)</f>
        <v>-1850</v>
      </c>
      <c r="E39" s="91">
        <f>SUM(E40:E45)</f>
        <v>-3088</v>
      </c>
      <c r="F39" s="91">
        <f>SUM(F40:F45)</f>
        <v>-11058</v>
      </c>
      <c r="G39" s="91"/>
      <c r="H39" s="91"/>
      <c r="I39" s="91"/>
      <c r="J39" s="91"/>
      <c r="K39" s="91"/>
      <c r="L39" s="91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ht="15.75" outlineLevel="2">
      <c r="A40" s="83"/>
      <c r="B40" s="106" t="s">
        <v>677</v>
      </c>
      <c r="C40" s="95">
        <v>-1822</v>
      </c>
      <c r="D40" s="95">
        <v>-1850</v>
      </c>
      <c r="E40" s="95">
        <v>-1897</v>
      </c>
      <c r="F40" s="95">
        <v>-1636</v>
      </c>
      <c r="G40" s="95"/>
      <c r="H40" s="95"/>
      <c r="I40" s="95"/>
      <c r="J40" s="95"/>
      <c r="K40" s="95"/>
      <c r="L40" s="95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outlineLevel="2">
      <c r="A41" s="83"/>
      <c r="B41" s="106" t="s">
        <v>678</v>
      </c>
      <c r="C41" s="95"/>
      <c r="D41" s="95"/>
      <c r="E41" s="95"/>
      <c r="F41" s="95">
        <v>-1575</v>
      </c>
      <c r="G41" s="95"/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outlineLevel="2">
      <c r="A42" s="83"/>
      <c r="B42" s="106" t="s">
        <v>493</v>
      </c>
      <c r="C42" s="95"/>
      <c r="D42" s="95"/>
      <c r="E42" s="95">
        <v>-192</v>
      </c>
      <c r="F42" s="95">
        <v>-362</v>
      </c>
      <c r="G42" s="95"/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2">
      <c r="A43" s="83"/>
      <c r="B43" s="106" t="s">
        <v>679</v>
      </c>
      <c r="C43" s="95"/>
      <c r="E43" s="95">
        <v>-999</v>
      </c>
      <c r="F43" s="95">
        <v>-3485</v>
      </c>
      <c r="G43" s="95"/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2">
      <c r="A44" s="83"/>
      <c r="B44" s="106" t="s">
        <v>492</v>
      </c>
      <c r="C44" s="95"/>
      <c r="D44" s="95"/>
      <c r="E44" s="95"/>
      <c r="F44" s="95">
        <v>-4000</v>
      </c>
      <c r="G44" s="95"/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 outlineLevel="2">
      <c r="A45" s="83"/>
      <c r="B45" s="106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s="92" customFormat="1" ht="12.75" outlineLevel="1">
      <c r="A46" s="90"/>
      <c r="B46" s="105" t="s">
        <v>178</v>
      </c>
      <c r="C46" s="91">
        <f>SUM(C47:C48)</f>
        <v>0</v>
      </c>
      <c r="D46" s="91">
        <f>SUM(D47:D48)</f>
        <v>0</v>
      </c>
      <c r="E46" s="91">
        <f>SUM(E47:E48)</f>
        <v>0</v>
      </c>
      <c r="F46" s="91">
        <f>SUM(F47:F48)</f>
        <v>-459</v>
      </c>
      <c r="G46" s="91"/>
      <c r="H46" s="91"/>
      <c r="I46" s="91"/>
      <c r="J46" s="91"/>
      <c r="K46" s="91"/>
      <c r="L46" s="91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</row>
    <row r="47" spans="1:43" ht="15.75" outlineLevel="2">
      <c r="A47" s="83"/>
      <c r="B47" s="106" t="s">
        <v>680</v>
      </c>
      <c r="C47" s="95"/>
      <c r="D47" s="95"/>
      <c r="E47" s="95"/>
      <c r="F47" s="95">
        <v>-459</v>
      </c>
      <c r="G47" s="95"/>
      <c r="H47" s="95"/>
      <c r="I47" s="95"/>
      <c r="J47" s="95"/>
      <c r="K47" s="95"/>
      <c r="L47" s="95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outlineLevel="2">
      <c r="A48" s="8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s="92" customFormat="1" ht="12.75" outlineLevel="1">
      <c r="A49" s="90"/>
      <c r="B49" s="105" t="s">
        <v>590</v>
      </c>
      <c r="C49" s="91">
        <v>0</v>
      </c>
      <c r="D49" s="91">
        <v>0</v>
      </c>
      <c r="E49" s="91">
        <v>0</v>
      </c>
      <c r="F49" s="91">
        <v>0</v>
      </c>
      <c r="G49" s="91"/>
      <c r="H49" s="91"/>
      <c r="I49" s="91"/>
      <c r="J49" s="91"/>
      <c r="K49" s="91"/>
      <c r="L49" s="91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</row>
    <row r="50" spans="1:43" s="92" customFormat="1" ht="12.75" outlineLevel="1">
      <c r="A50" s="90"/>
      <c r="B50" s="105" t="s">
        <v>179</v>
      </c>
      <c r="C50" s="91">
        <v>0</v>
      </c>
      <c r="D50" s="91">
        <v>0</v>
      </c>
      <c r="E50" s="91">
        <v>0</v>
      </c>
      <c r="F50" s="91">
        <v>0</v>
      </c>
      <c r="G50" s="91"/>
      <c r="H50" s="91"/>
      <c r="I50" s="91"/>
      <c r="J50" s="91"/>
      <c r="K50" s="91"/>
      <c r="L50" s="91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</row>
    <row r="51" spans="1:43" s="92" customFormat="1" ht="12.75" outlineLevel="1">
      <c r="A51" s="90"/>
      <c r="B51" s="105" t="s">
        <v>180</v>
      </c>
      <c r="C51" s="91">
        <f>SUM(C52:C54)</f>
        <v>-889</v>
      </c>
      <c r="D51" s="91">
        <f>SUM(D52:D54)</f>
        <v>-1328</v>
      </c>
      <c r="E51" s="91">
        <f>SUM(E52:E54)</f>
        <v>-1560</v>
      </c>
      <c r="F51" s="91">
        <f>SUM(F52:F54)</f>
        <v>-2155</v>
      </c>
      <c r="G51" s="91"/>
      <c r="H51" s="91"/>
      <c r="I51" s="91"/>
      <c r="J51" s="91"/>
      <c r="K51" s="91"/>
      <c r="L51" s="91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</row>
    <row r="52" spans="1:43" ht="15.75" outlineLevel="2">
      <c r="A52" s="83"/>
      <c r="B52" s="106" t="s">
        <v>145</v>
      </c>
      <c r="C52" s="95"/>
      <c r="D52" s="95"/>
      <c r="E52" s="95">
        <v>-126</v>
      </c>
      <c r="F52" s="95">
        <v>-6</v>
      </c>
      <c r="G52" s="95"/>
      <c r="H52" s="95"/>
      <c r="I52" s="95"/>
      <c r="J52" s="95"/>
      <c r="K52" s="95"/>
      <c r="L52" s="95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 outlineLevel="2">
      <c r="A53" s="83"/>
      <c r="B53" s="106" t="s">
        <v>681</v>
      </c>
      <c r="C53" s="95">
        <v>-889</v>
      </c>
      <c r="D53" s="95">
        <v>-1328</v>
      </c>
      <c r="E53" s="95">
        <v>-1434</v>
      </c>
      <c r="F53" s="95">
        <v>-2149</v>
      </c>
      <c r="G53" s="95"/>
      <c r="H53" s="95"/>
      <c r="I53" s="95"/>
      <c r="J53" s="95"/>
      <c r="K53" s="95"/>
      <c r="L53" s="95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outlineLevel="1">
      <c r="A54" s="83"/>
      <c r="B54" s="243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>
      <c r="A55" s="83"/>
      <c r="B55" s="100" t="s">
        <v>181</v>
      </c>
      <c r="C55" s="110">
        <f>C24+C26</f>
        <v>-2711</v>
      </c>
      <c r="D55" s="110">
        <f>D24+D26</f>
        <v>-3178</v>
      </c>
      <c r="E55" s="110">
        <f>E24+E26</f>
        <v>-5320</v>
      </c>
      <c r="F55" s="110">
        <f>F24+F26</f>
        <v>74380</v>
      </c>
      <c r="G55" s="277"/>
      <c r="H55" s="110">
        <f t="shared" ref="H55:L55" si="7">H24+H26</f>
        <v>186000</v>
      </c>
      <c r="I55" s="110">
        <f t="shared" si="7"/>
        <v>191000</v>
      </c>
      <c r="J55" s="110">
        <f t="shared" si="7"/>
        <v>191000</v>
      </c>
      <c r="K55" s="110">
        <f t="shared" si="7"/>
        <v>191000</v>
      </c>
      <c r="L55" s="110">
        <f t="shared" si="7"/>
        <v>191000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6.5" thickBot="1">
      <c r="A56" s="83"/>
      <c r="B56" s="101" t="s">
        <v>106</v>
      </c>
      <c r="C56" s="102" t="e">
        <f>C55/C18</f>
        <v>#DIV/0!</v>
      </c>
      <c r="D56" s="102" t="e">
        <f>D55/D18</f>
        <v>#DIV/0!</v>
      </c>
      <c r="E56" s="102" t="e">
        <f>E55/E18</f>
        <v>#DIV/0!</v>
      </c>
      <c r="F56" s="102">
        <f>F55/F18</f>
        <v>0.82644444444444443</v>
      </c>
      <c r="G56" s="276"/>
      <c r="H56" s="102">
        <f t="shared" ref="H56:L56" si="8">H55/H18</f>
        <v>0.88151658767772512</v>
      </c>
      <c r="I56" s="102">
        <f t="shared" si="8"/>
        <v>0.8842592592592593</v>
      </c>
      <c r="J56" s="102">
        <f t="shared" si="8"/>
        <v>0.8842592592592593</v>
      </c>
      <c r="K56" s="102">
        <f t="shared" si="8"/>
        <v>0.8842592592592593</v>
      </c>
      <c r="L56" s="102">
        <f t="shared" si="8"/>
        <v>0.8842592592592593</v>
      </c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>
      <c r="A57" s="107"/>
      <c r="B57" s="83" t="s">
        <v>262</v>
      </c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8"/>
      <c r="N57" s="108"/>
      <c r="O57" s="109"/>
      <c r="P57" s="109"/>
      <c r="Q57" s="109"/>
      <c r="R57" s="109"/>
      <c r="S57" s="109"/>
      <c r="T57" s="109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</row>
    <row r="58" spans="1:43" ht="15.75">
      <c r="A58" s="107"/>
      <c r="B58" s="97" t="s">
        <v>22</v>
      </c>
      <c r="C58" s="104">
        <f>SUM(C59:C60)</f>
        <v>0</v>
      </c>
      <c r="D58" s="104">
        <f>SUM(D59:D60)</f>
        <v>0</v>
      </c>
      <c r="E58" s="104">
        <f>SUM(E59:E60)</f>
        <v>0</v>
      </c>
      <c r="F58" s="104">
        <f>SUM(F59:F60)</f>
        <v>-125</v>
      </c>
      <c r="G58" s="104"/>
      <c r="H58" s="104">
        <v>-30</v>
      </c>
      <c r="I58" s="104">
        <v>-30</v>
      </c>
      <c r="J58" s="104">
        <v>-30</v>
      </c>
      <c r="K58" s="104">
        <v>-30</v>
      </c>
      <c r="L58" s="104">
        <v>-30</v>
      </c>
      <c r="M58" s="108"/>
      <c r="N58" s="108"/>
      <c r="O58" s="109"/>
      <c r="P58" s="109"/>
      <c r="Q58" s="109"/>
      <c r="R58" s="109"/>
      <c r="S58" s="109"/>
      <c r="T58" s="109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</row>
    <row r="59" spans="1:43" ht="15.75" outlineLevel="1">
      <c r="A59" s="83"/>
      <c r="B59" s="106" t="s">
        <v>682</v>
      </c>
      <c r="C59" s="95"/>
      <c r="D59" s="95"/>
      <c r="E59" s="95"/>
      <c r="F59" s="95">
        <v>-125</v>
      </c>
      <c r="G59" s="95"/>
      <c r="H59" s="95"/>
      <c r="I59" s="95"/>
      <c r="J59" s="95"/>
      <c r="K59" s="95"/>
      <c r="L59" s="95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>
      <c r="A61" s="107"/>
      <c r="B61" s="97" t="s">
        <v>21</v>
      </c>
      <c r="C61" s="104">
        <f>C63+C68</f>
        <v>0</v>
      </c>
      <c r="D61" s="104">
        <f>D63+D68</f>
        <v>0</v>
      </c>
      <c r="E61" s="104">
        <f>E63+E68</f>
        <v>0</v>
      </c>
      <c r="F61" s="104">
        <f>F63+F68</f>
        <v>-57589</v>
      </c>
      <c r="G61" s="104"/>
      <c r="H61" s="104">
        <v>-142236</v>
      </c>
      <c r="I61" s="104">
        <f>-142236-(39000+50000)*1.42</f>
        <v>-268616</v>
      </c>
      <c r="J61" s="104">
        <f>I61</f>
        <v>-268616</v>
      </c>
      <c r="K61" s="104">
        <f>J61</f>
        <v>-268616</v>
      </c>
      <c r="L61" s="104">
        <f>K61</f>
        <v>-268616</v>
      </c>
      <c r="M61" s="108"/>
      <c r="N61" s="108" t="s">
        <v>892</v>
      </c>
      <c r="O61" s="109"/>
      <c r="P61" s="109"/>
      <c r="Q61" s="109"/>
      <c r="R61" s="109"/>
      <c r="S61" s="109"/>
      <c r="T61" s="109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</row>
    <row r="62" spans="1:43" s="96" customFormat="1" ht="12.75" outlineLevel="1">
      <c r="A62" s="93"/>
      <c r="B62" s="106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</row>
    <row r="63" spans="1:43" s="92" customFormat="1" ht="12.75" outlineLevel="1">
      <c r="A63" s="90"/>
      <c r="B63" s="105" t="s">
        <v>182</v>
      </c>
      <c r="C63" s="91">
        <f t="shared" ref="C63:E63" si="9">SUM(C64:C67)</f>
        <v>0</v>
      </c>
      <c r="D63" s="91">
        <f t="shared" si="9"/>
        <v>0</v>
      </c>
      <c r="E63" s="91">
        <f t="shared" si="9"/>
        <v>0</v>
      </c>
      <c r="F63" s="91">
        <f>SUM(F64:F67)</f>
        <v>-57589</v>
      </c>
      <c r="G63" s="91"/>
      <c r="H63" s="91"/>
      <c r="I63" s="91"/>
      <c r="J63" s="91"/>
      <c r="K63" s="91"/>
      <c r="L63" s="91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</row>
    <row r="64" spans="1:43" ht="15.75" outlineLevel="2">
      <c r="A64" s="83"/>
      <c r="B64" s="106" t="s">
        <v>695</v>
      </c>
      <c r="C64" s="95"/>
      <c r="D64" s="95"/>
      <c r="E64" s="95"/>
      <c r="F64" s="95">
        <v>-36400</v>
      </c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 outlineLevel="2">
      <c r="A65" s="83"/>
      <c r="B65" s="106" t="s">
        <v>696</v>
      </c>
      <c r="C65" s="95"/>
      <c r="D65" s="95"/>
      <c r="E65" s="95"/>
      <c r="F65" s="95">
        <v>-15388</v>
      </c>
      <c r="G65" s="95"/>
      <c r="H65" s="95"/>
      <c r="I65" s="95"/>
      <c r="J65" s="95"/>
      <c r="K65" s="95"/>
      <c r="L65" s="95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2">
      <c r="A66" s="83"/>
      <c r="B66" s="106" t="s">
        <v>697</v>
      </c>
      <c r="C66" s="95"/>
      <c r="D66" s="95"/>
      <c r="E66" s="95"/>
      <c r="F66" s="95">
        <v>-5801</v>
      </c>
      <c r="G66" s="95"/>
      <c r="H66" s="95"/>
      <c r="I66" s="95"/>
      <c r="J66" s="95"/>
      <c r="K66" s="95"/>
      <c r="L66" s="95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2">
      <c r="A67" s="83"/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s="92" customFormat="1" ht="12.75" outlineLevel="1">
      <c r="A68" s="90"/>
      <c r="B68" s="105" t="s">
        <v>19</v>
      </c>
      <c r="C68" s="91">
        <f>SUM(C69:C69)</f>
        <v>0</v>
      </c>
      <c r="D68" s="91">
        <f>SUM(D69:D69)</f>
        <v>0</v>
      </c>
      <c r="E68" s="91">
        <f>SUM(E69:E69)</f>
        <v>0</v>
      </c>
      <c r="F68" s="91">
        <f>SUM(F69:F69)</f>
        <v>0</v>
      </c>
      <c r="G68" s="91"/>
      <c r="H68" s="91"/>
      <c r="I68" s="91"/>
      <c r="J68" s="91"/>
      <c r="K68" s="91"/>
      <c r="L68" s="91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</row>
    <row r="69" spans="1:43" ht="15.75" outlineLevel="1">
      <c r="A69" s="83"/>
      <c r="B69" s="243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ht="15.75">
      <c r="A70" s="83"/>
      <c r="B70" s="97" t="s">
        <v>20</v>
      </c>
      <c r="C70" s="89">
        <v>0</v>
      </c>
      <c r="D70" s="89">
        <v>0</v>
      </c>
      <c r="E70" s="89">
        <v>0</v>
      </c>
      <c r="F70" s="89">
        <v>0</v>
      </c>
      <c r="G70" s="89"/>
      <c r="H70" s="89"/>
      <c r="I70" s="89"/>
      <c r="J70" s="89"/>
      <c r="K70" s="89"/>
      <c r="L70" s="89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>
      <c r="A71" s="83"/>
      <c r="B71" s="100" t="s">
        <v>24</v>
      </c>
      <c r="C71" s="110">
        <f>C55+C57+C58+C61+C70</f>
        <v>-2711</v>
      </c>
      <c r="D71" s="110">
        <f>D55+D57+D58+D61+D70</f>
        <v>-3178</v>
      </c>
      <c r="E71" s="110">
        <f>E55+E57+E58+E61+E70</f>
        <v>-5320</v>
      </c>
      <c r="F71" s="110">
        <f>F55+F57+F58+F61+F70</f>
        <v>16666</v>
      </c>
      <c r="G71" s="277"/>
      <c r="H71" s="110">
        <f t="shared" ref="H71:L71" si="10">H55+H57+H58+H61+H70</f>
        <v>43734</v>
      </c>
      <c r="I71" s="110">
        <f t="shared" si="10"/>
        <v>-77646</v>
      </c>
      <c r="J71" s="110">
        <f t="shared" si="10"/>
        <v>-77646</v>
      </c>
      <c r="K71" s="110">
        <f t="shared" si="10"/>
        <v>-77646</v>
      </c>
      <c r="L71" s="110">
        <f t="shared" si="10"/>
        <v>-77646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6.5" thickBot="1">
      <c r="A72" s="83"/>
      <c r="B72" s="101" t="s">
        <v>106</v>
      </c>
      <c r="C72" s="102" t="e">
        <f>C71/C18</f>
        <v>#DIV/0!</v>
      </c>
      <c r="D72" s="102" t="e">
        <f>D71/D18</f>
        <v>#DIV/0!</v>
      </c>
      <c r="E72" s="102" t="e">
        <f>E71/E18</f>
        <v>#DIV/0!</v>
      </c>
      <c r="F72" s="102">
        <f>F71/F18</f>
        <v>0.18517777777777777</v>
      </c>
      <c r="G72" s="276"/>
      <c r="H72" s="102">
        <f t="shared" ref="H72:L72" si="11">H71/H18</f>
        <v>0.20727014218009479</v>
      </c>
      <c r="I72" s="102">
        <f t="shared" si="11"/>
        <v>-0.35947222222222225</v>
      </c>
      <c r="J72" s="102">
        <f t="shared" si="11"/>
        <v>-0.35947222222222225</v>
      </c>
      <c r="K72" s="102">
        <f t="shared" si="11"/>
        <v>-0.35947222222222225</v>
      </c>
      <c r="L72" s="102">
        <f t="shared" si="11"/>
        <v>-0.35947222222222225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>
      <c r="A73" s="83"/>
      <c r="B73" s="97" t="s">
        <v>183</v>
      </c>
      <c r="C73" s="89">
        <f>SUM(C74:C75)</f>
        <v>0</v>
      </c>
      <c r="D73" s="89">
        <f>SUM(D74:D75)</f>
        <v>0</v>
      </c>
      <c r="E73" s="89">
        <f>SUM(E74:E75)</f>
        <v>0</v>
      </c>
      <c r="F73" s="89">
        <f>SUM(F74:F75)</f>
        <v>672</v>
      </c>
      <c r="G73" s="89"/>
      <c r="H73" s="89"/>
      <c r="I73" s="89"/>
      <c r="J73" s="89"/>
      <c r="K73" s="89"/>
      <c r="L73" s="89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1">
      <c r="A74" s="83"/>
      <c r="B74" s="106" t="s">
        <v>673</v>
      </c>
      <c r="C74" s="95"/>
      <c r="D74" s="95"/>
      <c r="E74" s="95"/>
      <c r="F74" s="95">
        <v>672</v>
      </c>
      <c r="G74" s="95"/>
      <c r="H74" s="95"/>
      <c r="I74" s="95"/>
      <c r="J74" s="95"/>
      <c r="K74" s="95"/>
      <c r="L74" s="95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1">
      <c r="A75" s="8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>
      <c r="A76" s="83"/>
      <c r="B76" s="97" t="s">
        <v>12</v>
      </c>
      <c r="C76" s="89">
        <f t="shared" ref="C76:F76" si="12">C77</f>
        <v>0</v>
      </c>
      <c r="D76" s="89">
        <f t="shared" si="12"/>
        <v>1</v>
      </c>
      <c r="E76" s="89">
        <f t="shared" si="12"/>
        <v>0</v>
      </c>
      <c r="F76" s="89">
        <f t="shared" si="12"/>
        <v>0</v>
      </c>
      <c r="G76" s="89"/>
      <c r="H76" s="89"/>
      <c r="I76" s="89"/>
      <c r="J76" s="89"/>
      <c r="K76" s="89"/>
      <c r="L76" s="89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 outlineLevel="1">
      <c r="A77" s="83"/>
      <c r="B77" s="106" t="s">
        <v>581</v>
      </c>
      <c r="C77" s="95"/>
      <c r="D77" s="95">
        <v>1</v>
      </c>
      <c r="E77" s="95"/>
      <c r="F77" s="95"/>
      <c r="G77" s="95"/>
      <c r="H77" s="95"/>
      <c r="I77" s="95"/>
      <c r="J77" s="95"/>
      <c r="K77" s="95"/>
      <c r="L77" s="95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5.75" outlineLevel="1">
      <c r="A78" s="83"/>
      <c r="B78" s="106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15.75">
      <c r="A79" s="83"/>
      <c r="B79" s="97" t="s">
        <v>184</v>
      </c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>
      <c r="A80" s="83"/>
      <c r="B80" s="97" t="s">
        <v>23</v>
      </c>
      <c r="C80" s="89">
        <f>SUM(C81:C82)</f>
        <v>0</v>
      </c>
      <c r="D80" s="89">
        <f>SUM(D81:D82)</f>
        <v>0</v>
      </c>
      <c r="E80" s="89">
        <f>SUM(E81:E82)</f>
        <v>0</v>
      </c>
      <c r="F80" s="89">
        <f>SUM(F81:F82)</f>
        <v>-2</v>
      </c>
      <c r="G80" s="89"/>
      <c r="H80" s="89"/>
      <c r="I80" s="89"/>
      <c r="J80" s="89"/>
      <c r="K80" s="89"/>
      <c r="L80" s="89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ht="15.75" outlineLevel="1">
      <c r="A81" s="83"/>
      <c r="B81" s="106" t="s">
        <v>633</v>
      </c>
      <c r="C81" s="95"/>
      <c r="D81" s="95"/>
      <c r="E81" s="95"/>
      <c r="F81" s="95">
        <v>-2</v>
      </c>
      <c r="G81" s="95"/>
      <c r="H81" s="95"/>
      <c r="I81" s="95"/>
      <c r="J81" s="95"/>
      <c r="K81" s="95"/>
      <c r="L81" s="95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</row>
    <row r="82" spans="1:43" ht="15.75" outlineLevel="1">
      <c r="A82" s="83"/>
      <c r="B82" s="106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>
      <c r="A83" s="83"/>
      <c r="B83" s="100" t="s">
        <v>26</v>
      </c>
      <c r="C83" s="110">
        <f>C71+C73+C76+C80+C79</f>
        <v>-2711</v>
      </c>
      <c r="D83" s="110">
        <f>D71+D73+D76+D80+D79</f>
        <v>-3177</v>
      </c>
      <c r="E83" s="110">
        <f>E71+E73+E76+E80+E79</f>
        <v>-5320</v>
      </c>
      <c r="F83" s="110">
        <f>F71+F73+F76+F80+F79</f>
        <v>17336</v>
      </c>
      <c r="G83" s="277"/>
      <c r="H83" s="110">
        <f t="shared" ref="H83:L83" si="13">H71+H73+H76+H80+H79</f>
        <v>43734</v>
      </c>
      <c r="I83" s="110">
        <f t="shared" si="13"/>
        <v>-77646</v>
      </c>
      <c r="J83" s="110">
        <f t="shared" si="13"/>
        <v>-77646</v>
      </c>
      <c r="K83" s="110">
        <f t="shared" si="13"/>
        <v>-77646</v>
      </c>
      <c r="L83" s="110">
        <f t="shared" si="13"/>
        <v>-77646</v>
      </c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6.5" thickBot="1">
      <c r="A84" s="83"/>
      <c r="B84" s="101" t="s">
        <v>106</v>
      </c>
      <c r="C84" s="102" t="e">
        <f>C83/C18</f>
        <v>#DIV/0!</v>
      </c>
      <c r="D84" s="102" t="e">
        <f>D83/D18</f>
        <v>#DIV/0!</v>
      </c>
      <c r="E84" s="102" t="e">
        <f>E83/E18</f>
        <v>#DIV/0!</v>
      </c>
      <c r="F84" s="102">
        <f>F83/F18</f>
        <v>0.19262222222222222</v>
      </c>
      <c r="G84" s="276"/>
      <c r="H84" s="102">
        <f t="shared" ref="H84:L84" si="14">H83/H18</f>
        <v>0.20727014218009479</v>
      </c>
      <c r="I84" s="102">
        <f t="shared" si="14"/>
        <v>-0.35947222222222225</v>
      </c>
      <c r="J84" s="102">
        <f t="shared" si="14"/>
        <v>-0.35947222222222225</v>
      </c>
      <c r="K84" s="102">
        <f t="shared" si="14"/>
        <v>-0.35947222222222225</v>
      </c>
      <c r="L84" s="102">
        <f t="shared" si="14"/>
        <v>-0.35947222222222225</v>
      </c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s="111" customFormat="1" ht="15.75">
      <c r="A85" s="83"/>
      <c r="B85" s="97" t="s">
        <v>29</v>
      </c>
      <c r="C85" s="89">
        <f>C86+C94</f>
        <v>2162</v>
      </c>
      <c r="D85" s="89">
        <f>D86+D94</f>
        <v>24829</v>
      </c>
      <c r="E85" s="89">
        <f>E86+E94</f>
        <v>102515</v>
      </c>
      <c r="F85" s="89">
        <f>F86+F94</f>
        <v>-11751</v>
      </c>
      <c r="G85" s="89"/>
      <c r="H85" s="89">
        <f t="shared" ref="H85:L85" si="15">H86+H94</f>
        <v>40699</v>
      </c>
      <c r="I85" s="89">
        <f t="shared" si="15"/>
        <v>-48740</v>
      </c>
      <c r="J85" s="89">
        <f t="shared" si="15"/>
        <v>-48244</v>
      </c>
      <c r="K85" s="89">
        <f t="shared" si="15"/>
        <v>-47741</v>
      </c>
      <c r="L85" s="89">
        <f t="shared" si="15"/>
        <v>-47234</v>
      </c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1">
      <c r="A86" s="83"/>
      <c r="B86" s="105" t="s">
        <v>27</v>
      </c>
      <c r="C86" s="91">
        <f t="shared" ref="C86:E86" si="16">SUM(C87:C93)</f>
        <v>2971</v>
      </c>
      <c r="D86" s="91">
        <f t="shared" si="16"/>
        <v>29708</v>
      </c>
      <c r="E86" s="91">
        <f t="shared" si="16"/>
        <v>116786</v>
      </c>
      <c r="F86" s="91">
        <f>SUM(F87:F93)</f>
        <v>31669</v>
      </c>
      <c r="G86" s="91"/>
      <c r="H86" s="91">
        <v>40699</v>
      </c>
      <c r="I86" s="91">
        <v>41260</v>
      </c>
      <c r="J86" s="91">
        <v>41756</v>
      </c>
      <c r="K86" s="91">
        <v>42259</v>
      </c>
      <c r="L86" s="91">
        <v>42766</v>
      </c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2">
      <c r="A87" s="83"/>
      <c r="B87" s="106" t="s">
        <v>683</v>
      </c>
      <c r="C87" s="95"/>
      <c r="D87" s="95">
        <v>26111</v>
      </c>
      <c r="E87" s="95">
        <v>110112</v>
      </c>
      <c r="F87" s="95"/>
      <c r="G87" s="95"/>
      <c r="H87" s="95"/>
      <c r="I87" s="95"/>
      <c r="J87" s="95"/>
      <c r="K87" s="95"/>
      <c r="L87" s="95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 outlineLevel="2">
      <c r="A88" s="83"/>
      <c r="B88" s="106" t="s">
        <v>899</v>
      </c>
      <c r="C88" s="95">
        <v>440</v>
      </c>
      <c r="D88" s="95"/>
      <c r="E88" s="95"/>
      <c r="F88" s="95"/>
      <c r="G88" s="95"/>
      <c r="H88" s="95"/>
      <c r="I88" s="95"/>
      <c r="J88" s="95"/>
      <c r="K88" s="95"/>
      <c r="L88" s="95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5.75" outlineLevel="2">
      <c r="A89" s="83"/>
      <c r="B89" s="106" t="s">
        <v>684</v>
      </c>
      <c r="C89" s="95">
        <v>2398</v>
      </c>
      <c r="D89" s="95">
        <v>3303</v>
      </c>
      <c r="E89" s="95">
        <v>4870</v>
      </c>
      <c r="F89" s="95">
        <v>28076</v>
      </c>
      <c r="G89" s="95"/>
      <c r="H89" s="95"/>
      <c r="I89" s="95"/>
      <c r="J89" s="95"/>
      <c r="K89" s="95"/>
      <c r="L89" s="95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 outlineLevel="2">
      <c r="A90" s="83"/>
      <c r="B90" s="106" t="s">
        <v>685</v>
      </c>
      <c r="C90" s="95">
        <v>133</v>
      </c>
      <c r="D90" s="95">
        <v>228</v>
      </c>
      <c r="E90" s="95">
        <v>562</v>
      </c>
      <c r="F90" s="95">
        <v>3584</v>
      </c>
      <c r="G90" s="95"/>
      <c r="H90" s="95"/>
      <c r="I90" s="95"/>
      <c r="J90" s="95"/>
      <c r="K90" s="95"/>
      <c r="L90" s="95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 outlineLevel="2">
      <c r="A91" s="83"/>
      <c r="B91" s="106" t="s">
        <v>686</v>
      </c>
      <c r="C91" s="95"/>
      <c r="D91" s="95"/>
      <c r="E91" s="95"/>
      <c r="F91" s="95">
        <v>9</v>
      </c>
      <c r="G91" s="95"/>
      <c r="H91" s="95"/>
      <c r="I91" s="95"/>
      <c r="J91" s="95"/>
      <c r="K91" s="95"/>
      <c r="L91" s="95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ht="15.75" outlineLevel="2">
      <c r="A92" s="83"/>
      <c r="B92" s="106" t="s">
        <v>687</v>
      </c>
      <c r="C92" s="95"/>
      <c r="D92" s="95">
        <v>66</v>
      </c>
      <c r="E92" s="95">
        <v>1242</v>
      </c>
      <c r="F92" s="95"/>
      <c r="G92" s="95"/>
      <c r="H92" s="95"/>
      <c r="I92" s="95"/>
      <c r="J92" s="95"/>
      <c r="K92" s="95"/>
      <c r="L92" s="95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</row>
    <row r="93" spans="1:43" ht="15.75" outlineLevel="2">
      <c r="A93" s="83"/>
      <c r="B93" s="106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 outlineLevel="1">
      <c r="A94" s="83"/>
      <c r="B94" s="105" t="s">
        <v>185</v>
      </c>
      <c r="C94" s="91">
        <f>SUM(C95:C100)</f>
        <v>-809</v>
      </c>
      <c r="D94" s="91">
        <f>SUM(D95:D100)</f>
        <v>-4879</v>
      </c>
      <c r="E94" s="91">
        <f>SUM(E95:E100)</f>
        <v>-14271</v>
      </c>
      <c r="F94" s="91">
        <f>SUM(F95:F100)</f>
        <v>-43420</v>
      </c>
      <c r="G94" s="91"/>
      <c r="H94" s="91">
        <f t="shared" ref="H94:L94" si="17">SUM(H95:H100)</f>
        <v>0</v>
      </c>
      <c r="I94" s="91">
        <f t="shared" si="17"/>
        <v>-90000</v>
      </c>
      <c r="J94" s="91">
        <f t="shared" si="17"/>
        <v>-90000</v>
      </c>
      <c r="K94" s="91">
        <f t="shared" si="17"/>
        <v>-90000</v>
      </c>
      <c r="L94" s="91">
        <f t="shared" si="17"/>
        <v>-90000</v>
      </c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 outlineLevel="2">
      <c r="A95" s="83"/>
      <c r="B95" s="106" t="s">
        <v>690</v>
      </c>
      <c r="C95" s="95">
        <v>-809</v>
      </c>
      <c r="D95" s="95">
        <v>-671</v>
      </c>
      <c r="E95" s="95">
        <v>-472</v>
      </c>
      <c r="F95" s="95">
        <v>-3034</v>
      </c>
      <c r="G95" s="95"/>
      <c r="H95" s="95"/>
      <c r="I95" s="95"/>
      <c r="J95" s="95"/>
      <c r="K95" s="95"/>
      <c r="L95" s="95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 outlineLevel="2">
      <c r="A96" s="83"/>
      <c r="B96" s="106" t="s">
        <v>688</v>
      </c>
      <c r="C96" s="95"/>
      <c r="D96" s="95"/>
      <c r="E96" s="95"/>
      <c r="F96" s="95">
        <v>-6225</v>
      </c>
      <c r="G96" s="95"/>
      <c r="H96" s="95"/>
      <c r="I96" s="95"/>
      <c r="J96" s="95"/>
      <c r="K96" s="95"/>
      <c r="L96" s="95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 outlineLevel="2">
      <c r="A97" s="83"/>
      <c r="B97" s="106" t="s">
        <v>898</v>
      </c>
      <c r="C97" s="95"/>
      <c r="D97" s="95">
        <v>-4208</v>
      </c>
      <c r="E97" s="95">
        <v>-13799</v>
      </c>
      <c r="F97" s="95">
        <v>-34161</v>
      </c>
      <c r="G97" s="95"/>
      <c r="H97" s="95"/>
      <c r="I97" s="95"/>
      <c r="J97" s="95"/>
      <c r="K97" s="95"/>
      <c r="L97" s="95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 outlineLevel="2">
      <c r="A98" s="83"/>
      <c r="B98" s="106" t="s">
        <v>896</v>
      </c>
      <c r="C98" s="95"/>
      <c r="D98" s="95"/>
      <c r="E98" s="95"/>
      <c r="F98" s="95"/>
      <c r="G98" s="95"/>
      <c r="H98" s="95"/>
      <c r="I98" s="95">
        <f>-750000*0.06</f>
        <v>-45000</v>
      </c>
      <c r="J98" s="95">
        <f t="shared" ref="J98:L99" si="18">-750000*0.06</f>
        <v>-45000</v>
      </c>
      <c r="K98" s="95">
        <f t="shared" si="18"/>
        <v>-45000</v>
      </c>
      <c r="L98" s="95">
        <f t="shared" si="18"/>
        <v>-45000</v>
      </c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ht="15.75" outlineLevel="2">
      <c r="A99" s="83"/>
      <c r="B99" s="106" t="s">
        <v>897</v>
      </c>
      <c r="C99" s="95"/>
      <c r="D99" s="95"/>
      <c r="E99" s="95"/>
      <c r="F99" s="95"/>
      <c r="G99" s="95"/>
      <c r="H99" s="95"/>
      <c r="I99" s="95">
        <f>-750000*0.06</f>
        <v>-45000</v>
      </c>
      <c r="J99" s="95">
        <f t="shared" si="18"/>
        <v>-45000</v>
      </c>
      <c r="K99" s="95">
        <f t="shared" si="18"/>
        <v>-45000</v>
      </c>
      <c r="L99" s="95">
        <f t="shared" si="18"/>
        <v>-45000</v>
      </c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</row>
    <row r="100" spans="1:43" ht="15.75" outlineLevel="1">
      <c r="A100" s="83"/>
      <c r="B100" s="106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s="96" customFormat="1" ht="15.75">
      <c r="A101" s="93"/>
      <c r="B101" s="100" t="s">
        <v>264</v>
      </c>
      <c r="C101" s="110">
        <f>+C83+C85</f>
        <v>-549</v>
      </c>
      <c r="D101" s="110">
        <f>+D83+D85</f>
        <v>21652</v>
      </c>
      <c r="E101" s="110">
        <f>+E83+E85</f>
        <v>97195</v>
      </c>
      <c r="F101" s="110">
        <f>+F83+F85</f>
        <v>5585</v>
      </c>
      <c r="G101" s="277"/>
      <c r="H101" s="110">
        <f t="shared" ref="H101:L101" si="19">+H83+H85</f>
        <v>84433</v>
      </c>
      <c r="I101" s="110">
        <f>+I83+I85</f>
        <v>-126386</v>
      </c>
      <c r="J101" s="110">
        <f t="shared" si="19"/>
        <v>-125890</v>
      </c>
      <c r="K101" s="110">
        <f t="shared" si="19"/>
        <v>-125387</v>
      </c>
      <c r="L101" s="110">
        <f t="shared" si="19"/>
        <v>-124880</v>
      </c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</row>
    <row r="102" spans="1:43" s="96" customFormat="1" ht="16.5" thickBot="1">
      <c r="A102" s="93"/>
      <c r="B102" s="101" t="s">
        <v>106</v>
      </c>
      <c r="C102" s="102" t="e">
        <f>+C101/C18</f>
        <v>#DIV/0!</v>
      </c>
      <c r="D102" s="102" t="e">
        <f>+D101/D18</f>
        <v>#DIV/0!</v>
      </c>
      <c r="E102" s="102" t="e">
        <f>+E101/E18</f>
        <v>#DIV/0!</v>
      </c>
      <c r="F102" s="102">
        <f>+F101/F18</f>
        <v>6.2055555555555558E-2</v>
      </c>
      <c r="G102" s="276"/>
      <c r="H102" s="102">
        <f t="shared" ref="H102:L102" si="20">+H101/H18</f>
        <v>0.4001563981042654</v>
      </c>
      <c r="I102" s="102">
        <f t="shared" si="20"/>
        <v>-0.58512037037037035</v>
      </c>
      <c r="J102" s="102">
        <f t="shared" si="20"/>
        <v>-0.58282407407407411</v>
      </c>
      <c r="K102" s="102">
        <f t="shared" si="20"/>
        <v>-0.58049537037037036</v>
      </c>
      <c r="L102" s="102">
        <f t="shared" si="20"/>
        <v>-0.57814814814814819</v>
      </c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</row>
    <row r="103" spans="1:43" ht="15.75">
      <c r="A103" s="83"/>
      <c r="B103" s="97" t="s">
        <v>30</v>
      </c>
      <c r="C103" s="89">
        <f>C104+C108</f>
        <v>0</v>
      </c>
      <c r="D103" s="89">
        <f>D104+D108</f>
        <v>0</v>
      </c>
      <c r="E103" s="89">
        <f>E104+E108</f>
        <v>0</v>
      </c>
      <c r="F103" s="89">
        <f>F104+F108</f>
        <v>106515</v>
      </c>
      <c r="G103" s="89"/>
      <c r="H103" s="89"/>
      <c r="I103" s="89"/>
      <c r="J103" s="89"/>
      <c r="K103" s="89"/>
      <c r="L103" s="89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</row>
    <row r="104" spans="1:43" ht="15.75" outlineLevel="1">
      <c r="A104" s="83"/>
      <c r="B104" s="105" t="s">
        <v>186</v>
      </c>
      <c r="C104" s="91">
        <f>SUM(C105:C106)</f>
        <v>0</v>
      </c>
      <c r="D104" s="91">
        <f>SUM(D105:D106)</f>
        <v>0</v>
      </c>
      <c r="E104" s="91">
        <f>SUM(E105:E106)</f>
        <v>0</v>
      </c>
      <c r="F104" s="91">
        <f>SUM(F105:F106)</f>
        <v>109515</v>
      </c>
      <c r="G104" s="91"/>
      <c r="H104" s="91"/>
      <c r="I104" s="91"/>
      <c r="J104" s="91"/>
      <c r="K104" s="91"/>
      <c r="L104" s="91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</row>
    <row r="105" spans="1:43" ht="15.75" outlineLevel="2">
      <c r="A105" s="83"/>
      <c r="B105" s="106" t="s">
        <v>691</v>
      </c>
      <c r="C105" s="95"/>
      <c r="D105" s="95"/>
      <c r="E105" s="95"/>
      <c r="F105" s="95">
        <v>106515</v>
      </c>
      <c r="G105" s="95"/>
      <c r="H105" s="95"/>
      <c r="I105" s="95"/>
      <c r="J105" s="95"/>
      <c r="K105" s="95"/>
      <c r="L105" s="95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</row>
    <row r="106" spans="1:43" ht="15.75" outlineLevel="2">
      <c r="A106" s="83"/>
      <c r="B106" s="106" t="s">
        <v>692</v>
      </c>
      <c r="C106" s="95"/>
      <c r="D106" s="95"/>
      <c r="E106" s="95"/>
      <c r="F106" s="95">
        <v>3000</v>
      </c>
      <c r="G106" s="95"/>
      <c r="H106" s="95"/>
      <c r="I106" s="95"/>
      <c r="J106" s="95"/>
      <c r="K106" s="95"/>
      <c r="L106" s="95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 outlineLevel="2">
      <c r="A107" s="83"/>
      <c r="B107" s="106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s="92" customFormat="1" ht="12.75" outlineLevel="1">
      <c r="A108" s="90"/>
      <c r="B108" s="105" t="s">
        <v>187</v>
      </c>
      <c r="C108" s="91">
        <f>SUM(C109:C110)</f>
        <v>0</v>
      </c>
      <c r="D108" s="91">
        <f>SUM(D109:D110)</f>
        <v>0</v>
      </c>
      <c r="E108" s="91">
        <f>SUM(E109:E110)</f>
        <v>0</v>
      </c>
      <c r="F108" s="91">
        <f>SUM(F109:F110)</f>
        <v>-3000</v>
      </c>
      <c r="G108" s="91"/>
      <c r="H108" s="91"/>
      <c r="I108" s="91"/>
      <c r="J108" s="91"/>
      <c r="K108" s="91"/>
      <c r="L108" s="91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</row>
    <row r="109" spans="1:43" ht="15.75" outlineLevel="2">
      <c r="A109" s="83"/>
      <c r="B109" s="106" t="s">
        <v>693</v>
      </c>
      <c r="C109" s="95"/>
      <c r="D109" s="95"/>
      <c r="E109" s="95"/>
      <c r="F109" s="95">
        <v>-3000</v>
      </c>
      <c r="G109" s="95"/>
      <c r="H109" s="95"/>
      <c r="I109" s="95"/>
      <c r="J109" s="95"/>
      <c r="K109" s="95"/>
      <c r="L109" s="95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</row>
    <row r="110" spans="1:43" ht="15.75" outlineLevel="1">
      <c r="A110" s="83"/>
      <c r="B110" s="106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</row>
    <row r="111" spans="1:43" ht="15.75">
      <c r="A111" s="83"/>
      <c r="B111" s="83" t="s">
        <v>259</v>
      </c>
      <c r="C111" s="89">
        <f>SUM(C112:C113)</f>
        <v>0</v>
      </c>
      <c r="D111" s="89">
        <f>SUM(D112:D113)</f>
        <v>-253</v>
      </c>
      <c r="E111" s="89">
        <f>SUM(E112:E113)</f>
        <v>0</v>
      </c>
      <c r="F111" s="89">
        <f>SUM(F112:F113)</f>
        <v>-2386</v>
      </c>
      <c r="G111" s="89"/>
      <c r="H111" s="89">
        <v>-5540</v>
      </c>
      <c r="I111" s="89"/>
      <c r="J111" s="89"/>
      <c r="K111" s="89"/>
      <c r="L111" s="89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</row>
    <row r="112" spans="1:43" ht="15.75" outlineLevel="1">
      <c r="A112" s="83"/>
      <c r="B112" s="183" t="s">
        <v>694</v>
      </c>
      <c r="C112" s="95"/>
      <c r="D112" s="95">
        <v>-253</v>
      </c>
      <c r="E112" s="95"/>
      <c r="F112" s="95">
        <v>-2386</v>
      </c>
      <c r="G112" s="95"/>
      <c r="H112" s="95"/>
      <c r="I112" s="95"/>
      <c r="J112" s="95"/>
      <c r="K112" s="95"/>
      <c r="L112" s="95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</row>
    <row r="113" spans="1:43" ht="15.75" outlineLevel="1">
      <c r="A113" s="83"/>
      <c r="B113" s="183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 outlineLevel="1">
      <c r="A114" s="83"/>
      <c r="B114" s="212" t="s">
        <v>265</v>
      </c>
      <c r="C114" s="89"/>
      <c r="D114" s="89">
        <v>-1</v>
      </c>
      <c r="E114" s="89">
        <v>1</v>
      </c>
      <c r="F114" s="89">
        <v>-1</v>
      </c>
      <c r="G114" s="89"/>
      <c r="H114" s="89"/>
      <c r="I114" s="89"/>
      <c r="J114" s="89"/>
      <c r="K114" s="89"/>
      <c r="L114" s="89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 outlineLevel="1">
      <c r="A115" s="83"/>
      <c r="B115" s="83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</row>
    <row r="116" spans="1:43" ht="15.75">
      <c r="A116" s="83"/>
      <c r="B116" s="100" t="s">
        <v>32</v>
      </c>
      <c r="C116" s="182">
        <f>C83+C85+C103+C111+C114</f>
        <v>-549</v>
      </c>
      <c r="D116" s="182">
        <f>D83+D85+D103+D111+D114</f>
        <v>21398</v>
      </c>
      <c r="E116" s="182">
        <f>E83+E85+E103+E111+E114</f>
        <v>97196</v>
      </c>
      <c r="F116" s="182">
        <f>F83+F85+F103+F111+F114</f>
        <v>109713</v>
      </c>
      <c r="G116" s="277"/>
      <c r="H116" s="182">
        <f t="shared" ref="H116:L116" si="21">H83+H85+H103+H111+H114</f>
        <v>78893</v>
      </c>
      <c r="I116" s="182">
        <f t="shared" si="21"/>
        <v>-126386</v>
      </c>
      <c r="J116" s="182">
        <f t="shared" si="21"/>
        <v>-125890</v>
      </c>
      <c r="K116" s="182">
        <f t="shared" si="21"/>
        <v>-125387</v>
      </c>
      <c r="L116" s="182">
        <f t="shared" si="21"/>
        <v>-124880</v>
      </c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6.5" thickBot="1">
      <c r="A117" s="83"/>
      <c r="B117" s="101" t="s">
        <v>106</v>
      </c>
      <c r="C117" s="102" t="e">
        <f>C116/C18</f>
        <v>#DIV/0!</v>
      </c>
      <c r="D117" s="102" t="e">
        <f>D116/D18</f>
        <v>#DIV/0!</v>
      </c>
      <c r="E117" s="102" t="e">
        <f>E116/E18</f>
        <v>#DIV/0!</v>
      </c>
      <c r="F117" s="102">
        <f>F116/F18</f>
        <v>1.2190333333333334</v>
      </c>
      <c r="G117" s="276"/>
      <c r="H117" s="102">
        <f t="shared" ref="H117:L117" si="22">H116/H18</f>
        <v>0.37390047393364928</v>
      </c>
      <c r="I117" s="102">
        <f t="shared" si="22"/>
        <v>-0.58512037037037035</v>
      </c>
      <c r="J117" s="102">
        <f t="shared" si="22"/>
        <v>-0.58282407407407411</v>
      </c>
      <c r="K117" s="102">
        <f t="shared" si="22"/>
        <v>-0.58049537037037036</v>
      </c>
      <c r="L117" s="102">
        <f t="shared" si="22"/>
        <v>-0.57814814814814819</v>
      </c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</row>
    <row r="118" spans="1:43" ht="15.7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</row>
    <row r="119" spans="1:43" ht="15.75">
      <c r="A119" s="83"/>
      <c r="B119" s="112" t="s">
        <v>189</v>
      </c>
      <c r="C119" s="113"/>
      <c r="D119" s="113"/>
      <c r="E119" s="113"/>
      <c r="F119" s="113"/>
      <c r="G119" s="278"/>
      <c r="H119" s="113"/>
      <c r="I119" s="113"/>
      <c r="J119" s="113"/>
      <c r="K119" s="113"/>
      <c r="L119" s="11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</row>
    <row r="120" spans="1:43" ht="15.75">
      <c r="A120" s="83"/>
      <c r="B120" s="114" t="s">
        <v>34</v>
      </c>
      <c r="C120" s="115" t="str">
        <f>IFERROR(C15/#REF!-1,"na ")</f>
        <v xml:space="preserve">na </v>
      </c>
      <c r="D120" s="115" t="str">
        <f t="shared" ref="D120:L120" si="23">IFERROR(D15/C15-1,"na ")</f>
        <v xml:space="preserve">na </v>
      </c>
      <c r="E120" s="115" t="str">
        <f t="shared" si="23"/>
        <v xml:space="preserve">na </v>
      </c>
      <c r="F120" s="115" t="str">
        <f t="shared" si="23"/>
        <v xml:space="preserve">na </v>
      </c>
      <c r="G120" s="279"/>
      <c r="H120" s="115">
        <f>IFERROR(H15/F15-1,"na ")</f>
        <v>1.3444444444444446</v>
      </c>
      <c r="I120" s="115">
        <f t="shared" si="23"/>
        <v>2.3696682464454888E-2</v>
      </c>
      <c r="J120" s="115">
        <f t="shared" si="23"/>
        <v>0</v>
      </c>
      <c r="K120" s="115">
        <f t="shared" si="23"/>
        <v>0</v>
      </c>
      <c r="L120" s="115">
        <f t="shared" si="23"/>
        <v>0</v>
      </c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</row>
    <row r="121" spans="1:43" ht="15.75">
      <c r="A121" s="83"/>
      <c r="B121" s="114" t="s">
        <v>16</v>
      </c>
      <c r="C121" s="115" t="e">
        <f t="shared" ref="C121:L121" si="24">C24/C15</f>
        <v>#DIV/0!</v>
      </c>
      <c r="D121" s="115" t="e">
        <f t="shared" si="24"/>
        <v>#DIV/0!</v>
      </c>
      <c r="E121" s="115" t="e">
        <f t="shared" si="24"/>
        <v>#DIV/0!</v>
      </c>
      <c r="F121" s="115">
        <f t="shared" si="24"/>
        <v>1</v>
      </c>
      <c r="G121" s="279"/>
      <c r="H121" s="115">
        <f>H24/H15</f>
        <v>1</v>
      </c>
      <c r="I121" s="115">
        <f t="shared" si="24"/>
        <v>1</v>
      </c>
      <c r="J121" s="115">
        <f t="shared" si="24"/>
        <v>1</v>
      </c>
      <c r="K121" s="115">
        <f t="shared" si="24"/>
        <v>1</v>
      </c>
      <c r="L121" s="115">
        <f t="shared" si="24"/>
        <v>1</v>
      </c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>
      <c r="A122" s="83"/>
      <c r="B122" s="114" t="s">
        <v>24</v>
      </c>
      <c r="C122" s="115" t="e">
        <f t="shared" ref="C122:L122" si="25">C71/C15</f>
        <v>#DIV/0!</v>
      </c>
      <c r="D122" s="115" t="e">
        <f t="shared" si="25"/>
        <v>#DIV/0!</v>
      </c>
      <c r="E122" s="115" t="e">
        <f t="shared" si="25"/>
        <v>#DIV/0!</v>
      </c>
      <c r="F122" s="115">
        <f t="shared" si="25"/>
        <v>0.18517777777777777</v>
      </c>
      <c r="G122" s="279"/>
      <c r="H122" s="115">
        <f t="shared" si="25"/>
        <v>0.20727014218009479</v>
      </c>
      <c r="I122" s="115">
        <f t="shared" si="25"/>
        <v>-0.35947222222222225</v>
      </c>
      <c r="J122" s="115">
        <f t="shared" si="25"/>
        <v>-0.35947222222222225</v>
      </c>
      <c r="K122" s="115">
        <f t="shared" si="25"/>
        <v>-0.35947222222222225</v>
      </c>
      <c r="L122" s="115">
        <f t="shared" si="25"/>
        <v>-0.35947222222222225</v>
      </c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</row>
    <row r="123" spans="1:43" ht="15.75">
      <c r="A123" s="83"/>
      <c r="B123" s="114" t="s">
        <v>26</v>
      </c>
      <c r="C123" s="115" t="e">
        <f t="shared" ref="C123:L123" si="26">C83/C15</f>
        <v>#DIV/0!</v>
      </c>
      <c r="D123" s="115" t="e">
        <f t="shared" si="26"/>
        <v>#DIV/0!</v>
      </c>
      <c r="E123" s="115" t="e">
        <f t="shared" si="26"/>
        <v>#DIV/0!</v>
      </c>
      <c r="F123" s="115">
        <f t="shared" si="26"/>
        <v>0.19262222222222222</v>
      </c>
      <c r="G123" s="279"/>
      <c r="H123" s="115">
        <f t="shared" si="26"/>
        <v>0.20727014218009479</v>
      </c>
      <c r="I123" s="115">
        <f t="shared" si="26"/>
        <v>-0.35947222222222225</v>
      </c>
      <c r="J123" s="115">
        <f t="shared" si="26"/>
        <v>-0.35947222222222225</v>
      </c>
      <c r="K123" s="115">
        <f t="shared" si="26"/>
        <v>-0.35947222222222225</v>
      </c>
      <c r="L123" s="115">
        <f t="shared" si="26"/>
        <v>-0.35947222222222225</v>
      </c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</row>
    <row r="124" spans="1:43" ht="15.75">
      <c r="A124" s="83"/>
      <c r="B124" s="116" t="s">
        <v>35</v>
      </c>
      <c r="C124" s="117" t="e">
        <f t="shared" ref="C124:L124" si="27">C116/C15</f>
        <v>#DIV/0!</v>
      </c>
      <c r="D124" s="117" t="e">
        <f t="shared" si="27"/>
        <v>#DIV/0!</v>
      </c>
      <c r="E124" s="117" t="e">
        <f t="shared" si="27"/>
        <v>#DIV/0!</v>
      </c>
      <c r="F124" s="117">
        <f t="shared" si="27"/>
        <v>1.2190333333333334</v>
      </c>
      <c r="G124" s="279"/>
      <c r="H124" s="117">
        <f t="shared" si="27"/>
        <v>0.37390047393364928</v>
      </c>
      <c r="I124" s="117">
        <f t="shared" si="27"/>
        <v>-0.58512037037037035</v>
      </c>
      <c r="J124" s="117">
        <f t="shared" si="27"/>
        <v>-0.58282407407407411</v>
      </c>
      <c r="K124" s="117">
        <f t="shared" si="27"/>
        <v>-0.58049537037037036</v>
      </c>
      <c r="L124" s="117">
        <f t="shared" si="27"/>
        <v>-0.57814814814814819</v>
      </c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</row>
    <row r="125" spans="1:43" ht="15.7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</row>
    <row r="126" spans="1:43" ht="15.7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</row>
    <row r="128" spans="1:43" ht="15.75">
      <c r="A128" s="107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9"/>
      <c r="P128" s="109"/>
      <c r="Q128" s="109"/>
      <c r="R128" s="109"/>
      <c r="S128" s="109"/>
      <c r="T128" s="109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</row>
    <row r="129" spans="1:43" ht="15.75">
      <c r="A129" s="107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9"/>
      <c r="P129" s="109"/>
      <c r="Q129" s="109"/>
      <c r="R129" s="109"/>
      <c r="S129" s="109"/>
      <c r="T129" s="109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</row>
    <row r="130" spans="1:43" ht="15.75">
      <c r="A130" s="107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9"/>
      <c r="P130" s="109"/>
      <c r="Q130" s="109"/>
      <c r="R130" s="109"/>
      <c r="S130" s="109"/>
      <c r="T130" s="109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</row>
    <row r="131" spans="1:43" ht="15.75">
      <c r="A131" s="107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9"/>
      <c r="P131" s="109"/>
      <c r="Q131" s="109"/>
      <c r="R131" s="109"/>
      <c r="S131" s="109"/>
      <c r="T131" s="109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</row>
    <row r="132" spans="1:43" ht="15.75">
      <c r="A132" s="107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9"/>
      <c r="P132" s="109"/>
      <c r="Q132" s="109"/>
      <c r="R132" s="109"/>
      <c r="S132" s="109"/>
      <c r="T132" s="109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</row>
    <row r="133" spans="1:43" ht="15.75">
      <c r="A133" s="107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9"/>
      <c r="P133" s="109"/>
      <c r="Q133" s="109"/>
      <c r="R133" s="109"/>
      <c r="S133" s="109"/>
      <c r="T133" s="109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</row>
    <row r="134" spans="1:43" ht="15.75">
      <c r="A134" s="107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9"/>
      <c r="P134" s="109"/>
      <c r="Q134" s="109"/>
      <c r="R134" s="109"/>
      <c r="S134" s="109"/>
      <c r="T134" s="109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</row>
    <row r="135" spans="1:43" ht="15.7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</row>
    <row r="136" spans="1:43" ht="15.75">
      <c r="A136" s="107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9"/>
      <c r="P136" s="109"/>
      <c r="Q136" s="109"/>
      <c r="R136" s="109"/>
      <c r="S136" s="109"/>
      <c r="T136" s="109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</row>
    <row r="137" spans="1:43" ht="15.75">
      <c r="A137" s="107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9"/>
      <c r="P137" s="109"/>
      <c r="Q137" s="109"/>
      <c r="R137" s="109"/>
      <c r="S137" s="109"/>
      <c r="T137" s="109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</row>
    <row r="138" spans="1:43" ht="15.75">
      <c r="A138" s="107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9"/>
      <c r="P138" s="109"/>
      <c r="Q138" s="109"/>
      <c r="R138" s="109"/>
      <c r="S138" s="109"/>
      <c r="T138" s="109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</row>
    <row r="139" spans="1:43" ht="15.75">
      <c r="A139" s="107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9"/>
      <c r="P139" s="109"/>
      <c r="Q139" s="109"/>
      <c r="R139" s="109"/>
      <c r="S139" s="109"/>
      <c r="T139" s="109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</row>
    <row r="140" spans="1:43" ht="15.75">
      <c r="A140" s="107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9"/>
      <c r="P140" s="109"/>
      <c r="Q140" s="109"/>
      <c r="R140" s="109"/>
      <c r="S140" s="109"/>
      <c r="T140" s="109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</row>
    <row r="141" spans="1:43" ht="15.7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  <row r="142" spans="1:43" ht="15.75">
      <c r="A142" s="107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9"/>
      <c r="P142" s="109"/>
      <c r="Q142" s="109"/>
      <c r="R142" s="109"/>
      <c r="S142" s="109"/>
      <c r="T142" s="109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</row>
    <row r="143" spans="1:43" ht="15.75">
      <c r="A143" s="107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9"/>
      <c r="P143" s="109"/>
      <c r="Q143" s="109"/>
      <c r="R143" s="109"/>
      <c r="S143" s="109"/>
      <c r="T143" s="109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</row>
    <row r="144" spans="1:43" ht="15.75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</row>
    <row r="145" spans="1:43" ht="15.75">
      <c r="A145" s="107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9"/>
      <c r="P145" s="109"/>
      <c r="Q145" s="109"/>
      <c r="R145" s="109"/>
      <c r="S145" s="109"/>
      <c r="T145" s="109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</row>
    <row r="146" spans="1:43" ht="15.75">
      <c r="A146" s="107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9"/>
      <c r="P146" s="109"/>
      <c r="Q146" s="109"/>
      <c r="R146" s="109"/>
      <c r="S146" s="109"/>
      <c r="T146" s="109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</row>
    <row r="147" spans="1:43" ht="15.75">
      <c r="A147" s="107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9"/>
      <c r="P147" s="109"/>
      <c r="Q147" s="109"/>
      <c r="R147" s="109"/>
      <c r="S147" s="109"/>
      <c r="T147" s="109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</row>
    <row r="148" spans="1:43" ht="15.75">
      <c r="A148" s="107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9"/>
      <c r="P148" s="109"/>
      <c r="Q148" s="109"/>
      <c r="R148" s="109"/>
      <c r="S148" s="109"/>
      <c r="T148" s="109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</row>
    <row r="149" spans="1:43" ht="15.75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</row>
    <row r="150" spans="1:43" ht="15.75">
      <c r="A150" s="107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9"/>
      <c r="P150" s="109"/>
      <c r="Q150" s="109"/>
      <c r="R150" s="109"/>
      <c r="S150" s="109"/>
      <c r="T150" s="109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</row>
    <row r="151" spans="1:43" ht="15.75">
      <c r="A151" s="107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9"/>
      <c r="P151" s="109"/>
      <c r="Q151" s="109"/>
      <c r="R151" s="109"/>
      <c r="S151" s="109"/>
      <c r="T151" s="109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</row>
    <row r="152" spans="1:43" ht="15.75">
      <c r="A152" s="107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9"/>
      <c r="P152" s="109"/>
      <c r="Q152" s="109"/>
      <c r="R152" s="109"/>
      <c r="S152" s="109"/>
      <c r="T152" s="109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</row>
    <row r="153" spans="1:43" ht="15.75">
      <c r="A153" s="107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9"/>
      <c r="P153" s="109"/>
      <c r="Q153" s="109"/>
      <c r="R153" s="109"/>
      <c r="S153" s="109"/>
      <c r="T153" s="109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</row>
    <row r="154" spans="1:43" ht="15.75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</row>
    <row r="155" spans="1:43" ht="15.75">
      <c r="A155" s="107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9"/>
      <c r="P155" s="109"/>
      <c r="Q155" s="109"/>
      <c r="R155" s="109"/>
      <c r="S155" s="109"/>
      <c r="T155" s="109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</row>
    <row r="156" spans="1:43" ht="15.75">
      <c r="A156" s="107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9"/>
      <c r="P156" s="109"/>
      <c r="Q156" s="109"/>
      <c r="R156" s="109"/>
      <c r="S156" s="109"/>
      <c r="T156" s="109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</row>
    <row r="157" spans="1:43" ht="15.75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</row>
    <row r="158" spans="1:43" ht="15.75">
      <c r="A158" s="107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9"/>
      <c r="P158" s="109"/>
      <c r="Q158" s="109"/>
      <c r="R158" s="109"/>
      <c r="S158" s="109"/>
      <c r="T158" s="109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</row>
    <row r="159" spans="1:43" ht="15.75">
      <c r="A159" s="107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9"/>
      <c r="P159" s="109"/>
      <c r="Q159" s="109"/>
      <c r="R159" s="109"/>
      <c r="S159" s="109"/>
      <c r="T159" s="109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</row>
    <row r="160" spans="1:43" ht="15.75">
      <c r="A160" s="107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9"/>
      <c r="P160" s="109"/>
      <c r="Q160" s="109"/>
      <c r="R160" s="109"/>
      <c r="S160" s="109"/>
      <c r="T160" s="109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</row>
    <row r="161" spans="1:43" ht="15.75">
      <c r="A161" s="107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9"/>
      <c r="P161" s="109"/>
      <c r="Q161" s="109"/>
      <c r="R161" s="109"/>
      <c r="S161" s="109"/>
      <c r="T161" s="109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</row>
    <row r="162" spans="1:43" ht="15.75">
      <c r="A162" s="107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9"/>
      <c r="P162" s="109"/>
      <c r="Q162" s="109"/>
      <c r="R162" s="109"/>
      <c r="S162" s="109"/>
      <c r="T162" s="109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</row>
    <row r="163" spans="1:43" ht="15.75">
      <c r="A163" s="107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9"/>
      <c r="P163" s="109"/>
      <c r="Q163" s="109"/>
      <c r="R163" s="109"/>
      <c r="S163" s="109"/>
      <c r="T163" s="109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</row>
    <row r="164" spans="1:43" ht="15.75">
      <c r="A164" s="107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9"/>
      <c r="P164" s="109"/>
      <c r="Q164" s="109"/>
      <c r="R164" s="109"/>
      <c r="S164" s="109"/>
      <c r="T164" s="109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</row>
    <row r="165" spans="1:43" ht="15.75">
      <c r="A165" s="107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9"/>
      <c r="P165" s="109"/>
      <c r="Q165" s="109"/>
      <c r="R165" s="109"/>
      <c r="S165" s="109"/>
      <c r="T165" s="109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</row>
    <row r="166" spans="1:43" ht="15.75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</row>
    <row r="167" spans="1:43" ht="15.75">
      <c r="A167" s="107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9"/>
      <c r="P167" s="109"/>
      <c r="Q167" s="109"/>
      <c r="R167" s="109"/>
      <c r="S167" s="109"/>
      <c r="T167" s="109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</row>
    <row r="168" spans="1:43" ht="15.75">
      <c r="A168" s="107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9"/>
      <c r="P168" s="109"/>
      <c r="Q168" s="109"/>
      <c r="R168" s="109"/>
      <c r="S168" s="109"/>
      <c r="T168" s="109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</row>
    <row r="169" spans="1:43" ht="15.75">
      <c r="A169" s="107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9"/>
      <c r="P169" s="109"/>
      <c r="Q169" s="109"/>
      <c r="R169" s="109"/>
      <c r="S169" s="109"/>
      <c r="T169" s="109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</row>
    <row r="170" spans="1:43" ht="15.75">
      <c r="A170" s="107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9"/>
      <c r="P170" s="109"/>
      <c r="Q170" s="109"/>
      <c r="R170" s="109"/>
      <c r="S170" s="109"/>
      <c r="T170" s="109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</row>
    <row r="171" spans="1:43" ht="15.7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</row>
    <row r="172" spans="1:43" ht="15.75">
      <c r="A172" s="107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9"/>
      <c r="P172" s="109"/>
      <c r="Q172" s="109"/>
      <c r="R172" s="109"/>
      <c r="S172" s="109"/>
      <c r="T172" s="109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</row>
    <row r="173" spans="1:43" ht="15.75">
      <c r="A173" s="107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9"/>
      <c r="P173" s="109"/>
      <c r="Q173" s="109"/>
      <c r="R173" s="109"/>
      <c r="S173" s="109"/>
      <c r="T173" s="109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</row>
    <row r="174" spans="1:43" ht="15.75">
      <c r="A174" s="107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</row>
    <row r="175" spans="1:43" ht="15.75">
      <c r="A175" s="107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</row>
    <row r="176" spans="1:43" ht="15.7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0A3C5-9052-6341-A9F4-84CD01024AB3}">
  <sheetPr codeName="Feuil47">
    <tabColor rgb="FF006C4C"/>
  </sheetPr>
  <dimension ref="B2:XFD82"/>
  <sheetViews>
    <sheetView showGridLines="0" zoomScale="85" zoomScaleNormal="85" workbookViewId="0">
      <pane xSplit="2" ySplit="5" topLeftCell="C39" activePane="bottomRight" state="frozen"/>
      <selection pane="topRight" activeCell="C1" sqref="C1"/>
      <selection pane="bottomLeft" activeCell="A4" sqref="A4"/>
      <selection pane="bottomRight" activeCell="J46" sqref="J46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 16384:16384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 16384:16384" ht="18" customHeight="1">
      <c r="B3" s="343"/>
      <c r="C3" s="244">
        <v>44196</v>
      </c>
      <c r="D3" s="244">
        <v>44561</v>
      </c>
      <c r="E3" s="244">
        <v>44926</v>
      </c>
      <c r="F3" s="244">
        <v>45291</v>
      </c>
      <c r="G3" s="244"/>
      <c r="H3" s="248">
        <v>45657</v>
      </c>
      <c r="I3" s="248">
        <v>46022</v>
      </c>
      <c r="J3" s="248">
        <v>46387</v>
      </c>
      <c r="K3" s="248">
        <v>46752</v>
      </c>
      <c r="L3" s="248">
        <v>47118</v>
      </c>
      <c r="M3" s="195"/>
    </row>
    <row r="4" spans="2:13 16384:16384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 16384:16384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 16384:16384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 16384:16384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 16384:16384">
      <c r="B8" s="151" t="s">
        <v>26</v>
      </c>
      <c r="C8" s="191"/>
      <c r="D8" s="191">
        <f>'SC des SUCS - P&amp;L'!D83</f>
        <v>-3177</v>
      </c>
      <c r="E8" s="191">
        <f>'SC des SUCS - P&amp;L'!E83</f>
        <v>-5320</v>
      </c>
      <c r="F8" s="191">
        <f>'SC des SUCS - P&amp;L'!F83</f>
        <v>17336</v>
      </c>
      <c r="G8" s="152"/>
      <c r="H8" s="191">
        <f>'SC des SUCS - P&amp;L'!H83</f>
        <v>43734</v>
      </c>
      <c r="I8" s="191">
        <f>'SC des SUCS - P&amp;L (2)'!I83</f>
        <v>-77646</v>
      </c>
      <c r="J8" s="191">
        <f>'SC des SUCS - P&amp;L (2)'!J83</f>
        <v>-77646</v>
      </c>
      <c r="K8" s="191">
        <f>'SC des SUCS - P&amp;L (2)'!K83</f>
        <v>-77646</v>
      </c>
      <c r="L8" s="191">
        <f>'SC des SUCS - P&amp;L (2)'!L83</f>
        <v>-77646</v>
      </c>
      <c r="M8" s="191"/>
    </row>
    <row r="9" spans="2:13 16384:16384">
      <c r="B9" s="148" t="s">
        <v>225</v>
      </c>
      <c r="C9" s="191"/>
      <c r="D9" s="191">
        <f>'SC des SUCS - P&amp;L'!D106</f>
        <v>0</v>
      </c>
      <c r="E9" s="191">
        <f>'SC des SUCS - P&amp;L'!E106</f>
        <v>0</v>
      </c>
      <c r="F9" s="191">
        <f>'SC des SUCS - P&amp;L'!F106</f>
        <v>-3000</v>
      </c>
      <c r="G9" s="152"/>
      <c r="H9" s="191"/>
      <c r="I9" s="191"/>
      <c r="J9" s="191"/>
      <c r="K9" s="191"/>
      <c r="L9" s="191"/>
      <c r="M9" s="191"/>
    </row>
    <row r="10" spans="2:13 16384:16384">
      <c r="B10" s="148" t="s">
        <v>226</v>
      </c>
      <c r="C10" s="191"/>
      <c r="D10" s="191">
        <f>'SC des SUCS - P&amp;L'!D102</f>
        <v>0</v>
      </c>
      <c r="E10" s="191">
        <f>'SC des SUCS - P&amp;L'!E102</f>
        <v>0</v>
      </c>
      <c r="F10" s="191">
        <f>'SC des SUCS - P&amp;L'!F102</f>
        <v>109515</v>
      </c>
      <c r="G10" s="152"/>
      <c r="H10" s="191"/>
      <c r="I10" s="191"/>
      <c r="J10" s="191"/>
      <c r="K10" s="191"/>
      <c r="L10" s="191"/>
      <c r="M10" s="191"/>
    </row>
    <row r="11" spans="2:13 16384:16384">
      <c r="B11" s="148" t="s">
        <v>227</v>
      </c>
      <c r="C11" s="152"/>
      <c r="D11" s="152">
        <f>'SC des SUCS - P&amp;L'!D110</f>
        <v>-253</v>
      </c>
      <c r="E11" s="152">
        <f>'SC des SUCS - P&amp;L'!E110</f>
        <v>0</v>
      </c>
      <c r="F11" s="152">
        <f>'SC des SUCS - P&amp;L'!F110</f>
        <v>-2386</v>
      </c>
      <c r="G11" s="152"/>
      <c r="H11" s="152">
        <f>'SC des SUCS - P&amp;L'!H109</f>
        <v>-5540</v>
      </c>
      <c r="I11" s="152">
        <f>'SC des SUCS - P&amp;L (2)'!I111</f>
        <v>0</v>
      </c>
      <c r="J11" s="152">
        <f>'SC des SUCS - P&amp;L (2)'!J111</f>
        <v>0</v>
      </c>
      <c r="K11" s="152">
        <f>'SC des SUCS - P&amp;L (2)'!K111</f>
        <v>0</v>
      </c>
      <c r="L11" s="152">
        <f>'SC des SUCS - P&amp;L (2)'!L111</f>
        <v>0</v>
      </c>
      <c r="M11" s="191"/>
    </row>
    <row r="12" spans="2:13 16384:16384">
      <c r="B12" s="153" t="s">
        <v>228</v>
      </c>
      <c r="C12" s="154"/>
      <c r="D12" s="154">
        <f>SUM(D8:D11)</f>
        <v>-3430</v>
      </c>
      <c r="E12" s="154">
        <f>SUM(E8:E11)</f>
        <v>-5320</v>
      </c>
      <c r="F12" s="154">
        <f>SUM(F8:F11)</f>
        <v>121465</v>
      </c>
      <c r="G12" s="154"/>
      <c r="H12" s="154">
        <f>SUM(H8:H11)</f>
        <v>38194</v>
      </c>
      <c r="I12" s="154">
        <f t="shared" ref="I12:L12" si="0">SUM(I8:I11)</f>
        <v>-77646</v>
      </c>
      <c r="J12" s="154">
        <f t="shared" si="0"/>
        <v>-77646</v>
      </c>
      <c r="K12" s="154">
        <f t="shared" si="0"/>
        <v>-77646</v>
      </c>
      <c r="L12" s="154">
        <f t="shared" si="0"/>
        <v>-77646</v>
      </c>
      <c r="M12" s="199"/>
    </row>
    <row r="13" spans="2:13 16384:16384">
      <c r="B13" s="148" t="s">
        <v>229</v>
      </c>
      <c r="C13" s="191"/>
      <c r="D13" s="191"/>
      <c r="E13" s="191"/>
      <c r="F13" s="191"/>
      <c r="G13" s="152"/>
      <c r="H13" s="191"/>
      <c r="I13" s="191"/>
      <c r="J13" s="191"/>
      <c r="K13" s="191"/>
      <c r="L13" s="191"/>
      <c r="M13" s="191"/>
    </row>
    <row r="14" spans="2:13 16384:16384">
      <c r="B14" s="148" t="s">
        <v>230</v>
      </c>
      <c r="C14" s="191"/>
      <c r="D14" s="191"/>
      <c r="E14" s="191"/>
      <c r="F14" s="191"/>
      <c r="G14" s="152"/>
      <c r="H14" s="191"/>
      <c r="I14" s="191"/>
      <c r="J14" s="191"/>
      <c r="K14" s="191"/>
      <c r="L14" s="191"/>
      <c r="M14" s="191"/>
    </row>
    <row r="15" spans="2:13 16384:16384">
      <c r="B15" s="153" t="s">
        <v>231</v>
      </c>
      <c r="C15" s="154"/>
      <c r="D15" s="154">
        <f>SUM(D16:D26)</f>
        <v>-53695</v>
      </c>
      <c r="E15" s="154">
        <f>SUM(E16:E26)</f>
        <v>-143661</v>
      </c>
      <c r="F15" s="154">
        <f>SUM(F16:F26)</f>
        <v>-202476</v>
      </c>
      <c r="G15" s="154"/>
      <c r="H15" s="154">
        <f>SUM(H16:H27)</f>
        <v>-974070</v>
      </c>
      <c r="I15" s="154">
        <f t="shared" ref="I15:L15" si="1">SUM(I16:I27)</f>
        <v>-5619</v>
      </c>
      <c r="J15" s="154">
        <f t="shared" si="1"/>
        <v>-713</v>
      </c>
      <c r="K15" s="154">
        <f t="shared" si="1"/>
        <v>6</v>
      </c>
      <c r="L15" s="154">
        <f t="shared" si="1"/>
        <v>-1</v>
      </c>
      <c r="M15" s="199"/>
    </row>
    <row r="16" spans="2:13 16384:16384" s="145" customFormat="1" ht="15" outlineLevel="1">
      <c r="B16" s="155" t="s">
        <v>232</v>
      </c>
      <c r="C16" s="156"/>
      <c r="D16" s="156">
        <f>-('SC des SUCS - Bilan'!D14-'SC des SUCS - Bilan'!C14)</f>
        <v>0</v>
      </c>
      <c r="E16" s="156">
        <f>-('SC des SUCS - Bilan'!E14-'SC des SUCS - Bilan'!D14)</f>
        <v>0</v>
      </c>
      <c r="F16" s="156">
        <f>-('SC des SUCS - Bilan'!F14-'SC des SUCS - Bilan'!E14)</f>
        <v>0</v>
      </c>
      <c r="G16" s="156"/>
      <c r="H16" s="156">
        <f>-('SC des SUCS - Bilan'!H14-'SC des SUCS - Bilan'!F14)</f>
        <v>0</v>
      </c>
      <c r="I16" s="156">
        <f>-('SC des SUCS - Bilan'!I14-'SC des SUCS - Bilan'!H14)</f>
        <v>0</v>
      </c>
      <c r="J16" s="156">
        <f>-('SC des SUCS - Bilan'!J14-'SC des SUCS - Bilan'!I14)</f>
        <v>0</v>
      </c>
      <c r="K16" s="156">
        <f>-('SC des SUCS - Bilan'!K14-'SC des SUCS - Bilan'!J14)</f>
        <v>0</v>
      </c>
      <c r="L16" s="156">
        <f>-('SC des SUCS - Bilan'!L14-'SC des SUCS - Bilan'!K14)</f>
        <v>0</v>
      </c>
      <c r="M16" s="200"/>
      <c r="XFD16" s="156"/>
    </row>
    <row r="17" spans="2:13 16384:16384" s="145" customFormat="1" ht="15" outlineLevel="1">
      <c r="B17" s="155" t="s">
        <v>233</v>
      </c>
      <c r="C17" s="156"/>
      <c r="D17" s="156">
        <f>-('SC des SUCS - Bilan'!D15-'SC des SUCS - Bilan'!C15)</f>
        <v>0</v>
      </c>
      <c r="E17" s="156">
        <f>-('SC des SUCS - Bilan'!E15-'SC des SUCS - Bilan'!D15)</f>
        <v>0</v>
      </c>
      <c r="F17" s="156">
        <f>-('SC des SUCS - Bilan'!F15-'SC des SUCS - Bilan'!E15)</f>
        <v>0</v>
      </c>
      <c r="G17" s="156"/>
      <c r="H17" s="156">
        <f>-('SC des SUCS - Bilan'!H15-'SC des SUCS - Bilan'!F15)</f>
        <v>0</v>
      </c>
      <c r="I17" s="156">
        <f>-('SC des SUCS - Bilan'!I15-'SC des SUCS - Bilan'!H15)</f>
        <v>0</v>
      </c>
      <c r="J17" s="156">
        <f>-('SC des SUCS - Bilan'!J15-'SC des SUCS - Bilan'!I15)</f>
        <v>0</v>
      </c>
      <c r="K17" s="156">
        <f>-('SC des SUCS - Bilan'!K15-'SC des SUCS - Bilan'!J15)</f>
        <v>0</v>
      </c>
      <c r="L17" s="156">
        <f>-('SC des SUCS - Bilan'!L15-'SC des SUCS - Bilan'!K15)</f>
        <v>0</v>
      </c>
      <c r="M17" s="200"/>
      <c r="XFD17" s="156"/>
    </row>
    <row r="18" spans="2:13 16384:16384" s="145" customFormat="1" ht="15" outlineLevel="1">
      <c r="B18" s="155" t="s">
        <v>234</v>
      </c>
      <c r="C18" s="156"/>
      <c r="D18" s="156">
        <f>-('SC des SUCS - Bilan'!D16-'SC des SUCS - Bilan'!C16)</f>
        <v>0</v>
      </c>
      <c r="E18" s="156">
        <f>-('SC des SUCS - Bilan'!E16-'SC des SUCS - Bilan'!D16)</f>
        <v>0</v>
      </c>
      <c r="F18" s="156">
        <f>-('SC des SUCS - Bilan'!F16-'SC des SUCS - Bilan'!E16)</f>
        <v>-70800</v>
      </c>
      <c r="G18" s="156"/>
      <c r="H18" s="156">
        <f>-('SC des SUCS - Bilan'!H16-'SC des SUCS - Bilan'!F16)</f>
        <v>28596</v>
      </c>
      <c r="I18" s="156">
        <f>-('SC des SUCS - Bilan'!I16-'SC des SUCS - Bilan'!H16)</f>
        <v>-996</v>
      </c>
      <c r="J18" s="156">
        <f>-('SC des SUCS - Bilan'!J16-'SC des SUCS - Bilan'!I16)</f>
        <v>0</v>
      </c>
      <c r="K18" s="156">
        <f>-('SC des SUCS - Bilan'!K16-'SC des SUCS - Bilan'!J16)</f>
        <v>0</v>
      </c>
      <c r="L18" s="156">
        <f>-('SC des SUCS - Bilan'!L16-'SC des SUCS - Bilan'!K16)</f>
        <v>0</v>
      </c>
      <c r="M18" s="200"/>
      <c r="XFD18" s="156"/>
    </row>
    <row r="19" spans="2:13 16384:16384" s="145" customFormat="1" ht="15" outlineLevel="1">
      <c r="B19" s="155" t="s">
        <v>235</v>
      </c>
      <c r="C19" s="156"/>
      <c r="D19" s="156">
        <f>-('SC des SUCS - Bilan'!D17-'SC des SUCS - Bilan'!C17)</f>
        <v>-53948</v>
      </c>
      <c r="E19" s="156">
        <f>-('SC des SUCS - Bilan'!E17-'SC des SUCS - Bilan'!D17)</f>
        <v>-143726</v>
      </c>
      <c r="F19" s="156">
        <f>-('SC des SUCS - Bilan'!F17-'SC des SUCS - Bilan'!E17)</f>
        <v>-145234</v>
      </c>
      <c r="G19" s="156"/>
      <c r="H19" s="156">
        <f>-('SC des SUCS - Bilan (2)'!H17-'SC des SUCS - Bilan (2)'!F17)</f>
        <v>-1000000</v>
      </c>
      <c r="I19" s="156">
        <f>-('SC des SUCS - Bilan'!I17-'SC des SUCS - Bilan'!H17)</f>
        <v>0</v>
      </c>
      <c r="J19" s="156">
        <f>-('SC des SUCS - Bilan'!J17-'SC des SUCS - Bilan'!I17)</f>
        <v>0</v>
      </c>
      <c r="K19" s="156">
        <f>-('SC des SUCS - Bilan'!K17-'SC des SUCS - Bilan'!J17)</f>
        <v>0</v>
      </c>
      <c r="L19" s="156">
        <f>-('SC des SUCS - Bilan'!L17-'SC des SUCS - Bilan'!K17)</f>
        <v>0</v>
      </c>
      <c r="M19" s="200"/>
      <c r="XFD19" s="156"/>
    </row>
    <row r="20" spans="2:13 16384:16384" s="145" customFormat="1" ht="15" outlineLevel="1">
      <c r="B20" s="155" t="s">
        <v>236</v>
      </c>
      <c r="C20" s="156"/>
      <c r="D20" s="156">
        <f>-('SC des SUCS - Bilan'!D19-'SC des SUCS - Bilan'!C19)</f>
        <v>0</v>
      </c>
      <c r="E20" s="156">
        <f>-('SC des SUCS - Bilan'!E19-'SC des SUCS - Bilan'!D19)</f>
        <v>0</v>
      </c>
      <c r="F20" s="156">
        <f>-('SC des SUCS - Bilan'!F19-'SC des SUCS - Bilan'!E19)</f>
        <v>0</v>
      </c>
      <c r="G20" s="156"/>
      <c r="H20" s="156">
        <f>-('SC des SUCS - Bilan'!H19-'SC des SUCS - Bilan'!F19)</f>
        <v>0</v>
      </c>
      <c r="I20" s="156">
        <f>-('SC des SUCS - Bilan'!I19-'SC des SUCS - Bilan'!H19)</f>
        <v>0</v>
      </c>
      <c r="J20" s="156">
        <f>-('SC des SUCS - Bilan'!J19-'SC des SUCS - Bilan'!I19)</f>
        <v>0</v>
      </c>
      <c r="K20" s="156">
        <f>-('SC des SUCS - Bilan'!K19-'SC des SUCS - Bilan'!J19)</f>
        <v>0</v>
      </c>
      <c r="L20" s="156">
        <f>-('SC des SUCS - Bilan'!L19-'SC des SUCS - Bilan'!K19)</f>
        <v>0</v>
      </c>
      <c r="M20" s="200"/>
      <c r="XFD20" s="156"/>
    </row>
    <row r="21" spans="2:13 16384:16384" s="145" customFormat="1" ht="15" outlineLevel="1">
      <c r="B21" s="155" t="s">
        <v>237</v>
      </c>
      <c r="C21" s="156"/>
      <c r="D21" s="156">
        <f>'SC des SUCS - Bilan'!D49-'SC des SUCS - Bilan'!C49</f>
        <v>0</v>
      </c>
      <c r="E21" s="156">
        <f>'SC des SUCS - Bilan'!E49-'SC des SUCS - Bilan'!D49</f>
        <v>0</v>
      </c>
      <c r="F21" s="156">
        <f>'SC des SUCS - Bilan'!F49-'SC des SUCS - Bilan'!E49</f>
        <v>0</v>
      </c>
      <c r="G21" s="156"/>
      <c r="H21" s="156">
        <f>'SC des SUCS - Bilan'!H49-'SC des SUCS - Bilan'!F49</f>
        <v>0</v>
      </c>
      <c r="I21" s="156">
        <f>'SC des SUCS - Bilan'!I49-'SC des SUCS - Bilan'!H49</f>
        <v>0</v>
      </c>
      <c r="J21" s="156">
        <f>'SC des SUCS - Bilan'!J49-'SC des SUCS - Bilan'!I49</f>
        <v>0</v>
      </c>
      <c r="K21" s="156">
        <f>'SC des SUCS - Bilan'!K49-'SC des SUCS - Bilan'!J49</f>
        <v>0</v>
      </c>
      <c r="L21" s="156">
        <f>'SC des SUCS - Bilan'!L49-'SC des SUCS - Bilan'!K49</f>
        <v>0</v>
      </c>
      <c r="M21" s="200"/>
      <c r="XFD21" s="156"/>
    </row>
    <row r="22" spans="2:13 16384:16384" s="145" customFormat="1" ht="15" outlineLevel="1">
      <c r="B22" s="155" t="s">
        <v>238</v>
      </c>
      <c r="C22" s="156"/>
      <c r="D22" s="156">
        <f>'SC des SUCS - Bilan'!D50-'SC des SUCS - Bilan'!C50</f>
        <v>0</v>
      </c>
      <c r="E22" s="156">
        <f>'SC des SUCS - Bilan'!E50-'SC des SUCS - Bilan'!D50</f>
        <v>318</v>
      </c>
      <c r="F22" s="156">
        <f>'SC des SUCS - Bilan'!F50-'SC des SUCS - Bilan'!E50</f>
        <v>1181</v>
      </c>
      <c r="G22" s="156"/>
      <c r="H22" s="156">
        <f>'SC des SUCS - Bilan'!H50-'SC des SUCS - Bilan'!F50</f>
        <v>1005</v>
      </c>
      <c r="I22" s="156">
        <f>'SC des SUCS - Bilan'!I50-'SC des SUCS - Bilan'!H50</f>
        <v>0</v>
      </c>
      <c r="J22" s="156">
        <f>'SC des SUCS - Bilan'!J50-'SC des SUCS - Bilan'!I50</f>
        <v>0</v>
      </c>
      <c r="K22" s="156">
        <f>'SC des SUCS - Bilan'!K50-'SC des SUCS - Bilan'!J50</f>
        <v>0</v>
      </c>
      <c r="L22" s="156">
        <f>'SC des SUCS - Bilan'!L50-'SC des SUCS - Bilan'!K50</f>
        <v>0</v>
      </c>
      <c r="M22" s="200"/>
      <c r="XFD22" s="156"/>
    </row>
    <row r="23" spans="2:13 16384:16384" s="145" customFormat="1" ht="15" outlineLevel="1">
      <c r="B23" s="155" t="s">
        <v>239</v>
      </c>
      <c r="C23" s="156"/>
      <c r="D23" s="156">
        <f>'SC des SUCS - Bilan'!D51-'SC des SUCS - Bilan'!C51</f>
        <v>253</v>
      </c>
      <c r="E23" s="156">
        <f>'SC des SUCS - Bilan'!E51-'SC des SUCS - Bilan'!D51</f>
        <v>-253</v>
      </c>
      <c r="F23" s="156">
        <f>'SC des SUCS - Bilan'!F51-'SC des SUCS - Bilan'!E51</f>
        <v>12377</v>
      </c>
      <c r="G23" s="156"/>
      <c r="H23" s="156">
        <f>'SC des SUCS - Bilan'!H51-'SC des SUCS - Bilan'!F51</f>
        <v>-3671</v>
      </c>
      <c r="I23" s="156">
        <f>'SC des SUCS - Bilan'!I51-'SC des SUCS - Bilan'!H51</f>
        <v>-4623</v>
      </c>
      <c r="J23" s="156">
        <f>'SC des SUCS - Bilan'!J51-'SC des SUCS - Bilan'!I51</f>
        <v>-713</v>
      </c>
      <c r="K23" s="156">
        <f>'SC des SUCS - Bilan'!K51-'SC des SUCS - Bilan'!J51</f>
        <v>6</v>
      </c>
      <c r="L23" s="156">
        <f>'SC des SUCS - Bilan'!L51-'SC des SUCS - Bilan'!K51</f>
        <v>-1</v>
      </c>
      <c r="M23" s="200"/>
      <c r="XFD23" s="156"/>
    </row>
    <row r="24" spans="2:13 16384:16384" s="145" customFormat="1" ht="15" outlineLevel="1">
      <c r="B24" s="155" t="s">
        <v>251</v>
      </c>
      <c r="C24" s="156"/>
      <c r="D24" s="156">
        <f>'SC des SUCS - Bilan'!D52-'SC des SUCS - Bilan'!C52</f>
        <v>0</v>
      </c>
      <c r="E24" s="156">
        <f>'SC des SUCS - Bilan'!E52-'SC des SUCS - Bilan'!D52</f>
        <v>0</v>
      </c>
      <c r="F24" s="156">
        <f>'SC des SUCS - Bilan'!F52-'SC des SUCS - Bilan'!E52</f>
        <v>0</v>
      </c>
      <c r="G24" s="156"/>
      <c r="H24" s="156">
        <f>'SC des SUCS - Bilan'!H52-'SC des SUCS - Bilan'!F52</f>
        <v>0</v>
      </c>
      <c r="I24" s="156">
        <f>'SC des SUCS - Bilan'!I52-'SC des SUCS - Bilan'!H52</f>
        <v>0</v>
      </c>
      <c r="J24" s="156">
        <f>'SC des SUCS - Bilan'!J52-'SC des SUCS - Bilan'!I52</f>
        <v>0</v>
      </c>
      <c r="K24" s="156">
        <f>'SC des SUCS - Bilan'!K52-'SC des SUCS - Bilan'!J52</f>
        <v>0</v>
      </c>
      <c r="L24" s="156">
        <f>'SC des SUCS - Bilan'!L52-'SC des SUCS - Bilan'!K52</f>
        <v>0</v>
      </c>
      <c r="M24" s="200"/>
      <c r="XFD24" s="156"/>
    </row>
    <row r="25" spans="2:13 16384:16384" s="145" customFormat="1" ht="15" outlineLevel="1">
      <c r="B25" s="155" t="s">
        <v>240</v>
      </c>
      <c r="C25" s="200"/>
      <c r="D25" s="156">
        <f>'SC des SUCS - Bilan'!D53-'SC des SUCS - Bilan'!C53</f>
        <v>0</v>
      </c>
      <c r="E25" s="156">
        <f>'SC des SUCS - Bilan'!E53-'SC des SUCS - Bilan'!D53</f>
        <v>0</v>
      </c>
      <c r="F25" s="156">
        <f>'SC des SUCS - Bilan'!F53-'SC des SUCS - Bilan'!E53</f>
        <v>0</v>
      </c>
      <c r="G25" s="156"/>
      <c r="H25" s="156">
        <f>'SC des SUCS - Bilan'!H53-'SC des SUCS - Bilan'!F53</f>
        <v>0</v>
      </c>
      <c r="I25" s="156">
        <f>'SC des SUCS - Bilan'!I53-'SC des SUCS - Bilan'!H53</f>
        <v>0</v>
      </c>
      <c r="J25" s="156">
        <f>'SC des SUCS - Bilan'!J53-'SC des SUCS - Bilan'!I53</f>
        <v>0</v>
      </c>
      <c r="K25" s="156">
        <f>'SC des SUCS - Bilan'!K53-'SC des SUCS - Bilan'!J53</f>
        <v>0</v>
      </c>
      <c r="L25" s="156">
        <f>'SC des SUCS - Bilan'!L53-'SC des SUCS - Bilan'!K53</f>
        <v>0</v>
      </c>
      <c r="M25" s="200"/>
      <c r="XFD25" s="156"/>
    </row>
    <row r="26" spans="2:13 16384:16384" s="145" customFormat="1" ht="15" outlineLevel="1">
      <c r="B26" s="157" t="s">
        <v>241</v>
      </c>
      <c r="C26" s="156"/>
      <c r="D26" s="156">
        <f>'SC des SUCS - Bilan'!D54-'SC des SUCS - Bilan'!C54</f>
        <v>0</v>
      </c>
      <c r="E26" s="156">
        <f>'SC des SUCS - Bilan'!E54-'SC des SUCS - Bilan'!D54</f>
        <v>0</v>
      </c>
      <c r="F26" s="156">
        <f>'SC des SUCS - Bilan'!F54-'SC des SUCS - Bilan'!E54</f>
        <v>0</v>
      </c>
      <c r="G26" s="156"/>
      <c r="H26" s="156">
        <f>'SC des SUCS - Bilan'!H54-'SC des SUCS - Bilan'!F54</f>
        <v>0</v>
      </c>
      <c r="I26" s="156">
        <f>'SC des SUCS - Bilan'!I54-'SC des SUCS - Bilan'!H54</f>
        <v>0</v>
      </c>
      <c r="J26" s="156">
        <f>'SC des SUCS - Bilan'!J54-'SC des SUCS - Bilan'!I54</f>
        <v>0</v>
      </c>
      <c r="K26" s="156">
        <f>'SC des SUCS - Bilan'!K54-'SC des SUCS - Bilan'!J54</f>
        <v>0</v>
      </c>
      <c r="L26" s="156">
        <f>'SC des SUCS - Bilan'!L54-'SC des SUCS - Bilan'!K54</f>
        <v>0</v>
      </c>
      <c r="M26" s="200"/>
      <c r="XFD26" s="156"/>
    </row>
    <row r="27" spans="2:13 16384:16384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 16384:16384">
      <c r="B28" s="159" t="s">
        <v>242</v>
      </c>
      <c r="C28" s="160"/>
      <c r="D28" s="160">
        <f t="shared" ref="D28:F28" si="2">SUM(D12:D15)</f>
        <v>-57125</v>
      </c>
      <c r="E28" s="160">
        <f t="shared" si="2"/>
        <v>-148981</v>
      </c>
      <c r="F28" s="160">
        <f t="shared" si="2"/>
        <v>-81011</v>
      </c>
      <c r="G28" s="160"/>
      <c r="H28" s="160">
        <f t="shared" ref="H28:L28" si="3">SUM(H12:H15)</f>
        <v>-935876</v>
      </c>
      <c r="I28" s="160">
        <f t="shared" si="3"/>
        <v>-83265</v>
      </c>
      <c r="J28" s="160">
        <f t="shared" si="3"/>
        <v>-78359</v>
      </c>
      <c r="K28" s="160">
        <f t="shared" si="3"/>
        <v>-77640</v>
      </c>
      <c r="L28" s="160">
        <f t="shared" si="3"/>
        <v>-77647</v>
      </c>
      <c r="M28" s="202"/>
    </row>
    <row r="29" spans="2:13 16384:16384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 16384:16384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 16384:16384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 16384:16384">
      <c r="B32" s="151" t="s">
        <v>196</v>
      </c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201"/>
    </row>
    <row r="33" spans="2:17">
      <c r="B33" s="151" t="s">
        <v>197</v>
      </c>
      <c r="C33" s="158"/>
      <c r="D33" s="158">
        <f>-('SC des SUCS - Bilan'!D11-'SC des SUCS - Bilan'!C11)</f>
        <v>-2100</v>
      </c>
      <c r="E33" s="158">
        <f>-('SC des SUCS - Bilan'!E11-'SC des SUCS - Bilan'!D11)</f>
        <v>-510900</v>
      </c>
      <c r="F33" s="158">
        <f>-('SC des SUCS - Bilan'!F11-'SC des SUCS - Bilan'!E11)</f>
        <v>-362739</v>
      </c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-2100</v>
      </c>
      <c r="E35" s="160">
        <f>SUM(E31:E34)</f>
        <v>-510900</v>
      </c>
      <c r="F35" s="160">
        <f>SUM(F31:F34)</f>
        <v>-362739</v>
      </c>
      <c r="G35" s="160"/>
      <c r="H35" s="160">
        <f t="shared" ref="H35:L35" si="4">SUM(H31:H33)</f>
        <v>0</v>
      </c>
      <c r="I35" s="160">
        <f t="shared" si="4"/>
        <v>0</v>
      </c>
      <c r="J35" s="160">
        <f t="shared" si="4"/>
        <v>0</v>
      </c>
      <c r="K35" s="160">
        <f t="shared" si="4"/>
        <v>0</v>
      </c>
      <c r="L35" s="160">
        <f t="shared" si="4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>
        <f>SUM(D39:D45)</f>
        <v>29708</v>
      </c>
      <c r="E38" s="205">
        <f>SUM(E39:E45)</f>
        <v>116786</v>
      </c>
      <c r="F38" s="205">
        <f>SUM(F39:F45)</f>
        <v>31669</v>
      </c>
      <c r="G38" s="134"/>
      <c r="H38" s="205">
        <f>'SC des SUCS - P&amp;L'!H85</f>
        <v>40699</v>
      </c>
      <c r="I38" s="205">
        <f>'SC des SUCS - P&amp;L'!I85</f>
        <v>41260</v>
      </c>
      <c r="J38" s="205">
        <f>'SC des SUCS - P&amp;L'!J85</f>
        <v>41756</v>
      </c>
      <c r="K38" s="205">
        <f>'SC des SUCS - P&amp;L'!K85</f>
        <v>42259</v>
      </c>
      <c r="L38" s="205">
        <f>'SC des SUCS - P&amp;L'!L85</f>
        <v>42766</v>
      </c>
      <c r="M38" s="205"/>
      <c r="N38" s="134"/>
      <c r="O38" s="134"/>
      <c r="P38" s="134"/>
      <c r="Q38" s="134"/>
    </row>
    <row r="39" spans="2:17" s="137" customFormat="1" ht="12.75" outlineLevel="1">
      <c r="B39" s="164" t="str">
        <f>'SC des SUCS - P&amp;L'!B87</f>
        <v>Revenu titre de participation</v>
      </c>
      <c r="C39" s="206"/>
      <c r="D39" s="206">
        <f>'SC des SUCS - P&amp;L'!D87</f>
        <v>26111</v>
      </c>
      <c r="E39" s="206">
        <f>'SC des SUCS - P&amp;L'!E87</f>
        <v>110112</v>
      </c>
      <c r="F39" s="206">
        <f>'SC des SUCS - P&amp;L'!F87</f>
        <v>0</v>
      </c>
      <c r="G39" s="133"/>
      <c r="H39" s="206"/>
      <c r="I39" s="206"/>
      <c r="J39" s="206"/>
      <c r="K39" s="206"/>
      <c r="L39" s="206"/>
      <c r="M39" s="206"/>
      <c r="N39" s="138"/>
      <c r="O39" s="138"/>
      <c r="P39" s="138"/>
      <c r="Q39" s="138"/>
    </row>
    <row r="40" spans="2:17" s="137" customFormat="1" ht="12.75" outlineLevel="1">
      <c r="B40" s="164" t="str">
        <f>'SC des SUCS - P&amp;L'!B88</f>
        <v>Intérêts C/C Probois</v>
      </c>
      <c r="C40" s="206"/>
      <c r="D40" s="206">
        <f>'SC des SUCS - P&amp;L'!D88</f>
        <v>0</v>
      </c>
      <c r="E40" s="206">
        <f>'SC des SUCS - P&amp;L'!E88</f>
        <v>0</v>
      </c>
      <c r="F40" s="206">
        <f>'SC des SUCS - P&amp;L'!F88</f>
        <v>0</v>
      </c>
      <c r="G40" s="133"/>
      <c r="H40" s="206"/>
      <c r="I40" s="206"/>
      <c r="J40" s="206"/>
      <c r="K40" s="206"/>
      <c r="L40" s="206"/>
      <c r="M40" s="206"/>
      <c r="N40" s="138"/>
      <c r="O40" s="138"/>
      <c r="P40" s="138"/>
      <c r="Q40" s="138"/>
    </row>
    <row r="41" spans="2:17" s="137" customFormat="1" ht="12.75" outlineLevel="1">
      <c r="B41" s="164" t="str">
        <f>'SC des SUCS - P&amp;L'!B89</f>
        <v>Intérêt C/C BSB</v>
      </c>
      <c r="C41" s="206"/>
      <c r="D41" s="206">
        <f>'SC des SUCS - P&amp;L'!D89</f>
        <v>3303</v>
      </c>
      <c r="E41" s="206">
        <f>'SC des SUCS - P&amp;L'!E89</f>
        <v>4870</v>
      </c>
      <c r="F41" s="206">
        <f>'SC des SUCS - P&amp;L'!F89</f>
        <v>28076</v>
      </c>
      <c r="G41" s="133"/>
      <c r="H41" s="206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s="137" customFormat="1" ht="12.75" outlineLevel="1">
      <c r="B42" s="164" t="str">
        <f>'SC des SUCS - P&amp;L'!B90</f>
        <v>Intérêt C/C bout du monde</v>
      </c>
      <c r="C42" s="206"/>
      <c r="D42" s="206">
        <f>'SC des SUCS - P&amp;L'!D90</f>
        <v>228</v>
      </c>
      <c r="E42" s="206">
        <f>'SC des SUCS - P&amp;L'!E90</f>
        <v>562</v>
      </c>
      <c r="F42" s="206">
        <f>'SC des SUCS - P&amp;L'!F90</f>
        <v>3584</v>
      </c>
      <c r="G42" s="133"/>
      <c r="H42" s="206"/>
      <c r="I42" s="206"/>
      <c r="J42" s="206"/>
      <c r="K42" s="206"/>
      <c r="L42" s="206"/>
      <c r="M42" s="206"/>
      <c r="N42" s="138"/>
      <c r="O42" s="138"/>
      <c r="P42" s="138"/>
      <c r="Q42" s="138"/>
    </row>
    <row r="43" spans="2:17" s="137" customFormat="1" ht="12.75" outlineLevel="1">
      <c r="B43" s="164" t="str">
        <f>'SC des SUCS - P&amp;L'!B91</f>
        <v>Intérêt C/C immo d'antreuil</v>
      </c>
      <c r="C43" s="206"/>
      <c r="D43" s="206">
        <f>'SC des SUCS - P&amp;L'!D91</f>
        <v>0</v>
      </c>
      <c r="E43" s="206">
        <f>'SC des SUCS - P&amp;L'!E91</f>
        <v>0</v>
      </c>
      <c r="F43" s="206">
        <f>'SC des SUCS - P&amp;L'!F91</f>
        <v>9</v>
      </c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 s="137" customFormat="1" ht="12.75" outlineLevel="1">
      <c r="B44" s="164" t="str">
        <f>'SC des SUCS - P&amp;L'!B92</f>
        <v>Intérêt C/C EMH</v>
      </c>
      <c r="C44" s="206"/>
      <c r="D44" s="206">
        <f>'SC des SUCS - P&amp;L'!D92</f>
        <v>66</v>
      </c>
      <c r="E44" s="206">
        <f>'SC des SUCS - P&amp;L'!E92</f>
        <v>1242</v>
      </c>
      <c r="F44" s="206">
        <f>'SC des SUCS - P&amp;L'!F92</f>
        <v>0</v>
      </c>
      <c r="G44" s="133"/>
      <c r="H44" s="206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s="137" customFormat="1" ht="12.75" outlineLevel="1">
      <c r="B45" s="164"/>
      <c r="C45" s="206"/>
      <c r="D45" s="206"/>
      <c r="E45" s="206"/>
      <c r="F45" s="206"/>
      <c r="G45" s="133"/>
      <c r="H45" s="206"/>
      <c r="I45" s="206"/>
      <c r="J45" s="206"/>
      <c r="K45" s="206"/>
      <c r="L45" s="206"/>
      <c r="M45" s="206"/>
      <c r="N45" s="138"/>
      <c r="O45" s="138"/>
      <c r="P45" s="138"/>
      <c r="Q45" s="138"/>
    </row>
    <row r="46" spans="2:17">
      <c r="B46" s="161" t="s">
        <v>28</v>
      </c>
      <c r="C46" s="205"/>
      <c r="D46" s="205">
        <f>SUM(D47:D50)</f>
        <v>-4879</v>
      </c>
      <c r="E46" s="205">
        <f>SUM(E47:E50)</f>
        <v>-14271</v>
      </c>
      <c r="F46" s="205">
        <f>SUM(F47:F50)</f>
        <v>-43420</v>
      </c>
      <c r="G46" s="134"/>
      <c r="H46" s="205">
        <f>'SC des SUCS - P&amp;L (2)'!H94</f>
        <v>0</v>
      </c>
      <c r="I46" s="205">
        <f>'SC des SUCS - P&amp;L (2)'!I94</f>
        <v>-90000</v>
      </c>
      <c r="J46" s="205">
        <f>'SC des SUCS - P&amp;L (2)'!J94</f>
        <v>-90000</v>
      </c>
      <c r="K46" s="205">
        <f>'SC des SUCS - P&amp;L (2)'!K94</f>
        <v>-90000</v>
      </c>
      <c r="L46" s="205">
        <f>'SC des SUCS - P&amp;L (2)'!L94</f>
        <v>-90000</v>
      </c>
      <c r="M46" s="205"/>
      <c r="N46" s="134"/>
      <c r="O46" s="134"/>
      <c r="P46" s="134"/>
      <c r="Q46" s="134"/>
    </row>
    <row r="47" spans="2:17" s="137" customFormat="1" ht="12.75" outlineLevel="1">
      <c r="B47" s="164" t="str">
        <f>'SC des SUCS - P&amp;L'!B95</f>
        <v>Intérêt sur emprunt</v>
      </c>
      <c r="C47" s="206"/>
      <c r="D47" s="206">
        <f>'SC des SUCS - P&amp;L'!D95</f>
        <v>-671</v>
      </c>
      <c r="E47" s="206">
        <f>'SC des SUCS - P&amp;L'!E95</f>
        <v>-472</v>
      </c>
      <c r="F47" s="206">
        <f>'SC des SUCS - P&amp;L'!F95</f>
        <v>-3034</v>
      </c>
      <c r="G47" s="133"/>
      <c r="H47" s="206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 s="137" customFormat="1" ht="12.75" outlineLevel="1">
      <c r="B48" s="164" t="str">
        <f>'SC des SUCS - P&amp;L'!B96</f>
        <v>Intérêt C/C emballages</v>
      </c>
      <c r="C48" s="206"/>
      <c r="D48" s="206">
        <f>'SC des SUCS - P&amp;L'!D96</f>
        <v>0</v>
      </c>
      <c r="E48" s="206">
        <f>'SC des SUCS - P&amp;L'!E96</f>
        <v>0</v>
      </c>
      <c r="F48" s="206">
        <f>'SC des SUCS - P&amp;L'!F96</f>
        <v>-6225</v>
      </c>
      <c r="G48" s="133"/>
      <c r="H48" s="206"/>
      <c r="I48" s="206"/>
      <c r="J48" s="206"/>
      <c r="K48" s="206"/>
      <c r="L48" s="206"/>
      <c r="M48" s="206"/>
      <c r="N48" s="138"/>
      <c r="O48" s="138"/>
      <c r="P48" s="138"/>
      <c r="Q48" s="138"/>
    </row>
    <row r="49" spans="2:17" s="137" customFormat="1" ht="12.75" outlineLevel="1">
      <c r="B49" s="164" t="str">
        <f>'SC des SUCS - P&amp;L'!B97</f>
        <v>Intérêt C/c probois</v>
      </c>
      <c r="C49" s="206"/>
      <c r="D49" s="206">
        <f>'SC des SUCS - P&amp;L'!D97</f>
        <v>-4208</v>
      </c>
      <c r="E49" s="206">
        <f>'SC des SUCS - P&amp;L'!E97</f>
        <v>-13799</v>
      </c>
      <c r="F49" s="206">
        <f>'SC des SUCS - P&amp;L'!F97</f>
        <v>-34161</v>
      </c>
      <c r="G49" s="133"/>
      <c r="H49" s="206"/>
      <c r="I49" s="206"/>
      <c r="J49" s="206"/>
      <c r="K49" s="206"/>
      <c r="L49" s="206"/>
      <c r="M49" s="206"/>
      <c r="N49" s="138"/>
      <c r="O49" s="138"/>
      <c r="P49" s="138"/>
      <c r="Q49" s="138"/>
    </row>
    <row r="50" spans="2:17" s="137" customFormat="1" ht="12.75" outlineLevel="1">
      <c r="B50" s="164"/>
      <c r="C50" s="206"/>
      <c r="D50" s="206"/>
      <c r="E50" s="206"/>
      <c r="F50" s="206"/>
      <c r="G50" s="133"/>
      <c r="H50" s="206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>
      <c r="B51" s="161" t="s">
        <v>213</v>
      </c>
      <c r="C51" s="152"/>
      <c r="D51" s="152">
        <f>SUM(D52:D55)</f>
        <v>-12895</v>
      </c>
      <c r="E51" s="152">
        <f>SUM(E52:E55)</f>
        <v>-13094</v>
      </c>
      <c r="F51" s="152">
        <f>SUM(F52:F55)</f>
        <v>214026</v>
      </c>
      <c r="G51" s="152"/>
      <c r="H51" s="152">
        <f>'SC des SUCS - Bilan (2)'!H38-'SC des SUCS - Bilan (2)'!F38</f>
        <v>140827</v>
      </c>
      <c r="I51" s="152">
        <f>'SC des SUCS - Bilan (2)'!I38-'SC des SUCS - Bilan (2)'!H38</f>
        <v>-45745</v>
      </c>
      <c r="J51" s="152">
        <f>'SC des SUCS - Bilan (2)'!J38-'SC des SUCS - Bilan (2)'!I38</f>
        <v>-46241</v>
      </c>
      <c r="K51" s="152">
        <f>'SC des SUCS - Bilan (2)'!K38-'SC des SUCS - Bilan (2)'!J38</f>
        <v>-46743</v>
      </c>
      <c r="L51" s="152">
        <f>'SC des SUCS - Bilan (2)'!L38-'SC des SUCS - Bilan (2)'!K38</f>
        <v>-43293</v>
      </c>
      <c r="M51" s="205"/>
      <c r="N51" s="134"/>
      <c r="O51" s="134"/>
      <c r="P51" s="134"/>
      <c r="Q51" s="134"/>
    </row>
    <row r="52" spans="2:17" s="137" customFormat="1" ht="12.75" outlineLevel="1">
      <c r="B52" s="165" t="str">
        <f>'SC des SUCS - Bilan'!B39</f>
        <v>Empunt CA n°1356365</v>
      </c>
      <c r="C52" s="206"/>
      <c r="D52" s="206">
        <f>'SC des SUCS - Bilan'!D39-'SC des SUCS - Bilan'!C39</f>
        <v>-12894</v>
      </c>
      <c r="E52" s="206">
        <f>'SC des SUCS - Bilan'!E39-'SC des SUCS - Bilan'!D39</f>
        <v>-13093</v>
      </c>
      <c r="F52" s="206">
        <f>'SC des SUCS - Bilan'!F39-'SC des SUCS - Bilan'!E39</f>
        <v>-13295</v>
      </c>
      <c r="G52" s="133"/>
      <c r="H52" s="206"/>
      <c r="I52" s="206"/>
      <c r="J52" s="206"/>
      <c r="K52" s="206"/>
      <c r="L52" s="206"/>
      <c r="M52" s="206"/>
      <c r="N52" s="138"/>
      <c r="O52" s="138"/>
      <c r="P52" s="138"/>
      <c r="Q52" s="138"/>
    </row>
    <row r="53" spans="2:17" s="137" customFormat="1" ht="12.75" outlineLevel="1">
      <c r="B53" s="165" t="str">
        <f>'SC des SUCS - Bilan'!B40</f>
        <v>Emprunt n°8002 EMH</v>
      </c>
      <c r="C53" s="206"/>
      <c r="D53" s="206">
        <f>'SC des SUCS - Bilan'!D40-'SC des SUCS - Bilan'!C40</f>
        <v>0</v>
      </c>
      <c r="E53" s="206">
        <f>'SC des SUCS - Bilan'!E40-'SC des SUCS - Bilan'!D40</f>
        <v>0</v>
      </c>
      <c r="F53" s="206">
        <f>'SC des SUCS - Bilan'!F40-'SC des SUCS - Bilan'!E40</f>
        <v>227276</v>
      </c>
      <c r="G53" s="133"/>
      <c r="H53" s="206"/>
      <c r="I53" s="206"/>
      <c r="J53" s="206"/>
      <c r="K53" s="206"/>
      <c r="L53" s="206"/>
      <c r="M53" s="206"/>
      <c r="N53" s="138"/>
      <c r="O53" s="138"/>
      <c r="P53" s="138"/>
      <c r="Q53" s="138"/>
    </row>
    <row r="54" spans="2:17" s="137" customFormat="1" ht="12.75" outlineLevel="1">
      <c r="B54" s="165" t="str">
        <f>'SC des SUCS - Bilan'!B41</f>
        <v>Intréêt couru sur emprunt</v>
      </c>
      <c r="C54" s="206"/>
      <c r="D54" s="206">
        <f>'SC des SUCS - Bilan'!D41-'SC des SUCS - Bilan'!C41</f>
        <v>-1</v>
      </c>
      <c r="E54" s="206">
        <f>'SC des SUCS - Bilan'!E41-'SC des SUCS - Bilan'!D41</f>
        <v>-1</v>
      </c>
      <c r="F54" s="206">
        <f>'SC des SUCS - Bilan'!F41-'SC des SUCS - Bilan'!E41</f>
        <v>45</v>
      </c>
      <c r="G54" s="133"/>
      <c r="H54" s="206"/>
      <c r="I54" s="206"/>
      <c r="J54" s="206"/>
      <c r="K54" s="206"/>
      <c r="L54" s="206"/>
      <c r="M54" s="206"/>
      <c r="N54" s="138"/>
      <c r="O54" s="138"/>
      <c r="P54" s="138"/>
      <c r="Q54" s="138"/>
    </row>
    <row r="55" spans="2:17" s="137" customFormat="1" ht="12.75" outlineLevel="1">
      <c r="B55" s="165"/>
      <c r="C55" s="206"/>
      <c r="D55" s="206"/>
      <c r="E55" s="206"/>
      <c r="F55" s="206"/>
      <c r="G55" s="133"/>
      <c r="H55" s="206"/>
      <c r="I55" s="206"/>
      <c r="J55" s="206"/>
      <c r="K55" s="206"/>
      <c r="L55" s="206"/>
      <c r="M55" s="206"/>
      <c r="N55" s="138"/>
      <c r="O55" s="138"/>
      <c r="P55" s="138"/>
      <c r="Q55" s="138"/>
    </row>
    <row r="56" spans="2:17">
      <c r="B56" s="161" t="s">
        <v>214</v>
      </c>
      <c r="C56" s="152"/>
      <c r="D56" s="152">
        <f>SUM(D57:D61)</f>
        <v>528116</v>
      </c>
      <c r="E56" s="152">
        <f>SUM(E57:E61)</f>
        <v>-209313</v>
      </c>
      <c r="F56" s="152">
        <f>SUM(F57:F61)</f>
        <v>292495</v>
      </c>
      <c r="G56" s="152"/>
      <c r="H56" s="152">
        <f>SUM(H57:H61)</f>
        <v>553551</v>
      </c>
      <c r="I56" s="152">
        <f>SUM(I57:I61)</f>
        <v>0</v>
      </c>
      <c r="J56" s="152">
        <f>SUM(J57:J61)</f>
        <v>0</v>
      </c>
      <c r="K56" s="152">
        <f>SUM(K57:K61)</f>
        <v>0</v>
      </c>
      <c r="L56" s="152">
        <f>SUM(L57:L61)</f>
        <v>0</v>
      </c>
      <c r="M56" s="205"/>
      <c r="N56" s="134"/>
      <c r="O56" s="134"/>
      <c r="P56" s="134"/>
      <c r="Q56" s="134"/>
    </row>
    <row r="57" spans="2:17" s="137" customFormat="1" ht="12.75" outlineLevel="1">
      <c r="B57" s="165" t="str">
        <f>'SC des SUCS - Bilan'!B44</f>
        <v>C/C EM</v>
      </c>
      <c r="C57" s="206"/>
      <c r="D57" s="206">
        <f>'SC des SUCS - Bilan'!D44-'SC des SUCS - Bilan'!C44</f>
        <v>0</v>
      </c>
      <c r="E57" s="206">
        <f>'SC des SUCS - Bilan'!E44-'SC des SUCS - Bilan'!D44</f>
        <v>0</v>
      </c>
      <c r="F57" s="206">
        <f>'SC des SUCS - Bilan'!F44-'SC des SUCS - Bilan'!E44</f>
        <v>204287</v>
      </c>
      <c r="G57" s="133"/>
      <c r="H57" s="346">
        <f>581994-'SC des SUCS - Bilan (2)'!F43</f>
        <v>-196449</v>
      </c>
      <c r="I57" s="345"/>
      <c r="J57" s="345"/>
      <c r="K57" s="345"/>
      <c r="L57" s="345"/>
      <c r="M57" s="206"/>
      <c r="N57" s="138"/>
      <c r="O57" s="138"/>
      <c r="P57" s="138"/>
      <c r="Q57" s="138"/>
    </row>
    <row r="58" spans="2:17" s="137" customFormat="1" ht="12.75" outlineLevel="1">
      <c r="B58" s="165" t="str">
        <f>'SC des SUCS - Bilan'!B45</f>
        <v>C/C S. DURSAP</v>
      </c>
      <c r="C58" s="206"/>
      <c r="D58" s="206">
        <f>'SC des SUCS - Bilan'!D45-'SC des SUCS - Bilan'!C45</f>
        <v>0</v>
      </c>
      <c r="E58" s="206">
        <f>'SC des SUCS - Bilan'!E45-'SC des SUCS - Bilan'!D45</f>
        <v>-63000</v>
      </c>
      <c r="F58" s="206">
        <f>'SC des SUCS - Bilan'!F45-'SC des SUCS - Bilan'!E45</f>
        <v>-104100</v>
      </c>
      <c r="G58" s="133"/>
      <c r="H58" s="346"/>
      <c r="I58" s="345"/>
      <c r="J58" s="345"/>
      <c r="K58" s="345"/>
      <c r="L58" s="345"/>
      <c r="M58" s="206"/>
      <c r="N58" s="138"/>
      <c r="O58" s="138"/>
      <c r="P58" s="138"/>
      <c r="Q58" s="138"/>
    </row>
    <row r="59" spans="2:17" s="137" customFormat="1" ht="12.75" outlineLevel="1">
      <c r="B59" s="165" t="str">
        <f>'SC des SUCS - Bilan'!B46</f>
        <v>C/C Probois</v>
      </c>
      <c r="C59" s="206"/>
      <c r="D59" s="206">
        <f>'SC des SUCS - Bilan'!D46-'SC des SUCS - Bilan'!C46</f>
        <v>528116</v>
      </c>
      <c r="E59" s="206">
        <f>'SC des SUCS - Bilan'!E46-'SC des SUCS - Bilan'!D46</f>
        <v>-146313</v>
      </c>
      <c r="F59" s="206">
        <f>'SC des SUCS - Bilan'!F46-'SC des SUCS - Bilan'!E46</f>
        <v>192308</v>
      </c>
      <c r="G59" s="133"/>
      <c r="H59" s="346"/>
      <c r="I59" s="345"/>
      <c r="J59" s="345"/>
      <c r="K59" s="345"/>
      <c r="L59" s="345"/>
      <c r="M59" s="206"/>
      <c r="N59" s="138"/>
      <c r="O59" s="138"/>
      <c r="P59" s="138"/>
      <c r="Q59" s="138"/>
    </row>
    <row r="60" spans="2:17" s="137" customFormat="1" ht="12.75" outlineLevel="1">
      <c r="B60" s="165" t="str">
        <f>'SC des SUCS - Bilan (2)'!B47</f>
        <v>Obligations</v>
      </c>
      <c r="C60" s="206"/>
      <c r="D60" s="206"/>
      <c r="E60" s="206"/>
      <c r="F60" s="206"/>
      <c r="G60" s="133"/>
      <c r="H60" s="206">
        <f>'SC des SUCS - Bilan (2)'!H47</f>
        <v>750000</v>
      </c>
      <c r="I60" s="206"/>
      <c r="J60" s="206"/>
      <c r="K60" s="206"/>
      <c r="L60" s="206"/>
      <c r="M60" s="206"/>
      <c r="N60" s="138"/>
      <c r="O60" s="138"/>
      <c r="P60" s="138"/>
      <c r="Q60" s="138"/>
    </row>
    <row r="61" spans="2:17" s="137" customFormat="1" ht="12.75" outlineLevel="1">
      <c r="B61" s="164"/>
      <c r="C61" s="206"/>
      <c r="D61" s="206"/>
      <c r="E61" s="206"/>
      <c r="F61" s="206"/>
      <c r="G61" s="133"/>
      <c r="H61" s="206"/>
      <c r="I61" s="206"/>
      <c r="J61" s="206"/>
      <c r="K61" s="206"/>
      <c r="L61" s="206"/>
      <c r="M61" s="206"/>
      <c r="N61" s="138"/>
      <c r="O61" s="138"/>
      <c r="P61" s="138"/>
      <c r="Q61" s="138"/>
    </row>
    <row r="62" spans="2:17">
      <c r="B62" s="161" t="s">
        <v>162</v>
      </c>
      <c r="C62" s="134"/>
      <c r="D62" s="134"/>
      <c r="E62" s="134"/>
      <c r="F62" s="134"/>
      <c r="G62" s="134"/>
      <c r="H62" s="134">
        <f>'Probois 43 - Bilan'!F30</f>
        <v>0</v>
      </c>
      <c r="I62" s="308">
        <v>0</v>
      </c>
      <c r="J62" s="134">
        <f>'Probois 43 - Bilan'!I30</f>
        <v>0</v>
      </c>
      <c r="K62" s="134">
        <f>'Probois 43 - Bilan'!J30</f>
        <v>0</v>
      </c>
      <c r="L62" s="134">
        <f>'Probois 43 - Bilan'!K30</f>
        <v>0</v>
      </c>
      <c r="M62" s="205"/>
      <c r="N62" s="134"/>
      <c r="O62" s="134"/>
      <c r="P62" s="134"/>
      <c r="Q62" s="134"/>
    </row>
    <row r="63" spans="2:17" s="137" customFormat="1" ht="12.75" outlineLevel="1">
      <c r="B63" s="162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207"/>
      <c r="N63" s="138"/>
      <c r="O63" s="138"/>
      <c r="P63" s="138"/>
      <c r="Q63" s="138"/>
    </row>
    <row r="64" spans="2:17" s="137" customFormat="1">
      <c r="B64" s="161" t="s">
        <v>263</v>
      </c>
      <c r="C64" s="134"/>
      <c r="D64" s="134"/>
      <c r="E64" s="134"/>
      <c r="F64" s="134"/>
      <c r="G64" s="134"/>
      <c r="H64" s="134"/>
      <c r="I64" s="134">
        <v>0</v>
      </c>
      <c r="J64" s="134">
        <f>+'Probois 43 - Bilan'!J28-('Probois 43 - Bilan'!I28+'Probois 43 - Bilan'!I29)</f>
        <v>0</v>
      </c>
      <c r="K64" s="134">
        <f>+'Probois 43 - Bilan'!K28-('Probois 43 - Bilan'!J28+'Probois 43 - Bilan'!J29)</f>
        <v>0</v>
      </c>
      <c r="L64" s="134">
        <f>+'Probois 43 - Bilan'!L28-('Probois 43 - Bilan'!K28+'Probois 43 - Bilan'!K29)</f>
        <v>0</v>
      </c>
      <c r="M64" s="207"/>
      <c r="N64" s="138"/>
      <c r="O64" s="138"/>
      <c r="P64" s="138"/>
      <c r="Q64" s="138"/>
    </row>
    <row r="65" spans="2:17" s="137" customFormat="1" ht="12.75" outlineLevel="1">
      <c r="B65" s="162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207"/>
      <c r="N65" s="138"/>
      <c r="O65" s="138"/>
      <c r="P65" s="138"/>
      <c r="Q65" s="138"/>
    </row>
    <row r="66" spans="2:17">
      <c r="B66" s="161" t="s">
        <v>252</v>
      </c>
      <c r="C66" s="205"/>
      <c r="D66" s="205">
        <f>'SC des SUCS - Bilan'!D26-'SC des SUCS - Bilan'!C26</f>
        <v>0</v>
      </c>
      <c r="E66" s="205">
        <f>'SC des SUCS - Bilan'!E26-'SC des SUCS - Bilan'!D26</f>
        <v>510000</v>
      </c>
      <c r="F66" s="205">
        <f>'SC des SUCS - Bilan'!F26-'SC des SUCS - Bilan'!E26</f>
        <v>0</v>
      </c>
      <c r="G66" s="134"/>
      <c r="H66" s="205">
        <f>SUM(H67:H67)</f>
        <v>250000</v>
      </c>
      <c r="I66" s="134">
        <v>0</v>
      </c>
      <c r="J66" s="134">
        <f>SUM(J67:J67)</f>
        <v>0</v>
      </c>
      <c r="K66" s="134">
        <f>SUM(K67:K67)</f>
        <v>0</v>
      </c>
      <c r="L66" s="134">
        <f>SUM(L67:L67)</f>
        <v>0</v>
      </c>
      <c r="M66" s="205"/>
      <c r="N66" s="134"/>
      <c r="O66" s="134"/>
      <c r="P66" s="134"/>
      <c r="Q66" s="134"/>
    </row>
    <row r="67" spans="2:17" s="137" customFormat="1" ht="12.75" outlineLevel="1">
      <c r="B67" s="166" t="s">
        <v>101</v>
      </c>
      <c r="C67" s="138"/>
      <c r="D67" s="138"/>
      <c r="E67" s="138"/>
      <c r="F67" s="138"/>
      <c r="G67" s="138"/>
      <c r="H67" s="138">
        <v>250000</v>
      </c>
      <c r="I67" s="138"/>
      <c r="J67" s="138"/>
      <c r="K67" s="138"/>
      <c r="L67" s="138"/>
      <c r="M67" s="207"/>
      <c r="N67" s="138"/>
      <c r="O67" s="138"/>
      <c r="P67" s="138"/>
      <c r="Q67" s="138"/>
    </row>
    <row r="68" spans="2:17" s="137" customFormat="1" ht="12.75">
      <c r="B68" s="162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207"/>
      <c r="N68" s="138"/>
      <c r="O68" s="138"/>
      <c r="P68" s="138"/>
      <c r="Q68" s="138"/>
    </row>
    <row r="69" spans="2:17">
      <c r="B69" s="159" t="s">
        <v>246</v>
      </c>
      <c r="C69" s="208"/>
      <c r="D69" s="208">
        <f>D38+D46+D51+D56+D62+D64+D66</f>
        <v>540050</v>
      </c>
      <c r="E69" s="208">
        <f>E38+E46+E51+E56+E62+E64+E66</f>
        <v>390108</v>
      </c>
      <c r="F69" s="208">
        <f>F38+F46+F51+F56+F62+F64+F66</f>
        <v>494770</v>
      </c>
      <c r="G69" s="221"/>
      <c r="H69" s="208">
        <f>H38+H46+H51+H56+H62+H64+H66</f>
        <v>985077</v>
      </c>
      <c r="I69" s="208">
        <f>I38+I46+I51+I56+I62+I64+I66</f>
        <v>-94485</v>
      </c>
      <c r="J69" s="208">
        <f>J38+J46+J51+J56+J62+J64+J66</f>
        <v>-94485</v>
      </c>
      <c r="K69" s="208">
        <f>K38+K46+K51+K56+K62+K64+K66</f>
        <v>-94484</v>
      </c>
      <c r="L69" s="208">
        <f>L38+L46+L51+L56+L62+L64+L66</f>
        <v>-90527</v>
      </c>
      <c r="M69" s="208"/>
    </row>
    <row r="70" spans="2:17">
      <c r="B70" s="163"/>
      <c r="C70" s="163"/>
      <c r="D70" s="163"/>
      <c r="E70" s="163"/>
      <c r="F70" s="163"/>
      <c r="G70" s="151"/>
      <c r="H70" s="163"/>
      <c r="I70" s="163"/>
      <c r="J70" s="163"/>
      <c r="K70" s="163"/>
      <c r="L70" s="163"/>
      <c r="M70" s="203"/>
    </row>
    <row r="71" spans="2:17">
      <c r="B71" s="162" t="s">
        <v>247</v>
      </c>
      <c r="C71" s="138"/>
      <c r="D71" s="138"/>
      <c r="E71" s="138">
        <v>1</v>
      </c>
      <c r="F71" s="138">
        <v>1</v>
      </c>
      <c r="G71" s="138"/>
      <c r="H71" s="138"/>
      <c r="I71" s="138"/>
      <c r="J71" s="138"/>
      <c r="K71" s="138"/>
      <c r="L71" s="138"/>
      <c r="M71" s="207"/>
    </row>
    <row r="72" spans="2:17">
      <c r="B72" s="159" t="s">
        <v>248</v>
      </c>
      <c r="C72" s="160"/>
      <c r="D72" s="160">
        <f>D69+D71+D35+D28</f>
        <v>480825</v>
      </c>
      <c r="E72" s="160">
        <f>E69+E71+E35+E28</f>
        <v>-269772</v>
      </c>
      <c r="F72" s="160">
        <f>F69+F71+F35+F28</f>
        <v>51021</v>
      </c>
      <c r="G72" s="160"/>
      <c r="H72" s="160">
        <f>H69+H71+H35+H28</f>
        <v>49201</v>
      </c>
      <c r="I72" s="160">
        <f>I69+I71+I35+I28</f>
        <v>-177750</v>
      </c>
      <c r="J72" s="160">
        <f>J69+J71+J35+J28</f>
        <v>-172844</v>
      </c>
      <c r="K72" s="160">
        <f>K69+K71+K35+K28</f>
        <v>-172124</v>
      </c>
      <c r="L72" s="160">
        <f>L69+L71+L35+L28</f>
        <v>-168174</v>
      </c>
      <c r="M72" s="202"/>
    </row>
    <row r="73" spans="2:17"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203"/>
    </row>
    <row r="74" spans="2:17">
      <c r="B74" s="151" t="s">
        <v>249</v>
      </c>
      <c r="C74" s="152"/>
      <c r="D74" s="152">
        <f>C75</f>
        <v>89776</v>
      </c>
      <c r="E74" s="152">
        <f>D75</f>
        <v>570601</v>
      </c>
      <c r="F74" s="152">
        <f t="shared" ref="F74:L74" si="5">E75</f>
        <v>300829</v>
      </c>
      <c r="G74" s="152"/>
      <c r="H74" s="152">
        <f>F75</f>
        <v>351850</v>
      </c>
      <c r="I74" s="152">
        <f t="shared" si="5"/>
        <v>401051</v>
      </c>
      <c r="J74" s="152">
        <f t="shared" si="5"/>
        <v>223301</v>
      </c>
      <c r="K74" s="152">
        <f t="shared" si="5"/>
        <v>50457</v>
      </c>
      <c r="L74" s="152">
        <f t="shared" si="5"/>
        <v>-121667</v>
      </c>
      <c r="M74" s="191"/>
    </row>
    <row r="75" spans="2:17">
      <c r="B75" s="159" t="s">
        <v>250</v>
      </c>
      <c r="C75" s="160">
        <f>'SC des SUCS - Bilan'!C18</f>
        <v>89776</v>
      </c>
      <c r="D75" s="160">
        <f t="shared" ref="D75:F75" si="6">D72+D74</f>
        <v>570601</v>
      </c>
      <c r="E75" s="160">
        <f t="shared" si="6"/>
        <v>300829</v>
      </c>
      <c r="F75" s="160">
        <f t="shared" si="6"/>
        <v>351850</v>
      </c>
      <c r="G75" s="160"/>
      <c r="H75" s="160">
        <f>H72+H74</f>
        <v>401051</v>
      </c>
      <c r="I75" s="160">
        <f t="shared" ref="I75:L75" si="7">I72+I74</f>
        <v>223301</v>
      </c>
      <c r="J75" s="160">
        <f t="shared" si="7"/>
        <v>50457</v>
      </c>
      <c r="K75" s="160">
        <f t="shared" si="7"/>
        <v>-121667</v>
      </c>
      <c r="L75" s="160">
        <f t="shared" si="7"/>
        <v>-289841</v>
      </c>
      <c r="M75" s="202"/>
    </row>
    <row r="76" spans="2:17">
      <c r="B76" s="159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205"/>
    </row>
    <row r="77" spans="2:17">
      <c r="B77" s="168" t="s">
        <v>221</v>
      </c>
      <c r="C77" s="167"/>
      <c r="D77" s="167" t="str">
        <f>IF(ABS(D75-'SC des SUCS - Bilan'!D18)&lt;0.1,"Validé","Erreur")</f>
        <v>Validé</v>
      </c>
      <c r="E77" s="167" t="str">
        <f>IF(ABS(E75-'SC des SUCS - Bilan'!E18)&lt;0.1,"Validé","Erreur")</f>
        <v>Validé</v>
      </c>
      <c r="F77" s="167" t="str">
        <f>IF(ABS(F75-'SC des SUCS - Bilan'!F18)&lt;0.1,"Validé","Erreur")</f>
        <v>Validé</v>
      </c>
      <c r="G77" s="167"/>
      <c r="H77" s="167" t="str">
        <f>IF(ABS(H75-'SC des SUCS - Bilan (2)'!H18)&lt;0.1,"Validé","Erreur")</f>
        <v>Validé</v>
      </c>
      <c r="I77" s="167" t="str">
        <f>IF(ABS(I75-'SC des SUCS - Bilan (2)'!I18)&lt;0.1,"Validé","Erreur")</f>
        <v>Validé</v>
      </c>
      <c r="J77" s="167" t="str">
        <f>IF(ABS(J75-'SC des SUCS - Bilan (2)'!J18)&lt;0.1,"Validé","Erreur")</f>
        <v>Validé</v>
      </c>
      <c r="K77" s="167" t="str">
        <f>IF(ABS(K75-'SC des SUCS - Bilan (2)'!K18)&lt;0.1,"Validé","Erreur")</f>
        <v>Validé</v>
      </c>
      <c r="L77" s="167" t="str">
        <f>IF(ABS(L75-'SC des SUCS - Bilan (2)'!L18)&lt;0.1,"Validé","Erreur")</f>
        <v>Validé</v>
      </c>
      <c r="M77" s="209"/>
    </row>
    <row r="78" spans="2:17">
      <c r="C78" s="151"/>
      <c r="D78" s="151"/>
      <c r="E78" s="151"/>
      <c r="F78" s="151"/>
      <c r="G78" s="151"/>
      <c r="H78" s="151"/>
    </row>
    <row r="79" spans="2:17">
      <c r="C79" s="134"/>
      <c r="D79" s="134"/>
      <c r="E79" s="134"/>
      <c r="F79" s="134"/>
      <c r="G79" s="134"/>
      <c r="H79" s="134"/>
      <c r="I79" s="134"/>
      <c r="J79" s="134"/>
      <c r="K79" s="134"/>
      <c r="L79" s="134"/>
    </row>
    <row r="80" spans="2:17">
      <c r="C80" s="136"/>
      <c r="D80" s="136"/>
      <c r="E80" s="136"/>
      <c r="F80" s="136"/>
      <c r="G80" s="136"/>
      <c r="H80" s="136"/>
      <c r="I80" s="136"/>
      <c r="J80" s="136"/>
      <c r="K80" s="136"/>
      <c r="L80" s="136"/>
    </row>
    <row r="81" spans="3:12">
      <c r="C81" s="134"/>
      <c r="D81" s="134"/>
      <c r="E81" s="134"/>
      <c r="F81" s="134"/>
      <c r="G81" s="134"/>
      <c r="H81" s="134"/>
      <c r="I81" s="134"/>
      <c r="J81" s="134"/>
      <c r="K81" s="134"/>
      <c r="L81" s="134"/>
    </row>
    <row r="82" spans="3:12">
      <c r="H82" s="273"/>
      <c r="I82" s="273"/>
      <c r="J82" s="273"/>
      <c r="K82" s="273"/>
      <c r="L82" s="273"/>
    </row>
  </sheetData>
  <mergeCells count="6">
    <mergeCell ref="L57:L59"/>
    <mergeCell ref="B2:B4"/>
    <mergeCell ref="H57:H59"/>
    <mergeCell ref="I57:I59"/>
    <mergeCell ref="J57:J59"/>
    <mergeCell ref="K57:K59"/>
  </mergeCells>
  <conditionalFormatting sqref="C77:L77">
    <cfRule type="containsText" dxfId="63" priority="1" operator="containsText" text="Validé">
      <formula>NOT(ISERROR(SEARCH("Validé",C77)))</formula>
    </cfRule>
    <cfRule type="containsText" dxfId="62" priority="2" operator="containsText" text="Erreur">
      <formula>NOT(ISERROR(SEARCH("Erreur",C77)))</formula>
    </cfRule>
  </conditionalFormatting>
  <conditionalFormatting sqref="C74:M74">
    <cfRule type="containsText" dxfId="61" priority="3" operator="containsText" text="Equilibré">
      <formula>NOT(ISERROR(SEARCH("Equilibré",C74)))</formula>
    </cfRule>
    <cfRule type="containsText" dxfId="60" priority="4" operator="containsText" text="Erreur">
      <formula>NOT(ISERROR(SEARCH("Erreur",C74)))</formula>
    </cfRule>
    <cfRule type="containsText" dxfId="59" priority="5" operator="containsText" text="Validé">
      <formula>NOT(ISERROR(SEARCH("Validé",C74)))</formula>
    </cfRule>
    <cfRule type="containsText" dxfId="58" priority="6" operator="containsText" text="Erreur">
      <formula>NOT(ISERROR(SEARCH("Erreur",C74)))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51C75-2ED6-0243-96BC-2F6C666AFB19}">
  <sheetPr codeName="Feuil48">
    <tabColor rgb="FF006C4C"/>
  </sheetPr>
  <dimension ref="A2:XFD75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H47" sqref="H47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44196</v>
      </c>
      <c r="D3" s="244">
        <v>44561</v>
      </c>
      <c r="E3" s="244">
        <v>44926</v>
      </c>
      <c r="F3" s="244">
        <v>45291</v>
      </c>
      <c r="G3" s="244"/>
      <c r="H3" s="248">
        <v>45657</v>
      </c>
      <c r="I3" s="248">
        <v>46022</v>
      </c>
      <c r="J3" s="248">
        <v>46387</v>
      </c>
      <c r="K3" s="248">
        <v>46752</v>
      </c>
      <c r="L3" s="248">
        <v>47118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687078</v>
      </c>
      <c r="D8" s="128">
        <f t="shared" si="0"/>
        <v>689178</v>
      </c>
      <c r="E8" s="128">
        <f t="shared" si="0"/>
        <v>1200078</v>
      </c>
      <c r="F8" s="128">
        <f>SUM(F9:F11)</f>
        <v>1562817</v>
      </c>
      <c r="G8" s="128"/>
      <c r="H8" s="128">
        <v>1562816</v>
      </c>
      <c r="I8" s="128">
        <v>1562816</v>
      </c>
      <c r="J8" s="128">
        <v>1562816</v>
      </c>
      <c r="K8" s="128">
        <v>1562816</v>
      </c>
      <c r="L8" s="128">
        <v>1562816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88"/>
      <c r="N10" s="188"/>
      <c r="O10" s="188"/>
    </row>
    <row r="11" spans="2:15">
      <c r="B11" s="131" t="s">
        <v>197</v>
      </c>
      <c r="C11" s="132">
        <v>687078</v>
      </c>
      <c r="D11" s="132">
        <v>689178</v>
      </c>
      <c r="E11" s="132">
        <v>1200078</v>
      </c>
      <c r="F11" s="132">
        <v>1562817</v>
      </c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1">SUM(C14:C16,C17:C19)</f>
        <v>328862</v>
      </c>
      <c r="D13" s="128">
        <f t="shared" si="1"/>
        <v>863635</v>
      </c>
      <c r="E13" s="128">
        <f t="shared" si="1"/>
        <v>737589</v>
      </c>
      <c r="F13" s="128">
        <f>SUM(F14:F16,F17:F19)</f>
        <v>1004644</v>
      </c>
      <c r="G13" s="128"/>
      <c r="H13" s="128">
        <f>SUM(H14:H20)</f>
        <v>2025249</v>
      </c>
      <c r="I13" s="128">
        <f>SUM(I14:I20)</f>
        <v>1848495</v>
      </c>
      <c r="J13" s="128">
        <f>SUM(J14:J20)</f>
        <v>1675651</v>
      </c>
      <c r="K13" s="128">
        <f>SUM(K14:K20)</f>
        <v>1503527</v>
      </c>
      <c r="L13" s="128">
        <f>SUM(L14:L20)</f>
        <v>1335353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/>
      <c r="E16" s="132"/>
      <c r="F16" s="132">
        <f>28800+42000</f>
        <v>70800</v>
      </c>
      <c r="G16" s="132"/>
      <c r="H16" s="132">
        <v>42204</v>
      </c>
      <c r="I16" s="132">
        <v>43200</v>
      </c>
      <c r="J16" s="132">
        <v>43200</v>
      </c>
      <c r="K16" s="132">
        <v>43200</v>
      </c>
      <c r="L16" s="132">
        <v>43200</v>
      </c>
      <c r="M16" s="136"/>
      <c r="N16" s="136"/>
      <c r="O16" s="136"/>
    </row>
    <row r="17" spans="2:15 16384:16384">
      <c r="B17" s="131" t="s">
        <v>202</v>
      </c>
      <c r="C17" s="132">
        <f>156+238930</f>
        <v>239086</v>
      </c>
      <c r="D17" s="132">
        <v>293034</v>
      </c>
      <c r="E17" s="132">
        <f>252+436508</f>
        <v>436760</v>
      </c>
      <c r="F17" s="132">
        <f>164+581158+672</f>
        <v>581994</v>
      </c>
      <c r="G17" s="132"/>
      <c r="H17" s="132">
        <f>F17+1000000</f>
        <v>1581994</v>
      </c>
      <c r="I17" s="132">
        <f>H17</f>
        <v>1581994</v>
      </c>
      <c r="J17" s="132">
        <f>I17</f>
        <v>1581994</v>
      </c>
      <c r="K17" s="132">
        <f>J17</f>
        <v>1581994</v>
      </c>
      <c r="L17" s="132">
        <f>K17</f>
        <v>1581994</v>
      </c>
      <c r="M17" s="136"/>
      <c r="N17" s="136"/>
      <c r="O17" s="136"/>
    </row>
    <row r="18" spans="2:15 16384:16384">
      <c r="B18" s="131" t="s">
        <v>203</v>
      </c>
      <c r="C18" s="132">
        <v>89776</v>
      </c>
      <c r="D18" s="132">
        <v>570601</v>
      </c>
      <c r="E18" s="132">
        <v>300829</v>
      </c>
      <c r="F18" s="132">
        <v>351850</v>
      </c>
      <c r="G18" s="132"/>
      <c r="H18" s="132">
        <f>'SC des SUCS - CF (2)'!H75</f>
        <v>401051</v>
      </c>
      <c r="I18" s="132">
        <f>'SC des SUCS - CF (2)'!I75</f>
        <v>223301</v>
      </c>
      <c r="J18" s="132">
        <f>'SC des SUCS - CF (2)'!J75</f>
        <v>50457</v>
      </c>
      <c r="K18" s="132">
        <f>'SC des SUCS - CF (2)'!K75</f>
        <v>-121667</v>
      </c>
      <c r="L18" s="132">
        <f>'SC des SUCS - CF (2)'!L75</f>
        <v>-289841</v>
      </c>
      <c r="M18" s="136"/>
      <c r="N18" s="136"/>
      <c r="O18" s="136"/>
    </row>
    <row r="19" spans="2:15 16384:16384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 16384:16384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 16384:16384">
      <c r="B21" s="130" t="s">
        <v>188</v>
      </c>
      <c r="C21" s="132">
        <v>1</v>
      </c>
      <c r="D21" s="132"/>
      <c r="E21" s="132"/>
      <c r="F21" s="132">
        <v>-1</v>
      </c>
      <c r="G21" s="132"/>
      <c r="H21" s="132"/>
      <c r="I21" s="132"/>
      <c r="J21" s="132"/>
      <c r="K21" s="132"/>
      <c r="L21" s="132"/>
    </row>
    <row r="22" spans="2:15 16384:16384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 16384:16384">
      <c r="B23" s="139" t="s">
        <v>205</v>
      </c>
      <c r="C23" s="140">
        <f>+C6+C8+C13+C21</f>
        <v>1015941</v>
      </c>
      <c r="D23" s="140">
        <f t="shared" ref="D23:L23" si="2">+D6+D8+D13+D21</f>
        <v>1552813</v>
      </c>
      <c r="E23" s="140">
        <f t="shared" si="2"/>
        <v>1937667</v>
      </c>
      <c r="F23" s="140">
        <f t="shared" si="2"/>
        <v>2567460</v>
      </c>
      <c r="G23" s="271"/>
      <c r="H23" s="140">
        <f t="shared" si="2"/>
        <v>3588065</v>
      </c>
      <c r="I23" s="140">
        <f t="shared" si="2"/>
        <v>3411311</v>
      </c>
      <c r="J23" s="140">
        <f t="shared" si="2"/>
        <v>3238467</v>
      </c>
      <c r="K23" s="140">
        <f t="shared" si="2"/>
        <v>3066343</v>
      </c>
      <c r="L23" s="140">
        <f t="shared" si="2"/>
        <v>2898169</v>
      </c>
    </row>
    <row r="24" spans="2:15 16384:16384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 16384:16384">
      <c r="B25" s="130" t="s">
        <v>111</v>
      </c>
      <c r="C25" s="128">
        <f t="shared" ref="C25:E25" si="3">SUM(C26:C31)</f>
        <v>798978</v>
      </c>
      <c r="D25" s="128">
        <f t="shared" si="3"/>
        <v>820376</v>
      </c>
      <c r="E25" s="128">
        <f t="shared" si="3"/>
        <v>1427572</v>
      </c>
      <c r="F25" s="128">
        <f t="shared" ref="F25:L25" si="4">SUM(F26:F31)</f>
        <v>1537285</v>
      </c>
      <c r="G25" s="128"/>
      <c r="H25" s="128">
        <f t="shared" si="4"/>
        <v>1866178</v>
      </c>
      <c r="I25" s="128">
        <f t="shared" si="4"/>
        <v>1739792</v>
      </c>
      <c r="J25" s="128">
        <f t="shared" si="4"/>
        <v>1613902</v>
      </c>
      <c r="K25" s="128">
        <f t="shared" si="4"/>
        <v>1488515</v>
      </c>
      <c r="L25" s="128">
        <f t="shared" si="4"/>
        <v>1363635</v>
      </c>
    </row>
    <row r="26" spans="2:15 16384:16384">
      <c r="B26" s="131" t="s">
        <v>206</v>
      </c>
      <c r="C26" s="132">
        <v>600100</v>
      </c>
      <c r="D26" s="132">
        <v>600100</v>
      </c>
      <c r="E26" s="132">
        <v>1110100</v>
      </c>
      <c r="F26" s="132">
        <f>E26</f>
        <v>1110100</v>
      </c>
      <c r="G26" s="132"/>
      <c r="H26" s="132">
        <f>F26+'SC des SUCS - CF (2)'!H67</f>
        <v>1360100</v>
      </c>
      <c r="I26" s="132">
        <f>H26</f>
        <v>1360100</v>
      </c>
      <c r="J26" s="132">
        <f t="shared" ref="J26:L26" si="5">I26</f>
        <v>1360100</v>
      </c>
      <c r="K26" s="132">
        <f t="shared" si="5"/>
        <v>1360100</v>
      </c>
      <c r="L26" s="132">
        <f t="shared" si="5"/>
        <v>1360100</v>
      </c>
    </row>
    <row r="27" spans="2:15 16384:16384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 16384:16384">
      <c r="B28" s="131" t="s">
        <v>65</v>
      </c>
      <c r="C28" s="132">
        <v>199427</v>
      </c>
      <c r="D28" s="132">
        <f>C28+C29</f>
        <v>198878</v>
      </c>
      <c r="E28" s="132">
        <f>D28+D29</f>
        <v>220276</v>
      </c>
      <c r="F28" s="132">
        <f>E28+E29</f>
        <v>317472</v>
      </c>
      <c r="G28" s="132"/>
      <c r="H28" s="132">
        <f>F28+F29</f>
        <v>427185</v>
      </c>
      <c r="I28" s="132">
        <f>H28+H29</f>
        <v>506078</v>
      </c>
      <c r="J28" s="132">
        <f>I28+I29</f>
        <v>379692</v>
      </c>
      <c r="K28" s="132">
        <f>J28+J29</f>
        <v>253802</v>
      </c>
      <c r="L28" s="132">
        <f>K28+K29</f>
        <v>128415</v>
      </c>
      <c r="N28" s="134"/>
      <c r="O28" s="134"/>
      <c r="XFD28" s="132"/>
    </row>
    <row r="29" spans="2:15 16384:16384">
      <c r="B29" s="131" t="s">
        <v>32</v>
      </c>
      <c r="C29" s="132">
        <v>-549</v>
      </c>
      <c r="D29" s="132">
        <f>'SC des SUCS - P&amp;L'!D114</f>
        <v>21398</v>
      </c>
      <c r="E29" s="132">
        <f>'SC des SUCS - P&amp;L'!E114</f>
        <v>97196</v>
      </c>
      <c r="F29" s="132">
        <f>'SC des SUCS - P&amp;L'!F114</f>
        <v>109713</v>
      </c>
      <c r="G29" s="132"/>
      <c r="H29" s="132">
        <f>'SC des SUCS - P&amp;L (2)'!H116</f>
        <v>78893</v>
      </c>
      <c r="I29" s="132">
        <f>'SC des SUCS - P&amp;L (2)'!I116</f>
        <v>-126386</v>
      </c>
      <c r="J29" s="132">
        <f>'SC des SUCS - P&amp;L (2)'!J116</f>
        <v>-125890</v>
      </c>
      <c r="K29" s="132">
        <f>'SC des SUCS - P&amp;L (2)'!K116</f>
        <v>-125387</v>
      </c>
      <c r="L29" s="132">
        <f>'SC des SUCS - P&amp;L (2)'!L116</f>
        <v>-124880</v>
      </c>
      <c r="N29" s="134"/>
    </row>
    <row r="30" spans="2:15 16384:16384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  <c r="L30" s="132"/>
    </row>
    <row r="31" spans="2:15 16384:16384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 16384:16384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6">SUM(C34:C36)</f>
        <v>0</v>
      </c>
      <c r="D33" s="128">
        <f t="shared" si="6"/>
        <v>0</v>
      </c>
      <c r="E33" s="128">
        <f t="shared" si="6"/>
        <v>0</v>
      </c>
      <c r="F33" s="128">
        <f t="shared" si="6"/>
        <v>0</v>
      </c>
      <c r="G33" s="128"/>
      <c r="H33" s="128">
        <f t="shared" si="6"/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  <c r="L33" s="128">
        <f t="shared" si="6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L37" si="7">+C38+C43</f>
        <v>216963</v>
      </c>
      <c r="D37" s="185">
        <f t="shared" si="7"/>
        <v>732184</v>
      </c>
      <c r="E37" s="185">
        <f t="shared" si="7"/>
        <v>509777</v>
      </c>
      <c r="F37" s="185">
        <f t="shared" si="7"/>
        <v>1016298</v>
      </c>
      <c r="G37" s="185"/>
      <c r="H37" s="185">
        <f t="shared" si="7"/>
        <v>1710676</v>
      </c>
      <c r="I37" s="185">
        <f t="shared" si="7"/>
        <v>1664931</v>
      </c>
      <c r="J37" s="185">
        <f t="shared" si="7"/>
        <v>1618690</v>
      </c>
      <c r="K37" s="185">
        <f t="shared" si="7"/>
        <v>1571947</v>
      </c>
      <c r="L37" s="185">
        <f t="shared" si="7"/>
        <v>1528654</v>
      </c>
      <c r="M37" s="190"/>
      <c r="N37" s="190"/>
      <c r="O37" s="190"/>
    </row>
    <row r="38" spans="2:17">
      <c r="B38" s="131" t="s">
        <v>213</v>
      </c>
      <c r="C38" s="132">
        <f>SUM(C39:C42)</f>
        <v>49818</v>
      </c>
      <c r="D38" s="132">
        <f>SUM(D39:D42)</f>
        <v>36923</v>
      </c>
      <c r="E38" s="132">
        <f>SUM(E39:E42)</f>
        <v>23829</v>
      </c>
      <c r="F38" s="132">
        <f>SUM(F39:F42)</f>
        <v>237855</v>
      </c>
      <c r="G38" s="132"/>
      <c r="H38" s="132">
        <v>378682</v>
      </c>
      <c r="I38" s="132">
        <v>332937</v>
      </c>
      <c r="J38" s="132">
        <v>286696</v>
      </c>
      <c r="K38" s="132">
        <v>239953</v>
      </c>
      <c r="L38" s="132">
        <v>196660</v>
      </c>
      <c r="M38" s="189"/>
      <c r="N38" s="189"/>
      <c r="O38" s="189"/>
      <c r="Q38" s="134"/>
    </row>
    <row r="39" spans="2:17" s="192" customFormat="1" ht="12.75" hidden="1" outlineLevel="1">
      <c r="B39" s="147" t="s">
        <v>699</v>
      </c>
      <c r="C39" s="133">
        <v>49814</v>
      </c>
      <c r="D39" s="133">
        <v>36920</v>
      </c>
      <c r="E39" s="133">
        <v>23827</v>
      </c>
      <c r="F39" s="133">
        <v>10532</v>
      </c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703</v>
      </c>
      <c r="C40" s="133"/>
      <c r="D40" s="133"/>
      <c r="E40" s="133"/>
      <c r="F40" s="133">
        <v>227276</v>
      </c>
      <c r="G40" s="133"/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s="192" customFormat="1" ht="12.75" hidden="1" outlineLevel="1">
      <c r="B41" s="147" t="s">
        <v>700</v>
      </c>
      <c r="C41" s="133">
        <v>4</v>
      </c>
      <c r="D41" s="133">
        <v>3</v>
      </c>
      <c r="E41" s="133">
        <v>2</v>
      </c>
      <c r="F41" s="133">
        <v>47</v>
      </c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s="192" customFormat="1" ht="12.75" hidden="1" outlineLevel="1">
      <c r="B42" s="147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216"/>
      <c r="N42" s="216"/>
      <c r="O42" s="216"/>
      <c r="Q42" s="217"/>
    </row>
    <row r="43" spans="2:17" collapsed="1">
      <c r="B43" s="131" t="s">
        <v>214</v>
      </c>
      <c r="C43" s="132">
        <f>SUM(C44:C48)</f>
        <v>167145</v>
      </c>
      <c r="D43" s="132">
        <f>SUM(D44:D48)</f>
        <v>695261</v>
      </c>
      <c r="E43" s="132">
        <f>SUM(E44:E48)</f>
        <v>485948</v>
      </c>
      <c r="F43" s="132">
        <f>SUM(F44:F48)</f>
        <v>778443</v>
      </c>
      <c r="G43" s="132"/>
      <c r="H43" s="132">
        <f>SUM(H44:H48)</f>
        <v>1331994</v>
      </c>
      <c r="I43" s="132">
        <f>SUM(I44:I48)</f>
        <v>1331994</v>
      </c>
      <c r="J43" s="132">
        <f>SUM(J44:J48)</f>
        <v>1331994</v>
      </c>
      <c r="K43" s="132">
        <f>SUM(K44:K48)</f>
        <v>1331994</v>
      </c>
      <c r="L43" s="132">
        <f>SUM(L44:L48)</f>
        <v>1331994</v>
      </c>
      <c r="M43" s="189"/>
      <c r="N43" s="189"/>
      <c r="O43" s="189"/>
    </row>
    <row r="44" spans="2:17" s="192" customFormat="1" ht="12.75" hidden="1" outlineLevel="1">
      <c r="B44" s="147" t="s">
        <v>704</v>
      </c>
      <c r="C44" s="133"/>
      <c r="D44" s="133"/>
      <c r="E44" s="133"/>
      <c r="F44" s="133">
        <v>204287</v>
      </c>
      <c r="G44" s="133"/>
      <c r="H44" s="347">
        <v>581994</v>
      </c>
      <c r="I44" s="347">
        <v>581994</v>
      </c>
      <c r="J44" s="347">
        <v>581994</v>
      </c>
      <c r="K44" s="347">
        <v>581994</v>
      </c>
      <c r="L44" s="347">
        <v>581994</v>
      </c>
      <c r="M44" s="216"/>
      <c r="N44" s="216"/>
      <c r="O44" s="216"/>
      <c r="Q44" s="217"/>
    </row>
    <row r="45" spans="2:17" s="192" customFormat="1" ht="12.75" hidden="1" outlineLevel="1">
      <c r="B45" s="147" t="s">
        <v>701</v>
      </c>
      <c r="C45" s="133">
        <v>167145</v>
      </c>
      <c r="D45" s="133">
        <v>167145</v>
      </c>
      <c r="E45" s="133">
        <v>104145</v>
      </c>
      <c r="F45" s="133">
        <v>45</v>
      </c>
      <c r="G45" s="133"/>
      <c r="H45" s="347"/>
      <c r="I45" s="347"/>
      <c r="J45" s="347"/>
      <c r="K45" s="347"/>
      <c r="L45" s="347"/>
      <c r="M45" s="216"/>
      <c r="N45" s="216"/>
      <c r="O45" s="216"/>
      <c r="Q45" s="217"/>
    </row>
    <row r="46" spans="2:17" s="192" customFormat="1" ht="12.75" hidden="1" outlineLevel="1">
      <c r="B46" s="147" t="s">
        <v>702</v>
      </c>
      <c r="C46" s="133"/>
      <c r="D46" s="133">
        <v>528116</v>
      </c>
      <c r="E46" s="133">
        <v>381803</v>
      </c>
      <c r="F46" s="133">
        <v>574111</v>
      </c>
      <c r="G46" s="133"/>
      <c r="H46" s="347"/>
      <c r="I46" s="347"/>
      <c r="J46" s="347"/>
      <c r="K46" s="347"/>
      <c r="L46" s="347"/>
      <c r="M46" s="216"/>
      <c r="N46" s="216"/>
      <c r="O46" s="216"/>
      <c r="Q46" s="217"/>
    </row>
    <row r="47" spans="2:17" s="192" customFormat="1" ht="12.75" hidden="1" outlineLevel="1">
      <c r="B47" s="147" t="s">
        <v>900</v>
      </c>
      <c r="C47" s="133"/>
      <c r="D47" s="133"/>
      <c r="E47" s="133"/>
      <c r="F47" s="133"/>
      <c r="G47" s="133"/>
      <c r="H47" s="133">
        <v>750000</v>
      </c>
      <c r="I47" s="133">
        <v>750000</v>
      </c>
      <c r="J47" s="133">
        <v>750000</v>
      </c>
      <c r="K47" s="133">
        <v>750000</v>
      </c>
      <c r="L47" s="133">
        <v>750000</v>
      </c>
      <c r="M47" s="216"/>
      <c r="N47" s="216"/>
      <c r="O47" s="216"/>
      <c r="Q47" s="217"/>
    </row>
    <row r="48" spans="2:17" collapsed="1">
      <c r="B48" s="147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211"/>
    </row>
    <row r="49" spans="1:42">
      <c r="B49" s="130" t="s">
        <v>215</v>
      </c>
      <c r="C49" s="128">
        <f t="shared" ref="C49:L49" si="8">SUM(C50:C56)</f>
        <v>0</v>
      </c>
      <c r="D49" s="128">
        <f t="shared" si="8"/>
        <v>253</v>
      </c>
      <c r="E49" s="128">
        <f t="shared" si="8"/>
        <v>318</v>
      </c>
      <c r="F49" s="128">
        <f t="shared" si="8"/>
        <v>13876</v>
      </c>
      <c r="G49" s="128"/>
      <c r="H49" s="128">
        <f t="shared" si="8"/>
        <v>11210</v>
      </c>
      <c r="I49" s="128">
        <f t="shared" si="8"/>
        <v>6587</v>
      </c>
      <c r="J49" s="128">
        <f t="shared" si="8"/>
        <v>5874</v>
      </c>
      <c r="K49" s="128">
        <f t="shared" si="8"/>
        <v>5880</v>
      </c>
      <c r="L49" s="128">
        <f t="shared" si="8"/>
        <v>5879</v>
      </c>
      <c r="M49" s="187"/>
      <c r="N49" s="187"/>
      <c r="O49" s="187"/>
    </row>
    <row r="50" spans="1:42">
      <c r="B50" s="131" t="s">
        <v>216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4"/>
      <c r="N50" s="134"/>
      <c r="O50" s="134"/>
    </row>
    <row r="51" spans="1:42">
      <c r="B51" s="131" t="s">
        <v>44</v>
      </c>
      <c r="C51" s="132"/>
      <c r="D51" s="132"/>
      <c r="E51" s="132">
        <v>318</v>
      </c>
      <c r="F51" s="132">
        <v>1499</v>
      </c>
      <c r="G51" s="132"/>
      <c r="H51" s="132">
        <v>2504</v>
      </c>
      <c r="I51" s="132">
        <v>2504</v>
      </c>
      <c r="J51" s="132">
        <v>2504</v>
      </c>
      <c r="K51" s="132">
        <v>2504</v>
      </c>
      <c r="L51" s="132">
        <v>2504</v>
      </c>
      <c r="M51" s="134"/>
      <c r="N51" s="134"/>
      <c r="O51" s="134"/>
    </row>
    <row r="52" spans="1:42">
      <c r="B52" s="131" t="s">
        <v>217</v>
      </c>
      <c r="C52" s="132"/>
      <c r="D52" s="132">
        <v>253</v>
      </c>
      <c r="E52" s="132"/>
      <c r="F52" s="132">
        <f>12368+9</f>
        <v>12377</v>
      </c>
      <c r="G52" s="132"/>
      <c r="H52" s="132">
        <v>8706</v>
      </c>
      <c r="I52" s="132">
        <v>4083</v>
      </c>
      <c r="J52" s="132">
        <v>3370</v>
      </c>
      <c r="K52" s="132">
        <v>3376</v>
      </c>
      <c r="L52" s="132">
        <v>3375</v>
      </c>
      <c r="M52" s="134"/>
      <c r="N52" s="134"/>
      <c r="O52" s="134"/>
    </row>
    <row r="53" spans="1:42">
      <c r="B53" s="131" t="s">
        <v>222</v>
      </c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4"/>
      <c r="N53" s="134"/>
      <c r="O53" s="134"/>
    </row>
    <row r="54" spans="1:42">
      <c r="B54" s="131" t="s">
        <v>218</v>
      </c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4"/>
      <c r="N54" s="134"/>
      <c r="O54" s="134"/>
    </row>
    <row r="55" spans="1:42">
      <c r="B55" s="131" t="s">
        <v>219</v>
      </c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4"/>
      <c r="N55" s="134"/>
      <c r="O55" s="134"/>
    </row>
    <row r="56" spans="1:42">
      <c r="B56" s="131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42">
      <c r="B57" s="130" t="s">
        <v>188</v>
      </c>
      <c r="C57" s="132"/>
      <c r="D57" s="135"/>
      <c r="E57" s="132"/>
      <c r="F57" s="132">
        <v>1</v>
      </c>
      <c r="G57" s="132"/>
      <c r="H57" s="132">
        <v>1</v>
      </c>
      <c r="I57" s="132">
        <v>1</v>
      </c>
      <c r="J57" s="132">
        <v>1</v>
      </c>
      <c r="K57" s="132">
        <v>1</v>
      </c>
      <c r="L57" s="132">
        <v>1</v>
      </c>
    </row>
    <row r="58" spans="1:42">
      <c r="B58" s="130"/>
      <c r="C58" s="135"/>
      <c r="D58" s="135"/>
      <c r="E58" s="135"/>
      <c r="F58" s="135"/>
      <c r="G58" s="135"/>
      <c r="H58" s="135"/>
      <c r="I58" s="135"/>
      <c r="J58" s="135"/>
      <c r="K58" s="135"/>
      <c r="L58" s="135"/>
    </row>
    <row r="59" spans="1:42">
      <c r="B59" s="139" t="s">
        <v>220</v>
      </c>
      <c r="C59" s="140">
        <f>+C25+C33+C37+C49+C57</f>
        <v>1015941</v>
      </c>
      <c r="D59" s="140">
        <f>+D25+D33+D37+D49+D57</f>
        <v>1552813</v>
      </c>
      <c r="E59" s="140">
        <f>+E25+E33+E37+E49+E57</f>
        <v>1937667</v>
      </c>
      <c r="F59" s="140">
        <f>+F25+F33+F37+F49+F57</f>
        <v>2567460</v>
      </c>
      <c r="G59" s="271"/>
      <c r="H59" s="140">
        <f>+H25+H33+H37+H49+H57</f>
        <v>3588065</v>
      </c>
      <c r="I59" s="140">
        <f>+I25+I33+I37+I49+I57</f>
        <v>3411311</v>
      </c>
      <c r="J59" s="140">
        <f>+J25+J33+J37+J49+J57</f>
        <v>3238467</v>
      </c>
      <c r="K59" s="140">
        <f>+K25+K33+K37+K49+K57</f>
        <v>3066343</v>
      </c>
      <c r="L59" s="140">
        <f>+L25+L33+L37+L49+L57</f>
        <v>2898169</v>
      </c>
    </row>
    <row r="60" spans="1:42">
      <c r="B60" s="141"/>
      <c r="C60" s="135"/>
      <c r="D60" s="135"/>
      <c r="E60" s="135"/>
      <c r="F60" s="135"/>
      <c r="G60" s="135"/>
      <c r="H60" s="135"/>
      <c r="I60" s="135"/>
      <c r="J60" s="135"/>
      <c r="K60" s="135"/>
      <c r="L60" s="135"/>
    </row>
    <row r="61" spans="1:42">
      <c r="B61" s="143" t="s">
        <v>221</v>
      </c>
      <c r="C61" s="144" t="str">
        <f>IF(ABS(C59-C23)&lt;2,"Equilibré","Erreur")</f>
        <v>Equilibré</v>
      </c>
      <c r="D61" s="144" t="str">
        <f>IF(ABS(D59-D23)&lt;2,"Equilibré","Erreur")</f>
        <v>Equilibré</v>
      </c>
      <c r="E61" s="144" t="str">
        <f>IF(ABS(E59-E23)&lt;2,"Equilibré","Erreur")</f>
        <v>Equilibré</v>
      </c>
      <c r="F61" s="144" t="str">
        <f>IF(ABS(F59-F23)&lt;2,"Equilibré","Erreur")</f>
        <v>Equilibré</v>
      </c>
      <c r="G61" s="252"/>
      <c r="H61" s="144" t="str">
        <f>IF(ABS(H59-H23)&lt;2,"Equilibré","Erreur")</f>
        <v>Equilibré</v>
      </c>
      <c r="I61" s="144" t="str">
        <f>IF(ABS(I59-I23)&lt;2,"Equilibré","Erreur")</f>
        <v>Equilibré</v>
      </c>
      <c r="J61" s="144" t="str">
        <f>IF(ABS(J59-J23)&lt;2,"Equilibré","Erreur")</f>
        <v>Equilibré</v>
      </c>
      <c r="K61" s="144" t="str">
        <f>IF(ABS(K59-K23)&lt;2,"Equilibré","Erreur")</f>
        <v>Equilibré</v>
      </c>
      <c r="L61" s="144" t="str">
        <f>IF(ABS(L59-L23)&lt;2,"Equilibré","Erreur")</f>
        <v>Equilibré</v>
      </c>
    </row>
    <row r="63" spans="1:42" s="32" customFormat="1">
      <c r="A63" s="83"/>
      <c r="B63" s="13" t="s">
        <v>68</v>
      </c>
      <c r="C63" s="14"/>
      <c r="D63" s="14"/>
      <c r="E63" s="14"/>
      <c r="F63" s="14"/>
      <c r="G63" s="52"/>
      <c r="H63" s="14"/>
      <c r="I63" s="14"/>
      <c r="J63" s="14"/>
      <c r="K63" s="14"/>
      <c r="L63" s="14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</row>
    <row r="64" spans="1:42" s="32" customFormat="1">
      <c r="A64" s="83"/>
      <c r="B64" s="15" t="s">
        <v>42</v>
      </c>
      <c r="C64" s="309"/>
      <c r="D64" s="23"/>
      <c r="E64" s="23"/>
      <c r="F64" s="23"/>
      <c r="G64" s="272"/>
      <c r="H64" s="23"/>
      <c r="I64" s="23"/>
      <c r="J64" s="23"/>
      <c r="K64" s="23"/>
      <c r="L64" s="2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</row>
    <row r="65" spans="1:42" s="32" customFormat="1">
      <c r="A65" s="83"/>
      <c r="B65" s="15" t="s">
        <v>69</v>
      </c>
      <c r="C65" s="23"/>
      <c r="D65" s="23"/>
      <c r="E65" s="23"/>
      <c r="F65" s="23"/>
      <c r="G65" s="272"/>
      <c r="H65" s="23"/>
      <c r="I65" s="23"/>
      <c r="J65" s="23"/>
      <c r="K65" s="23"/>
      <c r="L65" s="2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</row>
    <row r="66" spans="1:42" s="32" customFormat="1">
      <c r="A66" s="83"/>
      <c r="B66" s="15" t="s">
        <v>70</v>
      </c>
      <c r="C66" s="23"/>
      <c r="D66" s="23"/>
      <c r="E66" s="23"/>
      <c r="F66" s="23"/>
      <c r="G66" s="272"/>
      <c r="H66" s="23"/>
      <c r="I66" s="23"/>
      <c r="J66" s="23"/>
      <c r="K66" s="23"/>
      <c r="L66" s="2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</row>
    <row r="67" spans="1:42">
      <c r="B67" s="24" t="s">
        <v>71</v>
      </c>
      <c r="C67" s="23"/>
      <c r="D67" s="23"/>
      <c r="E67" s="23"/>
      <c r="F67" s="23"/>
      <c r="G67" s="272"/>
      <c r="H67" s="23"/>
      <c r="I67" s="23"/>
      <c r="J67" s="23"/>
      <c r="K67" s="23"/>
      <c r="L67" s="23"/>
    </row>
    <row r="68" spans="1:42">
      <c r="B68" s="25" t="s">
        <v>50</v>
      </c>
      <c r="C68" s="26"/>
      <c r="D68" s="26"/>
      <c r="E68" s="26"/>
      <c r="F68" s="26"/>
      <c r="G68" s="280"/>
      <c r="H68" s="26"/>
      <c r="I68" s="26"/>
      <c r="J68" s="26"/>
      <c r="K68" s="26"/>
      <c r="L68" s="26"/>
    </row>
    <row r="69" spans="1:42">
      <c r="B69" s="25" t="s">
        <v>72</v>
      </c>
      <c r="C69" s="27"/>
      <c r="D69" s="27"/>
      <c r="E69" s="27"/>
      <c r="F69" s="27"/>
      <c r="G69" s="281"/>
      <c r="H69" s="27"/>
      <c r="I69" s="27"/>
      <c r="J69" s="27"/>
      <c r="K69" s="27"/>
      <c r="L69" s="27"/>
    </row>
    <row r="70" spans="1:42">
      <c r="B70" s="28" t="s">
        <v>73</v>
      </c>
      <c r="C70" s="29"/>
      <c r="D70" s="29"/>
      <c r="E70" s="29"/>
      <c r="F70" s="29"/>
      <c r="G70" s="282"/>
      <c r="H70" s="29"/>
      <c r="I70" s="29"/>
      <c r="J70" s="29"/>
      <c r="K70" s="29"/>
      <c r="L70" s="29"/>
    </row>
    <row r="71" spans="1:42">
      <c r="B71" s="17" t="s">
        <v>74</v>
      </c>
      <c r="C71" s="30"/>
      <c r="D71" s="30"/>
      <c r="E71" s="30"/>
      <c r="F71" s="30"/>
      <c r="G71" s="282"/>
      <c r="H71" s="30"/>
      <c r="I71" s="30"/>
      <c r="J71" s="30"/>
      <c r="K71" s="30"/>
      <c r="L71" s="30"/>
    </row>
    <row r="73" spans="1:42">
      <c r="I73" s="146"/>
    </row>
    <row r="74" spans="1:42">
      <c r="C74" s="146"/>
      <c r="D74" s="146"/>
      <c r="E74" s="146"/>
      <c r="F74" s="146"/>
      <c r="G74" s="146"/>
    </row>
    <row r="75" spans="1:42">
      <c r="D75" s="146"/>
      <c r="E75" s="146"/>
      <c r="F75" s="146"/>
      <c r="G75" s="146"/>
    </row>
  </sheetData>
  <mergeCells count="6">
    <mergeCell ref="L44:L46"/>
    <mergeCell ref="B2:B4"/>
    <mergeCell ref="H44:H46"/>
    <mergeCell ref="I44:I46"/>
    <mergeCell ref="J44:J46"/>
    <mergeCell ref="K44:K46"/>
  </mergeCells>
  <conditionalFormatting sqref="C61:L61">
    <cfRule type="containsText" dxfId="57" priority="1" operator="containsText" text="Equilibré">
      <formula>NOT(ISERROR(SEARCH("Equilibré",C61)))</formula>
    </cfRule>
    <cfRule type="containsText" dxfId="56" priority="2" operator="containsText" text="Erreur">
      <formula>NOT(ISERROR(SEARCH("Erreur",C61)))</formula>
    </cfRule>
    <cfRule type="containsText" dxfId="55" priority="3" operator="containsText" text="Validé">
      <formula>NOT(ISERROR(SEARCH("Validé",C61)))</formula>
    </cfRule>
    <cfRule type="containsText" dxfId="54" priority="4" operator="containsText" text="Erreur">
      <formula>NOT(ISERROR(SEARCH("Erreur",C61)))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3D091-3D6C-8644-B1C8-8F789BC70588}">
  <sheetPr codeName="Feuil49">
    <tabColor theme="9" tint="0.79998168889431442"/>
  </sheetPr>
  <dimension ref="A1:AQ148"/>
  <sheetViews>
    <sheetView showGridLines="0" zoomScale="85" zoomScaleNormal="85" workbookViewId="0">
      <pane xSplit="2" ySplit="5" topLeftCell="C48" activePane="bottomRight" state="frozen"/>
      <selection pane="topRight" activeCell="C1" sqref="C1"/>
      <selection pane="bottomLeft" activeCell="A5" sqref="A5"/>
      <selection pane="bottomRight" activeCell="N59" sqref="N59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84"/>
      <c r="L2" s="247" t="s">
        <v>705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246"/>
      <c r="H3" s="181" t="s">
        <v>260</v>
      </c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44196</v>
      </c>
      <c r="D4" s="54">
        <v>44561</v>
      </c>
      <c r="E4" s="54">
        <v>44926</v>
      </c>
      <c r="F4" s="54">
        <v>45291</v>
      </c>
      <c r="G4" s="54"/>
      <c r="H4" s="119" t="s">
        <v>875</v>
      </c>
      <c r="I4" s="119" t="s">
        <v>876</v>
      </c>
      <c r="J4" s="119" t="s">
        <v>877</v>
      </c>
      <c r="K4" s="119" t="s">
        <v>878</v>
      </c>
      <c r="L4" s="119" t="s">
        <v>879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>
      <c r="A8" s="83"/>
      <c r="B8" s="83" t="s">
        <v>166</v>
      </c>
      <c r="C8" s="88">
        <f>SUM(C9:C11)</f>
        <v>0</v>
      </c>
      <c r="D8" s="88">
        <f>SUM(D9:D11)</f>
        <v>24355</v>
      </c>
      <c r="E8" s="88">
        <f>SUM(E9:E11)</f>
        <v>25092</v>
      </c>
      <c r="F8" s="88">
        <f>SUM(F9:F11)</f>
        <v>29886</v>
      </c>
      <c r="G8" s="88"/>
      <c r="H8" s="88">
        <f>SUM(H9:H11)</f>
        <v>29886</v>
      </c>
      <c r="I8" s="88">
        <f t="shared" ref="I8:L8" si="0">SUM(I9:I11)</f>
        <v>29886</v>
      </c>
      <c r="J8" s="88">
        <f t="shared" si="0"/>
        <v>29886</v>
      </c>
      <c r="K8" s="88">
        <f t="shared" si="0"/>
        <v>29886</v>
      </c>
      <c r="L8" s="88">
        <f t="shared" si="0"/>
        <v>29886</v>
      </c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outlineLevel="2">
      <c r="A9" s="83"/>
      <c r="B9" s="106" t="s">
        <v>706</v>
      </c>
      <c r="C9" s="95"/>
      <c r="D9" s="95">
        <v>19800</v>
      </c>
      <c r="E9" s="95">
        <v>20500</v>
      </c>
      <c r="F9" s="95">
        <v>21900</v>
      </c>
      <c r="G9" s="95"/>
      <c r="H9" s="95">
        <v>21900</v>
      </c>
      <c r="I9" s="95">
        <v>21900</v>
      </c>
      <c r="J9" s="95">
        <v>21900</v>
      </c>
      <c r="K9" s="95">
        <v>21900</v>
      </c>
      <c r="L9" s="95">
        <v>21900</v>
      </c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outlineLevel="2">
      <c r="A10" s="83"/>
      <c r="B10" s="106" t="s">
        <v>707</v>
      </c>
      <c r="C10" s="95"/>
      <c r="D10" s="95">
        <v>4555</v>
      </c>
      <c r="E10" s="95">
        <v>4592</v>
      </c>
      <c r="F10" s="95">
        <v>7986</v>
      </c>
      <c r="G10" s="95"/>
      <c r="H10" s="95">
        <v>7986</v>
      </c>
      <c r="I10" s="95">
        <v>7986</v>
      </c>
      <c r="J10" s="95">
        <v>7986</v>
      </c>
      <c r="K10" s="95">
        <v>7986</v>
      </c>
      <c r="L10" s="95">
        <v>7986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outlineLevel="2">
      <c r="A11" s="83"/>
      <c r="B11" s="243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>
      <c r="A12" s="83"/>
      <c r="B12" s="98" t="s">
        <v>7</v>
      </c>
      <c r="C12" s="99">
        <f>C6+C8+C7</f>
        <v>0</v>
      </c>
      <c r="D12" s="99">
        <f>D6+D8+D7</f>
        <v>24355</v>
      </c>
      <c r="E12" s="99">
        <f>E6+E8+E7</f>
        <v>25092</v>
      </c>
      <c r="F12" s="99">
        <f>F6+F8+F7</f>
        <v>29886</v>
      </c>
      <c r="G12" s="275"/>
      <c r="H12" s="99">
        <f>H6+H8+H7</f>
        <v>29886</v>
      </c>
      <c r="I12" s="99">
        <f t="shared" ref="I12:L12" si="1">I6+I8+I7</f>
        <v>29886</v>
      </c>
      <c r="J12" s="99">
        <f t="shared" si="1"/>
        <v>29886</v>
      </c>
      <c r="K12" s="99">
        <f t="shared" si="1"/>
        <v>29886</v>
      </c>
      <c r="L12" s="99">
        <f t="shared" si="1"/>
        <v>29886</v>
      </c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>
      <c r="A13" s="83"/>
      <c r="B13" s="97" t="s">
        <v>8</v>
      </c>
      <c r="C13" s="89">
        <v>0</v>
      </c>
      <c r="D13" s="89">
        <v>0</v>
      </c>
      <c r="E13" s="89">
        <v>0</v>
      </c>
      <c r="F13" s="89">
        <v>0</v>
      </c>
      <c r="G13" s="89"/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>
      <c r="A14" s="83"/>
      <c r="B14" s="97" t="s">
        <v>9</v>
      </c>
      <c r="C14" s="169">
        <f>'Probois 43'!C10</f>
        <v>0</v>
      </c>
      <c r="D14" s="169">
        <f>'Probois 43'!D10</f>
        <v>0</v>
      </c>
      <c r="E14" s="169">
        <f>'Probois 43'!E10</f>
        <v>0</v>
      </c>
      <c r="F14" s="169">
        <f>'Probois 43'!F10</f>
        <v>0</v>
      </c>
      <c r="G14" s="169"/>
      <c r="H14" s="169">
        <f>'Probois 43'!H10</f>
        <v>0</v>
      </c>
      <c r="I14" s="169">
        <f>'Probois 43'!I10</f>
        <v>0</v>
      </c>
      <c r="J14" s="169">
        <f>'Probois 43'!J10</f>
        <v>0</v>
      </c>
      <c r="K14" s="169">
        <f>'Probois 43'!K10</f>
        <v>0</v>
      </c>
      <c r="L14" s="169">
        <f>'Probois 43'!L10</f>
        <v>0</v>
      </c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>
      <c r="A15" s="83"/>
      <c r="B15" s="100" t="s">
        <v>14</v>
      </c>
      <c r="C15" s="99">
        <f>C12+C13+C14</f>
        <v>0</v>
      </c>
      <c r="D15" s="99">
        <f>D12+D13+D14</f>
        <v>24355</v>
      </c>
      <c r="E15" s="99">
        <f>E12+E13+E14</f>
        <v>25092</v>
      </c>
      <c r="F15" s="99">
        <f>F12+F13+F14</f>
        <v>29886</v>
      </c>
      <c r="G15" s="275"/>
      <c r="H15" s="99">
        <f>H12+H13+H14</f>
        <v>29886</v>
      </c>
      <c r="I15" s="99">
        <f t="shared" ref="I15:L15" si="2">I12+I13+I14</f>
        <v>29886</v>
      </c>
      <c r="J15" s="99">
        <f t="shared" si="2"/>
        <v>29886</v>
      </c>
      <c r="K15" s="99">
        <f t="shared" si="2"/>
        <v>29886</v>
      </c>
      <c r="L15" s="99">
        <f t="shared" si="2"/>
        <v>29886</v>
      </c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6.5" thickBot="1">
      <c r="A16" s="83"/>
      <c r="B16" s="101" t="s">
        <v>106</v>
      </c>
      <c r="C16" s="102" t="e">
        <f>C15/C15</f>
        <v>#DIV/0!</v>
      </c>
      <c r="D16" s="102">
        <f t="shared" ref="D16:F16" si="3">D15/D15</f>
        <v>1</v>
      </c>
      <c r="E16" s="102">
        <f t="shared" si="3"/>
        <v>1</v>
      </c>
      <c r="F16" s="102">
        <f t="shared" si="3"/>
        <v>1</v>
      </c>
      <c r="G16" s="276"/>
      <c r="H16" s="102">
        <f t="shared" ref="H16:L16" si="4">H15/H15</f>
        <v>1</v>
      </c>
      <c r="I16" s="102">
        <f t="shared" si="4"/>
        <v>1</v>
      </c>
      <c r="J16" s="102">
        <f t="shared" si="4"/>
        <v>1</v>
      </c>
      <c r="K16" s="102">
        <f t="shared" si="4"/>
        <v>1</v>
      </c>
      <c r="L16" s="102">
        <f t="shared" si="4"/>
        <v>1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5.75" collapsed="1">
      <c r="A17" s="83"/>
      <c r="B17" s="103" t="s">
        <v>167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>
      <c r="A18" s="83"/>
      <c r="B18" s="103" t="s">
        <v>168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>
      <c r="A19" s="83"/>
      <c r="B19" s="83" t="s">
        <v>190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>
      <c r="A20" s="107"/>
      <c r="B20" s="108" t="s">
        <v>169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8"/>
      <c r="N20" s="108"/>
      <c r="O20" s="109"/>
      <c r="P20" s="109"/>
      <c r="Q20" s="109"/>
      <c r="R20" s="109"/>
      <c r="S20" s="109"/>
      <c r="T20" s="109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</row>
    <row r="21" spans="1:43" ht="15.75">
      <c r="A21" s="83"/>
      <c r="B21" s="100" t="s">
        <v>16</v>
      </c>
      <c r="C21" s="99">
        <f>C15+C17+C18+C19+C20</f>
        <v>0</v>
      </c>
      <c r="D21" s="99">
        <f>D15+D17+D18+D19+D20</f>
        <v>24355</v>
      </c>
      <c r="E21" s="99">
        <f>E15+E17+E18+E19+E20</f>
        <v>25092</v>
      </c>
      <c r="F21" s="99">
        <f>F15+F17+F18+F19+F20</f>
        <v>29886</v>
      </c>
      <c r="G21" s="275"/>
      <c r="H21" s="99">
        <f>H15+H17+H18+H19+H20</f>
        <v>29886</v>
      </c>
      <c r="I21" s="99">
        <f t="shared" ref="I21:L21" si="5">I15+I17+I18+I19+I20</f>
        <v>29886</v>
      </c>
      <c r="J21" s="99">
        <f t="shared" si="5"/>
        <v>29886</v>
      </c>
      <c r="K21" s="99">
        <f t="shared" si="5"/>
        <v>29886</v>
      </c>
      <c r="L21" s="99">
        <f t="shared" si="5"/>
        <v>29886</v>
      </c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</row>
    <row r="22" spans="1:43" ht="16.5" thickBot="1">
      <c r="A22" s="107"/>
      <c r="B22" s="101" t="s">
        <v>106</v>
      </c>
      <c r="C22" s="102" t="e">
        <f>C21/C15</f>
        <v>#DIV/0!</v>
      </c>
      <c r="D22" s="102">
        <f>D21/D15</f>
        <v>1</v>
      </c>
      <c r="E22" s="102">
        <f>E21/E15</f>
        <v>1</v>
      </c>
      <c r="F22" s="102">
        <f>F21/F15</f>
        <v>1</v>
      </c>
      <c r="G22" s="276"/>
      <c r="H22" s="102">
        <f>H21/H15</f>
        <v>1</v>
      </c>
      <c r="I22" s="102">
        <f t="shared" ref="I22:L22" si="6">I21/I15</f>
        <v>1</v>
      </c>
      <c r="J22" s="102">
        <f t="shared" si="6"/>
        <v>1</v>
      </c>
      <c r="K22" s="102">
        <f t="shared" si="6"/>
        <v>1</v>
      </c>
      <c r="L22" s="102">
        <f t="shared" si="6"/>
        <v>1</v>
      </c>
      <c r="M22" s="108"/>
      <c r="N22" s="108"/>
      <c r="O22" s="109"/>
      <c r="P22" s="109"/>
      <c r="Q22" s="109"/>
      <c r="R22" s="109"/>
      <c r="S22" s="109"/>
      <c r="T22" s="109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</row>
    <row r="23" spans="1:43" ht="15.75">
      <c r="A23" s="107"/>
      <c r="B23" s="108" t="s">
        <v>170</v>
      </c>
      <c r="C23" s="104">
        <f>C25+C26+C27+C28+C29+C30+C31+C32+C38+C40+C41+C39</f>
        <v>0</v>
      </c>
      <c r="D23" s="104">
        <f>D25+D26+D27+D28+D29+D30+D31+D32+D38+D40+D41+D39</f>
        <v>-3797</v>
      </c>
      <c r="E23" s="104">
        <f>E25+E26+E27+E28+E29+E30+E31+E32+E38+E40+E41+E39</f>
        <v>-2165</v>
      </c>
      <c r="F23" s="104">
        <f>F25+F26+F27+F28+F29+F30+F31+F32+F38+F40+F41+F39</f>
        <v>-1007</v>
      </c>
      <c r="G23" s="104"/>
      <c r="H23" s="104">
        <f>H25+H26+H27+H28+H29+H30+H31+H32+H38+H40+H41+H39</f>
        <v>-1007</v>
      </c>
      <c r="I23" s="104">
        <f t="shared" ref="I23:L23" si="7">I25+I26+I27+I28+I29+I30+I31+I32+I38+I40+I41+I39</f>
        <v>-1007</v>
      </c>
      <c r="J23" s="104">
        <f t="shared" si="7"/>
        <v>-1007</v>
      </c>
      <c r="K23" s="104">
        <f t="shared" si="7"/>
        <v>-1007</v>
      </c>
      <c r="L23" s="104">
        <f t="shared" si="7"/>
        <v>-1007</v>
      </c>
      <c r="M23" s="108"/>
      <c r="N23" s="108"/>
      <c r="O23" s="109"/>
      <c r="P23" s="109"/>
      <c r="Q23" s="109"/>
      <c r="R23" s="109"/>
      <c r="S23" s="109"/>
      <c r="T23" s="109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</row>
    <row r="24" spans="1:43" outlineLevel="1"/>
    <row r="25" spans="1:43" s="92" customFormat="1" ht="12.75" outlineLevel="1">
      <c r="A25" s="90"/>
      <c r="B25" s="105" t="s">
        <v>171</v>
      </c>
      <c r="C25" s="91">
        <v>0</v>
      </c>
      <c r="D25" s="91">
        <v>0</v>
      </c>
      <c r="E25" s="91">
        <v>0</v>
      </c>
      <c r="F25" s="91">
        <v>0</v>
      </c>
      <c r="G25" s="91"/>
      <c r="H25" s="91">
        <v>0</v>
      </c>
      <c r="I25" s="91">
        <v>0</v>
      </c>
      <c r="J25" s="91">
        <v>0</v>
      </c>
      <c r="K25" s="91">
        <v>0</v>
      </c>
      <c r="L25" s="91">
        <v>0</v>
      </c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</row>
    <row r="26" spans="1:43" s="92" customFormat="1" ht="12.75" outlineLevel="1">
      <c r="A26" s="90"/>
      <c r="B26" s="105" t="s">
        <v>172</v>
      </c>
      <c r="C26" s="91">
        <v>0</v>
      </c>
      <c r="D26" s="91">
        <v>0</v>
      </c>
      <c r="E26" s="91">
        <v>0</v>
      </c>
      <c r="F26" s="91">
        <v>0</v>
      </c>
      <c r="G26" s="91"/>
      <c r="H26" s="91">
        <v>0</v>
      </c>
      <c r="I26" s="91">
        <v>0</v>
      </c>
      <c r="J26" s="91">
        <v>0</v>
      </c>
      <c r="K26" s="91">
        <v>0</v>
      </c>
      <c r="L26" s="91">
        <v>0</v>
      </c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</row>
    <row r="27" spans="1:43" s="92" customFormat="1" ht="12.75" outlineLevel="1">
      <c r="A27" s="90"/>
      <c r="B27" s="105" t="s">
        <v>173</v>
      </c>
      <c r="C27" s="91">
        <v>0</v>
      </c>
      <c r="D27" s="91">
        <v>0</v>
      </c>
      <c r="E27" s="91">
        <v>0</v>
      </c>
      <c r="F27" s="91">
        <v>0</v>
      </c>
      <c r="G27" s="91"/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</row>
    <row r="28" spans="1:43" s="92" customFormat="1" ht="12.75" outlineLevel="1">
      <c r="A28" s="90"/>
      <c r="B28" s="105" t="s">
        <v>174</v>
      </c>
      <c r="C28" s="91">
        <v>0</v>
      </c>
      <c r="D28" s="91">
        <v>0</v>
      </c>
      <c r="E28" s="91">
        <v>0</v>
      </c>
      <c r="F28" s="91">
        <v>0</v>
      </c>
      <c r="G28" s="91"/>
      <c r="H28" s="91">
        <v>0</v>
      </c>
      <c r="I28" s="91">
        <v>0</v>
      </c>
      <c r="J28" s="91">
        <v>0</v>
      </c>
      <c r="K28" s="91">
        <v>0</v>
      </c>
      <c r="L28" s="91">
        <v>0</v>
      </c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</row>
    <row r="29" spans="1:43" s="92" customFormat="1" ht="12.75" outlineLevel="1">
      <c r="A29" s="90"/>
      <c r="B29" s="105" t="s">
        <v>175</v>
      </c>
      <c r="C29" s="91">
        <v>0</v>
      </c>
      <c r="D29" s="91">
        <v>0</v>
      </c>
      <c r="E29" s="91">
        <v>0</v>
      </c>
      <c r="F29" s="91">
        <v>0</v>
      </c>
      <c r="G29" s="91"/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</row>
    <row r="30" spans="1:43" s="92" customFormat="1" ht="12.75" outlineLevel="1">
      <c r="A30" s="90"/>
      <c r="B30" s="105" t="s">
        <v>176</v>
      </c>
      <c r="C30" s="91">
        <v>0</v>
      </c>
      <c r="D30" s="91">
        <v>0</v>
      </c>
      <c r="E30" s="91">
        <v>0</v>
      </c>
      <c r="F30" s="91">
        <v>0</v>
      </c>
      <c r="G30" s="91"/>
      <c r="H30" s="91">
        <v>0</v>
      </c>
      <c r="I30" s="91">
        <v>0</v>
      </c>
      <c r="J30" s="91">
        <v>0</v>
      </c>
      <c r="K30" s="91">
        <v>0</v>
      </c>
      <c r="L30" s="91">
        <v>0</v>
      </c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</row>
    <row r="31" spans="1:43" s="92" customFormat="1" ht="12.75" outlineLevel="1">
      <c r="A31" s="90"/>
      <c r="B31" s="105" t="s">
        <v>177</v>
      </c>
      <c r="C31" s="91">
        <v>0</v>
      </c>
      <c r="D31" s="91">
        <v>0</v>
      </c>
      <c r="E31" s="91">
        <v>0</v>
      </c>
      <c r="F31" s="91">
        <v>0</v>
      </c>
      <c r="G31" s="91"/>
      <c r="H31" s="91">
        <v>0</v>
      </c>
      <c r="I31" s="91">
        <v>0</v>
      </c>
      <c r="J31" s="91">
        <v>0</v>
      </c>
      <c r="K31" s="91">
        <v>0</v>
      </c>
      <c r="L31" s="91">
        <v>0</v>
      </c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</row>
    <row r="32" spans="1:43" s="92" customFormat="1" ht="12.75" outlineLevel="1">
      <c r="A32" s="90"/>
      <c r="B32" s="105" t="s">
        <v>143</v>
      </c>
      <c r="C32" s="91">
        <f>SUM(C33:C37)</f>
        <v>0</v>
      </c>
      <c r="D32" s="91">
        <f>SUM(D33:D37)</f>
        <v>-3490</v>
      </c>
      <c r="E32" s="91">
        <f>SUM(E33:E37)</f>
        <v>-1917</v>
      </c>
      <c r="F32" s="91">
        <f>SUM(F33:F37)</f>
        <v>-687</v>
      </c>
      <c r="G32" s="91"/>
      <c r="H32" s="91">
        <f>SUM(H33:H37)</f>
        <v>-687</v>
      </c>
      <c r="I32" s="91">
        <f t="shared" ref="I32:L32" si="8">SUM(I33:I37)</f>
        <v>-687</v>
      </c>
      <c r="J32" s="91">
        <f t="shared" si="8"/>
        <v>-687</v>
      </c>
      <c r="K32" s="91">
        <f t="shared" si="8"/>
        <v>-687</v>
      </c>
      <c r="L32" s="91">
        <f t="shared" si="8"/>
        <v>-687</v>
      </c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</row>
    <row r="33" spans="1:43" ht="15.75" outlineLevel="2">
      <c r="A33" s="83"/>
      <c r="B33" s="106" t="s">
        <v>708</v>
      </c>
      <c r="C33" s="95"/>
      <c r="D33" s="95">
        <v>-2000</v>
      </c>
      <c r="E33" s="95">
        <v>-1247</v>
      </c>
      <c r="F33" s="95"/>
      <c r="G33" s="95"/>
      <c r="H33" s="95"/>
      <c r="I33" s="95"/>
      <c r="J33" s="95"/>
      <c r="K33" s="95"/>
      <c r="L33" s="95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</row>
    <row r="34" spans="1:43" ht="15.75" outlineLevel="2">
      <c r="A34" s="83"/>
      <c r="B34" s="106" t="s">
        <v>711</v>
      </c>
      <c r="C34" s="95"/>
      <c r="D34" s="95">
        <v>-847</v>
      </c>
      <c r="E34" s="95"/>
      <c r="F34" s="95"/>
      <c r="G34" s="95"/>
      <c r="H34" s="95"/>
      <c r="I34" s="95"/>
      <c r="J34" s="95"/>
      <c r="K34" s="95"/>
      <c r="L34" s="95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outlineLevel="2">
      <c r="A35" s="83"/>
      <c r="B35" s="106" t="s">
        <v>710</v>
      </c>
      <c r="C35" s="95"/>
      <c r="D35" s="95">
        <v>-643</v>
      </c>
      <c r="E35" s="95">
        <v>-662</v>
      </c>
      <c r="F35" s="95">
        <v>-687</v>
      </c>
      <c r="G35" s="95"/>
      <c r="H35" s="95">
        <v>-687</v>
      </c>
      <c r="I35" s="95">
        <v>-687</v>
      </c>
      <c r="J35" s="95">
        <v>-687</v>
      </c>
      <c r="K35" s="95">
        <v>-687</v>
      </c>
      <c r="L35" s="95">
        <v>-687</v>
      </c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ht="15.75" outlineLevel="2">
      <c r="A36" s="83"/>
      <c r="B36" s="106" t="s">
        <v>709</v>
      </c>
      <c r="C36" s="95"/>
      <c r="E36" s="95">
        <v>-8</v>
      </c>
      <c r="F36" s="95"/>
      <c r="G36" s="95"/>
      <c r="H36" s="95"/>
      <c r="I36" s="95"/>
      <c r="J36" s="95"/>
      <c r="K36" s="95"/>
      <c r="L36" s="95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</row>
    <row r="37" spans="1:43" ht="15.75" outlineLevel="2">
      <c r="A37" s="83"/>
      <c r="B37" s="106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</row>
    <row r="38" spans="1:43" s="92" customFormat="1" ht="12.75" outlineLevel="1">
      <c r="A38" s="90"/>
      <c r="B38" s="105" t="s">
        <v>178</v>
      </c>
      <c r="C38" s="91">
        <v>0</v>
      </c>
      <c r="D38" s="91">
        <v>0</v>
      </c>
      <c r="E38" s="91">
        <v>0</v>
      </c>
      <c r="F38" s="91">
        <v>0</v>
      </c>
      <c r="G38" s="91"/>
      <c r="H38" s="91">
        <v>0</v>
      </c>
      <c r="I38" s="91">
        <v>0</v>
      </c>
      <c r="J38" s="91">
        <v>0</v>
      </c>
      <c r="K38" s="91">
        <v>0</v>
      </c>
      <c r="L38" s="91">
        <v>0</v>
      </c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</row>
    <row r="39" spans="1:43" s="92" customFormat="1" ht="12.75" outlineLevel="1">
      <c r="A39" s="90"/>
      <c r="B39" s="105" t="s">
        <v>590</v>
      </c>
      <c r="C39" s="91">
        <v>0</v>
      </c>
      <c r="D39" s="91">
        <v>0</v>
      </c>
      <c r="E39" s="91">
        <v>0</v>
      </c>
      <c r="F39" s="91">
        <v>0</v>
      </c>
      <c r="G39" s="91"/>
      <c r="H39" s="91">
        <v>0</v>
      </c>
      <c r="I39" s="91">
        <v>0</v>
      </c>
      <c r="J39" s="91">
        <v>0</v>
      </c>
      <c r="K39" s="91">
        <v>0</v>
      </c>
      <c r="L39" s="91">
        <v>0</v>
      </c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s="92" customFormat="1" ht="12.75" outlineLevel="1">
      <c r="A40" s="90"/>
      <c r="B40" s="105" t="s">
        <v>179</v>
      </c>
      <c r="C40" s="91">
        <v>0</v>
      </c>
      <c r="D40" s="91">
        <v>0</v>
      </c>
      <c r="E40" s="91">
        <v>0</v>
      </c>
      <c r="F40" s="91">
        <v>0</v>
      </c>
      <c r="G40" s="91"/>
      <c r="H40" s="91">
        <v>0</v>
      </c>
      <c r="I40" s="91">
        <v>0</v>
      </c>
      <c r="J40" s="91">
        <v>0</v>
      </c>
      <c r="K40" s="91">
        <v>0</v>
      </c>
      <c r="L40" s="91">
        <v>0</v>
      </c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</row>
    <row r="41" spans="1:43" s="92" customFormat="1" ht="12.75" outlineLevel="1">
      <c r="A41" s="90"/>
      <c r="B41" s="105" t="s">
        <v>180</v>
      </c>
      <c r="C41" s="91">
        <f>SUM(C42:C44)</f>
        <v>0</v>
      </c>
      <c r="D41" s="91">
        <f>SUM(D42:D44)</f>
        <v>-307</v>
      </c>
      <c r="E41" s="91">
        <f>SUM(E42:E44)</f>
        <v>-248</v>
      </c>
      <c r="F41" s="91">
        <f>SUM(F42:F44)</f>
        <v>-320</v>
      </c>
      <c r="G41" s="91"/>
      <c r="H41" s="91">
        <f>SUM(H42:H44)</f>
        <v>-320</v>
      </c>
      <c r="I41" s="91">
        <f t="shared" ref="I41:L41" si="9">SUM(I42:I44)</f>
        <v>-320</v>
      </c>
      <c r="J41" s="91">
        <f t="shared" si="9"/>
        <v>-320</v>
      </c>
      <c r="K41" s="91">
        <f t="shared" si="9"/>
        <v>-320</v>
      </c>
      <c r="L41" s="91">
        <f t="shared" si="9"/>
        <v>-320</v>
      </c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</row>
    <row r="42" spans="1:43" ht="15.75" outlineLevel="2">
      <c r="A42" s="83"/>
      <c r="B42" s="106" t="s">
        <v>712</v>
      </c>
      <c r="C42" s="95"/>
      <c r="D42" s="95">
        <v>-307</v>
      </c>
      <c r="E42" s="95">
        <v>-248</v>
      </c>
      <c r="F42" s="95">
        <v>-320</v>
      </c>
      <c r="G42" s="95"/>
      <c r="H42" s="95">
        <v>-320</v>
      </c>
      <c r="I42" s="95">
        <v>-320</v>
      </c>
      <c r="J42" s="95">
        <v>-320</v>
      </c>
      <c r="K42" s="95">
        <v>-320</v>
      </c>
      <c r="L42" s="95">
        <v>-320</v>
      </c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outlineLevel="2">
      <c r="A43" s="83"/>
      <c r="B43" s="106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5.75" outlineLevel="1">
      <c r="A44" s="83"/>
      <c r="B44" s="243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>
      <c r="A45" s="83"/>
      <c r="B45" s="100" t="s">
        <v>181</v>
      </c>
      <c r="C45" s="110">
        <f>C21+C23</f>
        <v>0</v>
      </c>
      <c r="D45" s="110">
        <f>D21+D23</f>
        <v>20558</v>
      </c>
      <c r="E45" s="110">
        <f>E21+E23</f>
        <v>22927</v>
      </c>
      <c r="F45" s="110">
        <f>F21+F23</f>
        <v>28879</v>
      </c>
      <c r="G45" s="277"/>
      <c r="H45" s="110">
        <f>H21+H23</f>
        <v>28879</v>
      </c>
      <c r="I45" s="110">
        <f t="shared" ref="I45:L45" si="10">I21+I23</f>
        <v>28879</v>
      </c>
      <c r="J45" s="110">
        <f t="shared" si="10"/>
        <v>28879</v>
      </c>
      <c r="K45" s="110">
        <f t="shared" si="10"/>
        <v>28879</v>
      </c>
      <c r="L45" s="110">
        <f t="shared" si="10"/>
        <v>28879</v>
      </c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</row>
    <row r="46" spans="1:43" ht="16.5" thickBot="1">
      <c r="A46" s="83"/>
      <c r="B46" s="101" t="s">
        <v>106</v>
      </c>
      <c r="C46" s="102" t="e">
        <f>C45/C15</f>
        <v>#DIV/0!</v>
      </c>
      <c r="D46" s="102">
        <f>D45/D15</f>
        <v>0.84409772120714432</v>
      </c>
      <c r="E46" s="102">
        <f>E45/E15</f>
        <v>0.91371751952813651</v>
      </c>
      <c r="F46" s="102">
        <f>F45/F15</f>
        <v>0.96630529344843741</v>
      </c>
      <c r="G46" s="276"/>
      <c r="H46" s="102">
        <f>H45/H15</f>
        <v>0.96630529344843741</v>
      </c>
      <c r="I46" s="102">
        <f t="shared" ref="I46:L46" si="11">I45/I15</f>
        <v>0.96630529344843741</v>
      </c>
      <c r="J46" s="102">
        <f t="shared" si="11"/>
        <v>0.96630529344843741</v>
      </c>
      <c r="K46" s="102">
        <f t="shared" si="11"/>
        <v>0.96630529344843741</v>
      </c>
      <c r="L46" s="102">
        <f t="shared" si="11"/>
        <v>0.96630529344843741</v>
      </c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</row>
    <row r="47" spans="1:43" ht="15.75">
      <c r="A47" s="107"/>
      <c r="B47" s="83" t="s">
        <v>262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8"/>
      <c r="N47" s="108"/>
      <c r="O47" s="109"/>
      <c r="P47" s="109"/>
      <c r="Q47" s="109"/>
      <c r="R47" s="109"/>
      <c r="S47" s="109"/>
      <c r="T47" s="109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</row>
    <row r="48" spans="1:43" ht="15.75">
      <c r="A48" s="107"/>
      <c r="B48" s="97" t="s">
        <v>22</v>
      </c>
      <c r="C48" s="104">
        <f>SUM(C49:C51)</f>
        <v>0</v>
      </c>
      <c r="D48" s="104">
        <f t="shared" ref="D48:F48" si="12">SUM(D49:D51)</f>
        <v>-5163</v>
      </c>
      <c r="E48" s="104">
        <f t="shared" si="12"/>
        <v>-6932</v>
      </c>
      <c r="F48" s="104">
        <f t="shared" si="12"/>
        <v>-8137</v>
      </c>
      <c r="G48" s="104"/>
      <c r="H48" s="104">
        <f t="shared" ref="H48:L48" si="13">SUM(H49:H51)</f>
        <v>-8137</v>
      </c>
      <c r="I48" s="104">
        <f t="shared" si="13"/>
        <v>-8137</v>
      </c>
      <c r="J48" s="104">
        <f t="shared" si="13"/>
        <v>-8137</v>
      </c>
      <c r="K48" s="104">
        <f t="shared" si="13"/>
        <v>-8137</v>
      </c>
      <c r="L48" s="104">
        <f t="shared" si="13"/>
        <v>-8137</v>
      </c>
      <c r="M48" s="108"/>
      <c r="N48" s="108"/>
      <c r="O48" s="109"/>
      <c r="P48" s="109"/>
      <c r="Q48" s="109"/>
      <c r="R48" s="109"/>
      <c r="S48" s="109"/>
      <c r="T48" s="109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</row>
    <row r="49" spans="1:43" ht="15.75" outlineLevel="1">
      <c r="A49" s="83"/>
      <c r="B49" s="106" t="s">
        <v>719</v>
      </c>
      <c r="C49" s="95"/>
      <c r="D49" s="95"/>
      <c r="E49" s="95"/>
      <c r="F49" s="95">
        <v>-151</v>
      </c>
      <c r="G49" s="95"/>
      <c r="H49" s="95">
        <v>-151</v>
      </c>
      <c r="I49" s="95">
        <v>-151</v>
      </c>
      <c r="J49" s="95">
        <v>-151</v>
      </c>
      <c r="K49" s="95">
        <v>-151</v>
      </c>
      <c r="L49" s="95">
        <v>-151</v>
      </c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</row>
    <row r="50" spans="1:43" ht="15.75" outlineLevel="1">
      <c r="A50" s="83"/>
      <c r="B50" s="106" t="s">
        <v>713</v>
      </c>
      <c r="C50" s="95"/>
      <c r="D50" s="95">
        <v>-4555</v>
      </c>
      <c r="E50" s="95">
        <v>-4592</v>
      </c>
      <c r="F50" s="95">
        <v>-7986</v>
      </c>
      <c r="G50" s="95"/>
      <c r="H50" s="95">
        <v>-7986</v>
      </c>
      <c r="I50" s="95">
        <v>-7986</v>
      </c>
      <c r="J50" s="95">
        <v>-7986</v>
      </c>
      <c r="K50" s="95">
        <v>-7986</v>
      </c>
      <c r="L50" s="95">
        <v>-7986</v>
      </c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 outlineLevel="1">
      <c r="A51" s="83"/>
      <c r="B51" s="106" t="s">
        <v>714</v>
      </c>
      <c r="C51" s="95"/>
      <c r="D51" s="95">
        <v>-608</v>
      </c>
      <c r="E51" s="95">
        <v>-2340</v>
      </c>
      <c r="F51" s="95"/>
      <c r="G51" s="95"/>
      <c r="H51" s="95"/>
      <c r="I51" s="95"/>
      <c r="J51" s="95"/>
      <c r="K51" s="95"/>
      <c r="L51" s="95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5.75">
      <c r="A52" s="107"/>
      <c r="B52" s="97" t="s">
        <v>21</v>
      </c>
      <c r="C52" s="89">
        <v>0</v>
      </c>
      <c r="D52" s="89">
        <v>0</v>
      </c>
      <c r="E52" s="89">
        <v>0</v>
      </c>
      <c r="F52" s="89">
        <v>0</v>
      </c>
      <c r="G52" s="89"/>
      <c r="H52" s="89">
        <v>0</v>
      </c>
      <c r="I52" s="89">
        <v>0</v>
      </c>
      <c r="J52" s="89">
        <v>0</v>
      </c>
      <c r="K52" s="89">
        <v>0</v>
      </c>
      <c r="L52" s="89">
        <v>0</v>
      </c>
      <c r="M52" s="108"/>
      <c r="N52" s="108"/>
      <c r="O52" s="109"/>
      <c r="P52" s="109"/>
      <c r="Q52" s="109"/>
      <c r="R52" s="109"/>
      <c r="S52" s="109"/>
      <c r="T52" s="109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</row>
    <row r="53" spans="1:43" ht="15.75">
      <c r="A53" s="83"/>
      <c r="B53" s="97" t="s">
        <v>20</v>
      </c>
      <c r="C53" s="89">
        <v>0</v>
      </c>
      <c r="D53" s="89">
        <v>0</v>
      </c>
      <c r="E53" s="89">
        <v>0</v>
      </c>
      <c r="F53" s="89">
        <v>0</v>
      </c>
      <c r="G53" s="89"/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>
      <c r="A54" s="83"/>
      <c r="B54" s="100" t="s">
        <v>24</v>
      </c>
      <c r="C54" s="110">
        <f>C45+C47+C48+C52+C53</f>
        <v>0</v>
      </c>
      <c r="D54" s="110">
        <f>D45+D47+D48+D52+D53</f>
        <v>15395</v>
      </c>
      <c r="E54" s="110">
        <f>E45+E47+E48+E52+E53</f>
        <v>15995</v>
      </c>
      <c r="F54" s="110">
        <f>F45+F47+F48+F52+F53</f>
        <v>20742</v>
      </c>
      <c r="G54" s="277"/>
      <c r="H54" s="110">
        <f>H45+H47+H48+H52+H53</f>
        <v>20742</v>
      </c>
      <c r="I54" s="110">
        <f t="shared" ref="I54:L54" si="14">I45+I47+I48+I52+I53</f>
        <v>20742</v>
      </c>
      <c r="J54" s="110">
        <f t="shared" si="14"/>
        <v>20742</v>
      </c>
      <c r="K54" s="110">
        <f t="shared" si="14"/>
        <v>20742</v>
      </c>
      <c r="L54" s="110">
        <f t="shared" si="14"/>
        <v>20742</v>
      </c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6.5" thickBot="1">
      <c r="A55" s="83"/>
      <c r="B55" s="101" t="s">
        <v>106</v>
      </c>
      <c r="C55" s="102" t="e">
        <f>C54/C15</f>
        <v>#DIV/0!</v>
      </c>
      <c r="D55" s="102">
        <f>D54/D15</f>
        <v>0.63210839663313489</v>
      </c>
      <c r="E55" s="102">
        <f>E54/E15</f>
        <v>0.63745416865933369</v>
      </c>
      <c r="F55" s="102">
        <f>F54/F15</f>
        <v>0.69403734189921706</v>
      </c>
      <c r="G55" s="276"/>
      <c r="H55" s="102">
        <f>H54/H15</f>
        <v>0.69403734189921706</v>
      </c>
      <c r="I55" s="102">
        <f t="shared" ref="I55:L55" si="15">I54/I15</f>
        <v>0.69403734189921706</v>
      </c>
      <c r="J55" s="102">
        <f t="shared" si="15"/>
        <v>0.69403734189921706</v>
      </c>
      <c r="K55" s="102">
        <f t="shared" si="15"/>
        <v>0.69403734189921706</v>
      </c>
      <c r="L55" s="102">
        <f t="shared" si="15"/>
        <v>0.69403734189921706</v>
      </c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>
      <c r="A56" s="83"/>
      <c r="B56" s="97" t="s">
        <v>183</v>
      </c>
      <c r="C56" s="89">
        <f>SUM(C57:C58)</f>
        <v>0</v>
      </c>
      <c r="D56" s="89">
        <f>SUM(D57:D58)</f>
        <v>0</v>
      </c>
      <c r="E56" s="89">
        <f>SUM(E57:E58)</f>
        <v>0</v>
      </c>
      <c r="F56" s="89">
        <f>SUM(F57:F58)</f>
        <v>0</v>
      </c>
      <c r="G56" s="89"/>
      <c r="H56" s="89">
        <f>SUM(H57:H58)</f>
        <v>0</v>
      </c>
      <c r="I56" s="89">
        <f t="shared" ref="I56:L56" si="16">SUM(I57:I58)</f>
        <v>0</v>
      </c>
      <c r="J56" s="89">
        <f t="shared" si="16"/>
        <v>0</v>
      </c>
      <c r="K56" s="89">
        <f t="shared" si="16"/>
        <v>0</v>
      </c>
      <c r="L56" s="89">
        <f t="shared" si="16"/>
        <v>0</v>
      </c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 outlineLevel="1">
      <c r="A57" s="83"/>
      <c r="B57" s="106" t="s">
        <v>673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5.75" outlineLevel="1">
      <c r="A58" s="83"/>
      <c r="B58" s="106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>
      <c r="A59" s="83"/>
      <c r="B59" s="97" t="s">
        <v>12</v>
      </c>
      <c r="C59" s="89">
        <f t="shared" ref="C59:L59" si="17">C60</f>
        <v>0</v>
      </c>
      <c r="D59" s="89">
        <f t="shared" si="17"/>
        <v>0</v>
      </c>
      <c r="E59" s="89">
        <f t="shared" si="17"/>
        <v>0</v>
      </c>
      <c r="F59" s="89">
        <f t="shared" si="17"/>
        <v>1</v>
      </c>
      <c r="G59" s="89"/>
      <c r="H59" s="89">
        <f t="shared" si="17"/>
        <v>1</v>
      </c>
      <c r="I59" s="89">
        <f t="shared" si="17"/>
        <v>1</v>
      </c>
      <c r="J59" s="89">
        <f t="shared" si="17"/>
        <v>1</v>
      </c>
      <c r="K59" s="89">
        <f t="shared" si="17"/>
        <v>1</v>
      </c>
      <c r="L59" s="89">
        <f t="shared" si="17"/>
        <v>1</v>
      </c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 outlineLevel="1">
      <c r="A60" s="83"/>
      <c r="B60" s="106" t="s">
        <v>581</v>
      </c>
      <c r="C60" s="95"/>
      <c r="D60" s="95"/>
      <c r="E60" s="95"/>
      <c r="F60" s="95">
        <v>1</v>
      </c>
      <c r="G60" s="95"/>
      <c r="H60" s="95">
        <v>1</v>
      </c>
      <c r="I60" s="95">
        <v>1</v>
      </c>
      <c r="J60" s="95">
        <v>1</v>
      </c>
      <c r="K60" s="95">
        <v>1</v>
      </c>
      <c r="L60" s="95">
        <v>1</v>
      </c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 outlineLevel="1">
      <c r="A61" s="83"/>
      <c r="B61" s="106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>
      <c r="A62" s="83"/>
      <c r="B62" s="97" t="s">
        <v>184</v>
      </c>
      <c r="C62" s="89">
        <f>C63</f>
        <v>0</v>
      </c>
      <c r="D62" s="89">
        <f t="shared" ref="D62:L62" si="18">D63</f>
        <v>-8519</v>
      </c>
      <c r="E62" s="89">
        <f t="shared" si="18"/>
        <v>-8519</v>
      </c>
      <c r="F62" s="89">
        <f t="shared" si="18"/>
        <v>-8519</v>
      </c>
      <c r="G62" s="89"/>
      <c r="H62" s="89">
        <f t="shared" si="18"/>
        <v>-8519</v>
      </c>
      <c r="I62" s="89">
        <f t="shared" si="18"/>
        <v>-8519</v>
      </c>
      <c r="J62" s="89">
        <f t="shared" si="18"/>
        <v>-8519</v>
      </c>
      <c r="K62" s="89">
        <f t="shared" si="18"/>
        <v>-8519</v>
      </c>
      <c r="L62" s="89">
        <f t="shared" si="18"/>
        <v>-8519</v>
      </c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outlineLevel="1">
      <c r="A63" s="83"/>
      <c r="B63" s="106" t="s">
        <v>715</v>
      </c>
      <c r="C63" s="95"/>
      <c r="D63" s="95">
        <v>-8519</v>
      </c>
      <c r="E63" s="95">
        <v>-8519</v>
      </c>
      <c r="F63" s="95">
        <v>-8519</v>
      </c>
      <c r="G63" s="95"/>
      <c r="H63" s="95">
        <v>-8519</v>
      </c>
      <c r="I63" s="95">
        <v>-8519</v>
      </c>
      <c r="J63" s="95">
        <v>-8519</v>
      </c>
      <c r="K63" s="95">
        <v>-8519</v>
      </c>
      <c r="L63" s="95">
        <v>-8519</v>
      </c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5.75" outlineLevel="1">
      <c r="A64" s="83"/>
      <c r="B64" s="106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ht="15.75">
      <c r="A65" s="83"/>
      <c r="B65" s="97" t="s">
        <v>23</v>
      </c>
      <c r="C65" s="89">
        <f>SUM(C66:C67)</f>
        <v>0</v>
      </c>
      <c r="D65" s="89">
        <f>SUM(D66:D67)</f>
        <v>-1</v>
      </c>
      <c r="E65" s="89">
        <f>SUM(E66:E67)</f>
        <v>0</v>
      </c>
      <c r="F65" s="89">
        <f>SUM(F66:F67)</f>
        <v>-1</v>
      </c>
      <c r="G65" s="89"/>
      <c r="H65" s="89">
        <f>SUM(H66:H67)</f>
        <v>-1</v>
      </c>
      <c r="I65" s="89">
        <f t="shared" ref="I65:L65" si="19">SUM(I66:I67)</f>
        <v>-1</v>
      </c>
      <c r="J65" s="89">
        <f t="shared" si="19"/>
        <v>-1</v>
      </c>
      <c r="K65" s="89">
        <f t="shared" si="19"/>
        <v>-1</v>
      </c>
      <c r="L65" s="89">
        <f t="shared" si="19"/>
        <v>-1</v>
      </c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outlineLevel="1">
      <c r="A66" s="83"/>
      <c r="B66" s="106" t="s">
        <v>633</v>
      </c>
      <c r="C66" s="95"/>
      <c r="D66" s="95">
        <v>-1</v>
      </c>
      <c r="E66" s="95"/>
      <c r="F66" s="95">
        <v>-1</v>
      </c>
      <c r="G66" s="95"/>
      <c r="H66" s="95">
        <v>-1</v>
      </c>
      <c r="I66" s="95">
        <v>-1</v>
      </c>
      <c r="J66" s="95">
        <v>-1</v>
      </c>
      <c r="K66" s="95">
        <v>-1</v>
      </c>
      <c r="L66" s="95">
        <v>-1</v>
      </c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outlineLevel="1">
      <c r="A67" s="83"/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5.75">
      <c r="A68" s="83"/>
      <c r="B68" s="100" t="s">
        <v>26</v>
      </c>
      <c r="C68" s="110">
        <f>C54+C56+C59+C65+C62</f>
        <v>0</v>
      </c>
      <c r="D68" s="110">
        <f>D54+D56+D59+D65+D62</f>
        <v>6875</v>
      </c>
      <c r="E68" s="110">
        <f>E54+E56+E59+E65+E62</f>
        <v>7476</v>
      </c>
      <c r="F68" s="110">
        <f>F54+F56+F59+F65+F62</f>
        <v>12223</v>
      </c>
      <c r="G68" s="277"/>
      <c r="H68" s="110">
        <f>H54+H56+H59+H65+H62</f>
        <v>12223</v>
      </c>
      <c r="I68" s="110">
        <f t="shared" ref="I68:L68" si="20">I54+I56+I59+I65+I62</f>
        <v>12223</v>
      </c>
      <c r="J68" s="110">
        <f t="shared" si="20"/>
        <v>12223</v>
      </c>
      <c r="K68" s="110">
        <f t="shared" si="20"/>
        <v>12223</v>
      </c>
      <c r="L68" s="110">
        <f t="shared" si="20"/>
        <v>12223</v>
      </c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16.5" thickBot="1">
      <c r="A69" s="83"/>
      <c r="B69" s="101" t="s">
        <v>106</v>
      </c>
      <c r="C69" s="102" t="e">
        <f>C68/C15</f>
        <v>#DIV/0!</v>
      </c>
      <c r="D69" s="102">
        <f>D68/D15</f>
        <v>0.28228289878874974</v>
      </c>
      <c r="E69" s="102">
        <f>E68/E15</f>
        <v>0.29794356767097085</v>
      </c>
      <c r="F69" s="102">
        <f>F68/F15</f>
        <v>0.40898748577929467</v>
      </c>
      <c r="G69" s="276"/>
      <c r="H69" s="102">
        <f>H68/H15</f>
        <v>0.40898748577929467</v>
      </c>
      <c r="I69" s="102">
        <f t="shared" ref="I69:L69" si="21">I68/I15</f>
        <v>0.40898748577929467</v>
      </c>
      <c r="J69" s="102">
        <f t="shared" si="21"/>
        <v>0.40898748577929467</v>
      </c>
      <c r="K69" s="102">
        <f t="shared" si="21"/>
        <v>0.40898748577929467</v>
      </c>
      <c r="L69" s="102">
        <f t="shared" si="21"/>
        <v>0.40898748577929467</v>
      </c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s="111" customFormat="1" ht="15.75">
      <c r="A70" s="83"/>
      <c r="B70" s="97" t="s">
        <v>29</v>
      </c>
      <c r="C70" s="89">
        <f>C71+C72</f>
        <v>0</v>
      </c>
      <c r="D70" s="89">
        <f>D71+D72</f>
        <v>-996</v>
      </c>
      <c r="E70" s="89">
        <f>E71+E72</f>
        <v>-1147</v>
      </c>
      <c r="F70" s="89">
        <f>F71+F72</f>
        <v>-4100</v>
      </c>
      <c r="G70" s="89"/>
      <c r="H70" s="89">
        <f>H71+H72</f>
        <v>-4100</v>
      </c>
      <c r="I70" s="89">
        <f t="shared" ref="I70:L70" si="22">I71+I72</f>
        <v>-4100</v>
      </c>
      <c r="J70" s="89">
        <f t="shared" si="22"/>
        <v>-4100</v>
      </c>
      <c r="K70" s="89">
        <f t="shared" si="22"/>
        <v>-4100</v>
      </c>
      <c r="L70" s="89">
        <f t="shared" si="22"/>
        <v>-4100</v>
      </c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</row>
    <row r="71" spans="1:43" ht="15.75" outlineLevel="1">
      <c r="A71" s="83"/>
      <c r="B71" s="105" t="s">
        <v>27</v>
      </c>
      <c r="C71" s="91">
        <v>0</v>
      </c>
      <c r="D71" s="91">
        <v>0</v>
      </c>
      <c r="E71" s="91">
        <v>0</v>
      </c>
      <c r="F71" s="91">
        <v>0</v>
      </c>
      <c r="G71" s="91"/>
      <c r="H71" s="91">
        <v>0</v>
      </c>
      <c r="I71" s="91">
        <v>0</v>
      </c>
      <c r="J71" s="91">
        <v>0</v>
      </c>
      <c r="K71" s="91">
        <v>0</v>
      </c>
      <c r="L71" s="91">
        <v>0</v>
      </c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</row>
    <row r="72" spans="1:43" ht="15.75" outlineLevel="1">
      <c r="A72" s="83"/>
      <c r="B72" s="105" t="s">
        <v>185</v>
      </c>
      <c r="C72" s="91">
        <f>SUM(C73:C76)</f>
        <v>0</v>
      </c>
      <c r="D72" s="91">
        <f>SUM(D73:D76)</f>
        <v>-996</v>
      </c>
      <c r="E72" s="91">
        <f>SUM(E73:E76)</f>
        <v>-1147</v>
      </c>
      <c r="F72" s="91">
        <f>SUM(F73:F76)</f>
        <v>-4100</v>
      </c>
      <c r="G72" s="91"/>
      <c r="H72" s="91">
        <f>SUM(H73:H76)</f>
        <v>-4100</v>
      </c>
      <c r="I72" s="91">
        <f t="shared" ref="I72:L72" si="23">SUM(I73:I76)</f>
        <v>-4100</v>
      </c>
      <c r="J72" s="91">
        <f t="shared" si="23"/>
        <v>-4100</v>
      </c>
      <c r="K72" s="91">
        <f t="shared" si="23"/>
        <v>-4100</v>
      </c>
      <c r="L72" s="91">
        <f t="shared" si="23"/>
        <v>-4100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 outlineLevel="2">
      <c r="A73" s="83"/>
      <c r="B73" s="106" t="s">
        <v>716</v>
      </c>
      <c r="C73" s="95"/>
      <c r="D73" s="95">
        <v>-144</v>
      </c>
      <c r="E73" s="95">
        <v>-16</v>
      </c>
      <c r="F73" s="95"/>
      <c r="G73" s="95"/>
      <c r="H73" s="95"/>
      <c r="I73" s="95"/>
      <c r="J73" s="95"/>
      <c r="K73" s="95"/>
      <c r="L73" s="95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ht="15.75" outlineLevel="2">
      <c r="A74" s="83"/>
      <c r="B74" s="106" t="s">
        <v>717</v>
      </c>
      <c r="C74" s="95"/>
      <c r="D74" s="95">
        <v>-624</v>
      </c>
      <c r="E74" s="95">
        <v>-569</v>
      </c>
      <c r="F74" s="95">
        <v>-513</v>
      </c>
      <c r="G74" s="95"/>
      <c r="H74" s="95">
        <v>-513</v>
      </c>
      <c r="I74" s="95">
        <v>-513</v>
      </c>
      <c r="J74" s="95">
        <v>-513</v>
      </c>
      <c r="K74" s="95">
        <v>-513</v>
      </c>
      <c r="L74" s="95">
        <v>-513</v>
      </c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</row>
    <row r="75" spans="1:43" ht="15.75" outlineLevel="2">
      <c r="A75" s="83"/>
      <c r="B75" s="106" t="s">
        <v>718</v>
      </c>
      <c r="C75" s="95"/>
      <c r="D75" s="95">
        <v>-228</v>
      </c>
      <c r="E75" s="95">
        <v>-562</v>
      </c>
      <c r="F75" s="95">
        <v>-3587</v>
      </c>
      <c r="G75" s="95"/>
      <c r="H75" s="95">
        <v>-3587</v>
      </c>
      <c r="I75" s="95">
        <v>-3587</v>
      </c>
      <c r="J75" s="95">
        <v>-3587</v>
      </c>
      <c r="K75" s="95">
        <v>-3587</v>
      </c>
      <c r="L75" s="95">
        <v>-3587</v>
      </c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outlineLevel="1">
      <c r="A76" s="83"/>
      <c r="B76" s="10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s="96" customFormat="1" ht="15.75">
      <c r="A77" s="93"/>
      <c r="B77" s="100" t="s">
        <v>264</v>
      </c>
      <c r="C77" s="110">
        <f>+C68+C70</f>
        <v>0</v>
      </c>
      <c r="D77" s="110">
        <f>+D68+D70</f>
        <v>5879</v>
      </c>
      <c r="E77" s="110">
        <f>+E68+E70</f>
        <v>6329</v>
      </c>
      <c r="F77" s="110">
        <f>+F68+F70</f>
        <v>8123</v>
      </c>
      <c r="G77" s="277"/>
      <c r="H77" s="110">
        <f>+H68+H70</f>
        <v>8123</v>
      </c>
      <c r="I77" s="110">
        <f t="shared" ref="I77:L77" si="24">+I68+I70</f>
        <v>8123</v>
      </c>
      <c r="J77" s="110">
        <f t="shared" si="24"/>
        <v>8123</v>
      </c>
      <c r="K77" s="110">
        <f t="shared" si="24"/>
        <v>8123</v>
      </c>
      <c r="L77" s="110">
        <f t="shared" si="24"/>
        <v>8123</v>
      </c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</row>
    <row r="78" spans="1:43" s="96" customFormat="1" ht="16.5" thickBot="1">
      <c r="A78" s="93"/>
      <c r="B78" s="101" t="s">
        <v>106</v>
      </c>
      <c r="C78" s="102" t="e">
        <f>+C77/C15</f>
        <v>#DIV/0!</v>
      </c>
      <c r="D78" s="102">
        <f>+D77/D15</f>
        <v>0.24138780537877233</v>
      </c>
      <c r="E78" s="102">
        <f>+E77/E15</f>
        <v>0.2522317870237526</v>
      </c>
      <c r="F78" s="102">
        <f>+F77/F15</f>
        <v>0.2717995047848491</v>
      </c>
      <c r="G78" s="276"/>
      <c r="H78" s="102">
        <f>+H77/H15</f>
        <v>0.2717995047848491</v>
      </c>
      <c r="I78" s="102">
        <f t="shared" ref="I78:L78" si="25">+I77/I15</f>
        <v>0.2717995047848491</v>
      </c>
      <c r="J78" s="102">
        <f t="shared" si="25"/>
        <v>0.2717995047848491</v>
      </c>
      <c r="K78" s="102">
        <f t="shared" si="25"/>
        <v>0.2717995047848491</v>
      </c>
      <c r="L78" s="102">
        <f t="shared" si="25"/>
        <v>0.2717995047848491</v>
      </c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</row>
    <row r="79" spans="1:43" ht="15.75">
      <c r="A79" s="83"/>
      <c r="B79" s="97" t="s">
        <v>30</v>
      </c>
      <c r="C79" s="89">
        <f>C80+C81</f>
        <v>0</v>
      </c>
      <c r="D79" s="89">
        <f>D80+D81</f>
        <v>0</v>
      </c>
      <c r="E79" s="89">
        <f>E80+E81</f>
        <v>0</v>
      </c>
      <c r="F79" s="89">
        <f>F80+F81</f>
        <v>0</v>
      </c>
      <c r="G79" s="89"/>
      <c r="H79" s="89">
        <f>H80+H81</f>
        <v>0</v>
      </c>
      <c r="I79" s="89">
        <f t="shared" ref="I79:L79" si="26">I80+I81</f>
        <v>0</v>
      </c>
      <c r="J79" s="89">
        <f t="shared" si="26"/>
        <v>0</v>
      </c>
      <c r="K79" s="89">
        <f t="shared" si="26"/>
        <v>0</v>
      </c>
      <c r="L79" s="89">
        <f t="shared" si="26"/>
        <v>0</v>
      </c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 outlineLevel="1">
      <c r="A80" s="83"/>
      <c r="B80" s="105" t="s">
        <v>186</v>
      </c>
      <c r="C80" s="91">
        <v>0</v>
      </c>
      <c r="D80" s="91">
        <v>0</v>
      </c>
      <c r="E80" s="91">
        <v>0</v>
      </c>
      <c r="F80" s="91">
        <v>0</v>
      </c>
      <c r="G80" s="91"/>
      <c r="H80" s="91">
        <v>0</v>
      </c>
      <c r="I80" s="91">
        <v>0</v>
      </c>
      <c r="J80" s="91">
        <v>0</v>
      </c>
      <c r="K80" s="91">
        <v>0</v>
      </c>
      <c r="L80" s="91">
        <v>0</v>
      </c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s="92" customFormat="1" ht="12.75" outlineLevel="1">
      <c r="A81" s="90"/>
      <c r="B81" s="105" t="s">
        <v>187</v>
      </c>
      <c r="C81" s="91">
        <f>SUM(C82:C82)</f>
        <v>0</v>
      </c>
      <c r="D81" s="91">
        <f>SUM(D82:D82)</f>
        <v>0</v>
      </c>
      <c r="E81" s="91">
        <f>SUM(E82:E82)</f>
        <v>0</v>
      </c>
      <c r="F81" s="91">
        <f>SUM(F82:F82)</f>
        <v>0</v>
      </c>
      <c r="G81" s="91"/>
      <c r="H81" s="91">
        <f>SUM(H82:H82)</f>
        <v>0</v>
      </c>
      <c r="I81" s="91">
        <f t="shared" ref="I81:L81" si="27">SUM(I82:I82)</f>
        <v>0</v>
      </c>
      <c r="J81" s="91">
        <f t="shared" si="27"/>
        <v>0</v>
      </c>
      <c r="K81" s="91">
        <f t="shared" si="27"/>
        <v>0</v>
      </c>
      <c r="L81" s="91">
        <f t="shared" si="27"/>
        <v>0</v>
      </c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</row>
    <row r="82" spans="1:43" ht="15.75" outlineLevel="1">
      <c r="A82" s="83"/>
      <c r="B82" s="106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>
      <c r="A83" s="83"/>
      <c r="B83" s="83" t="s">
        <v>259</v>
      </c>
      <c r="C83" s="89">
        <f>SUM(C84:C85)</f>
        <v>0</v>
      </c>
      <c r="D83" s="89">
        <f>SUM(D84:D85)</f>
        <v>0</v>
      </c>
      <c r="E83" s="89">
        <f>SUM(E84:E85)</f>
        <v>0</v>
      </c>
      <c r="F83" s="89">
        <f>SUM(F84:F85)</f>
        <v>0</v>
      </c>
      <c r="G83" s="89"/>
      <c r="H83" s="89">
        <f>SUM(H84:H85)</f>
        <v>0</v>
      </c>
      <c r="I83" s="89">
        <f t="shared" ref="I83:L83" si="28">SUM(I84:I85)</f>
        <v>0</v>
      </c>
      <c r="J83" s="89">
        <f t="shared" si="28"/>
        <v>0</v>
      </c>
      <c r="K83" s="89">
        <f t="shared" si="28"/>
        <v>0</v>
      </c>
      <c r="L83" s="89">
        <f t="shared" si="28"/>
        <v>0</v>
      </c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 outlineLevel="1">
      <c r="A84" s="83"/>
      <c r="B84" s="183" t="s">
        <v>694</v>
      </c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ht="15.75" outlineLevel="1">
      <c r="A85" s="83"/>
      <c r="B85" s="183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 outlineLevel="1">
      <c r="A86" s="83"/>
      <c r="B86" s="212" t="s">
        <v>265</v>
      </c>
      <c r="C86" s="89"/>
      <c r="D86" s="89"/>
      <c r="E86" s="89">
        <v>-1</v>
      </c>
      <c r="F86" s="89">
        <v>2</v>
      </c>
      <c r="G86" s="89"/>
      <c r="H86" s="89">
        <v>2</v>
      </c>
      <c r="I86" s="89">
        <v>2</v>
      </c>
      <c r="J86" s="89">
        <v>2</v>
      </c>
      <c r="K86" s="89">
        <v>2</v>
      </c>
      <c r="L86" s="89">
        <v>2</v>
      </c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 outlineLevel="1">
      <c r="A87" s="83"/>
      <c r="B87" s="83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>
      <c r="A88" s="83"/>
      <c r="B88" s="100" t="s">
        <v>32</v>
      </c>
      <c r="C88" s="182">
        <f>C68+C70+C79+C83+C86</f>
        <v>0</v>
      </c>
      <c r="D88" s="182">
        <f>D68+D70+D79+D83+D86</f>
        <v>5879</v>
      </c>
      <c r="E88" s="182">
        <f>E68+E70+E79+E83+E86</f>
        <v>6328</v>
      </c>
      <c r="F88" s="182">
        <f>F68+F70+F79+F83+F86</f>
        <v>8125</v>
      </c>
      <c r="G88" s="277"/>
      <c r="H88" s="182">
        <f>H68+H70+H79+H83+H86</f>
        <v>8125</v>
      </c>
      <c r="I88" s="182">
        <f t="shared" ref="I88:L88" si="29">I68+I70+I79+I83+I86</f>
        <v>8125</v>
      </c>
      <c r="J88" s="182">
        <f t="shared" si="29"/>
        <v>8125</v>
      </c>
      <c r="K88" s="182">
        <f t="shared" si="29"/>
        <v>8125</v>
      </c>
      <c r="L88" s="182">
        <f t="shared" si="29"/>
        <v>8125</v>
      </c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6.5" thickBot="1">
      <c r="A89" s="83"/>
      <c r="B89" s="101" t="s">
        <v>106</v>
      </c>
      <c r="C89" s="102" t="e">
        <f>C88/C15</f>
        <v>#DIV/0!</v>
      </c>
      <c r="D89" s="102">
        <f>D88/D15</f>
        <v>0.24138780537877233</v>
      </c>
      <c r="E89" s="102">
        <f>E88/E15</f>
        <v>0.25219193368404275</v>
      </c>
      <c r="F89" s="102">
        <f>F88/F15</f>
        <v>0.27186642575118786</v>
      </c>
      <c r="G89" s="276"/>
      <c r="H89" s="102">
        <f>H88/H15</f>
        <v>0.27186642575118786</v>
      </c>
      <c r="I89" s="102">
        <f t="shared" ref="I89:L89" si="30">I88/I15</f>
        <v>0.27186642575118786</v>
      </c>
      <c r="J89" s="102">
        <f t="shared" si="30"/>
        <v>0.27186642575118786</v>
      </c>
      <c r="K89" s="102">
        <f t="shared" si="30"/>
        <v>0.27186642575118786</v>
      </c>
      <c r="L89" s="102">
        <f t="shared" si="30"/>
        <v>0.27186642575118786</v>
      </c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>
      <c r="A91" s="83"/>
      <c r="B91" s="112" t="s">
        <v>189</v>
      </c>
      <c r="C91" s="113"/>
      <c r="D91" s="113"/>
      <c r="E91" s="113"/>
      <c r="F91" s="113"/>
      <c r="G91" s="278"/>
      <c r="H91" s="113"/>
      <c r="I91" s="113"/>
      <c r="J91" s="113"/>
      <c r="K91" s="113"/>
      <c r="L91" s="11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ht="15.75">
      <c r="A92" s="83"/>
      <c r="B92" s="114" t="s">
        <v>34</v>
      </c>
      <c r="C92" s="115" t="str">
        <f>IFERROR(C12/#REF!-1,"na ")</f>
        <v xml:space="preserve">na </v>
      </c>
      <c r="D92" s="115" t="str">
        <f t="shared" ref="D92:L92" si="31">IFERROR(D12/C12-1,"na ")</f>
        <v xml:space="preserve">na </v>
      </c>
      <c r="E92" s="115">
        <f t="shared" si="31"/>
        <v>3.026072675015401E-2</v>
      </c>
      <c r="F92" s="115">
        <f t="shared" si="31"/>
        <v>0.19105691056910579</v>
      </c>
      <c r="G92" s="279"/>
      <c r="H92" s="115" t="str">
        <f t="shared" si="31"/>
        <v xml:space="preserve">na </v>
      </c>
      <c r="I92" s="115">
        <f t="shared" si="31"/>
        <v>0</v>
      </c>
      <c r="J92" s="115">
        <f t="shared" si="31"/>
        <v>0</v>
      </c>
      <c r="K92" s="115">
        <f t="shared" si="31"/>
        <v>0</v>
      </c>
      <c r="L92" s="115">
        <f t="shared" si="31"/>
        <v>0</v>
      </c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</row>
    <row r="93" spans="1:43" ht="15.75">
      <c r="A93" s="83"/>
      <c r="B93" s="114" t="s">
        <v>16</v>
      </c>
      <c r="C93" s="115" t="e">
        <f t="shared" ref="C93:F93" si="32">C21/C12</f>
        <v>#DIV/0!</v>
      </c>
      <c r="D93" s="115">
        <f t="shared" si="32"/>
        <v>1</v>
      </c>
      <c r="E93" s="115">
        <f t="shared" si="32"/>
        <v>1</v>
      </c>
      <c r="F93" s="115">
        <f t="shared" si="32"/>
        <v>1</v>
      </c>
      <c r="G93" s="279"/>
      <c r="H93" s="115">
        <f t="shared" ref="H93:L93" si="33">H21/H12</f>
        <v>1</v>
      </c>
      <c r="I93" s="115">
        <f t="shared" si="33"/>
        <v>1</v>
      </c>
      <c r="J93" s="115">
        <f t="shared" si="33"/>
        <v>1</v>
      </c>
      <c r="K93" s="115">
        <f t="shared" si="33"/>
        <v>1</v>
      </c>
      <c r="L93" s="115">
        <f t="shared" si="33"/>
        <v>1</v>
      </c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</row>
    <row r="94" spans="1:43" ht="15.75">
      <c r="A94" s="83"/>
      <c r="B94" s="114" t="s">
        <v>24</v>
      </c>
      <c r="C94" s="115" t="e">
        <f t="shared" ref="C94:F94" si="34">C54/C12</f>
        <v>#DIV/0!</v>
      </c>
      <c r="D94" s="115">
        <f t="shared" si="34"/>
        <v>0.63210839663313489</v>
      </c>
      <c r="E94" s="115">
        <f t="shared" si="34"/>
        <v>0.63745416865933369</v>
      </c>
      <c r="F94" s="115">
        <f t="shared" si="34"/>
        <v>0.69403734189921706</v>
      </c>
      <c r="G94" s="279"/>
      <c r="H94" s="115">
        <f t="shared" ref="H94:L94" si="35">H54/H12</f>
        <v>0.69403734189921706</v>
      </c>
      <c r="I94" s="115">
        <f t="shared" si="35"/>
        <v>0.69403734189921706</v>
      </c>
      <c r="J94" s="115">
        <f t="shared" si="35"/>
        <v>0.69403734189921706</v>
      </c>
      <c r="K94" s="115">
        <f t="shared" si="35"/>
        <v>0.69403734189921706</v>
      </c>
      <c r="L94" s="115">
        <f t="shared" si="35"/>
        <v>0.69403734189921706</v>
      </c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</row>
    <row r="95" spans="1:43" ht="15.75">
      <c r="A95" s="83"/>
      <c r="B95" s="114" t="s">
        <v>26</v>
      </c>
      <c r="C95" s="115" t="e">
        <f t="shared" ref="C95:F95" si="36">C68/C12</f>
        <v>#DIV/0!</v>
      </c>
      <c r="D95" s="115">
        <f t="shared" si="36"/>
        <v>0.28228289878874974</v>
      </c>
      <c r="E95" s="115">
        <f t="shared" si="36"/>
        <v>0.29794356767097085</v>
      </c>
      <c r="F95" s="115">
        <f t="shared" si="36"/>
        <v>0.40898748577929467</v>
      </c>
      <c r="G95" s="279"/>
      <c r="H95" s="115">
        <f t="shared" ref="H95:L95" si="37">H68/H12</f>
        <v>0.40898748577929467</v>
      </c>
      <c r="I95" s="115">
        <f t="shared" si="37"/>
        <v>0.40898748577929467</v>
      </c>
      <c r="J95" s="115">
        <f t="shared" si="37"/>
        <v>0.40898748577929467</v>
      </c>
      <c r="K95" s="115">
        <f t="shared" si="37"/>
        <v>0.40898748577929467</v>
      </c>
      <c r="L95" s="115">
        <f t="shared" si="37"/>
        <v>0.40898748577929467</v>
      </c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</row>
    <row r="96" spans="1:43" ht="15.75">
      <c r="A96" s="83"/>
      <c r="B96" s="116" t="s">
        <v>35</v>
      </c>
      <c r="C96" s="117" t="e">
        <f t="shared" ref="C96:F96" si="38">C88/C12</f>
        <v>#DIV/0!</v>
      </c>
      <c r="D96" s="117">
        <f t="shared" si="38"/>
        <v>0.24138780537877233</v>
      </c>
      <c r="E96" s="117">
        <f t="shared" si="38"/>
        <v>0.25219193368404275</v>
      </c>
      <c r="F96" s="117">
        <f t="shared" si="38"/>
        <v>0.27186642575118786</v>
      </c>
      <c r="G96" s="279"/>
      <c r="H96" s="117">
        <f t="shared" ref="H96:L96" si="39">H88/H12</f>
        <v>0.27186642575118786</v>
      </c>
      <c r="I96" s="117">
        <f t="shared" si="39"/>
        <v>0.27186642575118786</v>
      </c>
      <c r="J96" s="117">
        <f t="shared" si="39"/>
        <v>0.27186642575118786</v>
      </c>
      <c r="K96" s="117">
        <f t="shared" si="39"/>
        <v>0.27186642575118786</v>
      </c>
      <c r="L96" s="117">
        <f t="shared" si="39"/>
        <v>0.27186642575118786</v>
      </c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</row>
    <row r="97" spans="1:43" ht="15.7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</row>
    <row r="98" spans="1:43" ht="15.7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</row>
    <row r="99" spans="1:43" ht="15.7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</row>
    <row r="100" spans="1:43" ht="15.75">
      <c r="A100" s="107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9"/>
      <c r="P100" s="109"/>
      <c r="Q100" s="109"/>
      <c r="R100" s="109"/>
      <c r="S100" s="109"/>
      <c r="T100" s="109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</row>
    <row r="101" spans="1:43" ht="15.75">
      <c r="A101" s="107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9"/>
      <c r="P101" s="109"/>
      <c r="Q101" s="109"/>
      <c r="R101" s="109"/>
      <c r="S101" s="109"/>
      <c r="T101" s="109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</row>
    <row r="102" spans="1:43" ht="15.75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9"/>
      <c r="P102" s="109"/>
      <c r="Q102" s="109"/>
      <c r="R102" s="109"/>
      <c r="S102" s="109"/>
      <c r="T102" s="109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</row>
    <row r="103" spans="1:43" ht="15.75">
      <c r="A103" s="107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9"/>
      <c r="P103" s="109"/>
      <c r="Q103" s="109"/>
      <c r="R103" s="109"/>
      <c r="S103" s="109"/>
      <c r="T103" s="109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</row>
    <row r="104" spans="1:43" ht="15.75">
      <c r="A104" s="107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9"/>
      <c r="P104" s="109"/>
      <c r="Q104" s="109"/>
      <c r="R104" s="109"/>
      <c r="S104" s="109"/>
      <c r="T104" s="109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</row>
    <row r="105" spans="1:43" ht="15.75">
      <c r="A105" s="107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9"/>
      <c r="P105" s="109"/>
      <c r="Q105" s="109"/>
      <c r="R105" s="109"/>
      <c r="S105" s="109"/>
      <c r="T105" s="109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</row>
    <row r="106" spans="1:43" ht="15.75">
      <c r="A106" s="107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9"/>
      <c r="P106" s="109"/>
      <c r="Q106" s="109"/>
      <c r="R106" s="109"/>
      <c r="S106" s="109"/>
      <c r="T106" s="109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</row>
    <row r="107" spans="1:43" ht="15.7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</row>
    <row r="108" spans="1:43" ht="15.75">
      <c r="A108" s="107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9"/>
      <c r="P108" s="109"/>
      <c r="Q108" s="109"/>
      <c r="R108" s="109"/>
      <c r="S108" s="109"/>
      <c r="T108" s="109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</row>
    <row r="109" spans="1:43" ht="15.75">
      <c r="A109" s="107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9"/>
      <c r="P109" s="109"/>
      <c r="Q109" s="109"/>
      <c r="R109" s="109"/>
      <c r="S109" s="109"/>
      <c r="T109" s="109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</row>
    <row r="110" spans="1:43" ht="15.75">
      <c r="A110" s="107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9"/>
      <c r="P110" s="109"/>
      <c r="Q110" s="109"/>
      <c r="R110" s="109"/>
      <c r="S110" s="109"/>
      <c r="T110" s="109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</row>
    <row r="111" spans="1:43" ht="15.75">
      <c r="A111" s="107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9"/>
      <c r="P111" s="109"/>
      <c r="Q111" s="109"/>
      <c r="R111" s="109"/>
      <c r="S111" s="109"/>
      <c r="T111" s="109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</row>
    <row r="112" spans="1:43" ht="15.75">
      <c r="A112" s="107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9"/>
      <c r="P112" s="109"/>
      <c r="Q112" s="109"/>
      <c r="R112" s="109"/>
      <c r="S112" s="109"/>
      <c r="T112" s="109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</row>
    <row r="113" spans="1:43" ht="15.7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</row>
    <row r="114" spans="1:43" ht="15.7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9"/>
      <c r="P114" s="109"/>
      <c r="Q114" s="109"/>
      <c r="R114" s="109"/>
      <c r="S114" s="109"/>
      <c r="T114" s="109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</row>
    <row r="115" spans="1:43" ht="15.75">
      <c r="A115" s="107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9"/>
      <c r="P115" s="109"/>
      <c r="Q115" s="109"/>
      <c r="R115" s="109"/>
      <c r="S115" s="109"/>
      <c r="T115" s="109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</row>
    <row r="116" spans="1:43" ht="15.7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</row>
    <row r="117" spans="1:43" ht="15.75">
      <c r="A117" s="107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9"/>
      <c r="P117" s="109"/>
      <c r="Q117" s="109"/>
      <c r="R117" s="109"/>
      <c r="S117" s="109"/>
      <c r="T117" s="109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</row>
    <row r="118" spans="1:43" ht="15.75">
      <c r="A118" s="107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9"/>
      <c r="P118" s="109"/>
      <c r="Q118" s="109"/>
      <c r="R118" s="109"/>
      <c r="S118" s="109"/>
      <c r="T118" s="109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</row>
    <row r="119" spans="1:43" ht="15.75">
      <c r="A119" s="107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9"/>
      <c r="P119" s="109"/>
      <c r="Q119" s="109"/>
      <c r="R119" s="109"/>
      <c r="S119" s="109"/>
      <c r="T119" s="109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</row>
    <row r="120" spans="1:43" ht="15.75">
      <c r="A120" s="107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9"/>
      <c r="P120" s="109"/>
      <c r="Q120" s="109"/>
      <c r="R120" s="109"/>
      <c r="S120" s="109"/>
      <c r="T120" s="109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</row>
    <row r="121" spans="1:43" ht="15.7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</row>
    <row r="122" spans="1:43" ht="15.75">
      <c r="A122" s="107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9"/>
      <c r="P122" s="109"/>
      <c r="Q122" s="109"/>
      <c r="R122" s="109"/>
      <c r="S122" s="109"/>
      <c r="T122" s="109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</row>
    <row r="123" spans="1:43" ht="15.75">
      <c r="A123" s="107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9"/>
      <c r="P123" s="109"/>
      <c r="Q123" s="109"/>
      <c r="R123" s="109"/>
      <c r="S123" s="109"/>
      <c r="T123" s="109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</row>
    <row r="124" spans="1:43" ht="15.75">
      <c r="A124" s="107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9"/>
      <c r="P124" s="109"/>
      <c r="Q124" s="109"/>
      <c r="R124" s="109"/>
      <c r="S124" s="109"/>
      <c r="T124" s="109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</row>
    <row r="125" spans="1:43" ht="15.75">
      <c r="A125" s="107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9"/>
      <c r="P125" s="109"/>
      <c r="Q125" s="109"/>
      <c r="R125" s="109"/>
      <c r="S125" s="109"/>
      <c r="T125" s="109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</row>
    <row r="126" spans="1:43" ht="15.7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</row>
    <row r="127" spans="1:43" ht="15.7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9"/>
      <c r="P127" s="109"/>
      <c r="Q127" s="109"/>
      <c r="R127" s="109"/>
      <c r="S127" s="109"/>
      <c r="T127" s="109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</row>
    <row r="128" spans="1:43" ht="15.75">
      <c r="A128" s="107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9"/>
      <c r="P128" s="109"/>
      <c r="Q128" s="109"/>
      <c r="R128" s="109"/>
      <c r="S128" s="109"/>
      <c r="T128" s="109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</row>
    <row r="129" spans="1:43" ht="15.7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</row>
    <row r="130" spans="1:43" ht="15.75">
      <c r="A130" s="107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9"/>
      <c r="P130" s="109"/>
      <c r="Q130" s="109"/>
      <c r="R130" s="109"/>
      <c r="S130" s="109"/>
      <c r="T130" s="109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</row>
    <row r="131" spans="1:43" ht="15.75">
      <c r="A131" s="107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9"/>
      <c r="P131" s="109"/>
      <c r="Q131" s="109"/>
      <c r="R131" s="109"/>
      <c r="S131" s="109"/>
      <c r="T131" s="109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</row>
    <row r="132" spans="1:43" ht="15.75">
      <c r="A132" s="107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9"/>
      <c r="P132" s="109"/>
      <c r="Q132" s="109"/>
      <c r="R132" s="109"/>
      <c r="S132" s="109"/>
      <c r="T132" s="109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</row>
    <row r="133" spans="1:43" ht="15.75">
      <c r="A133" s="107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9"/>
      <c r="P133" s="109"/>
      <c r="Q133" s="109"/>
      <c r="R133" s="109"/>
      <c r="S133" s="109"/>
      <c r="T133" s="109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</row>
    <row r="134" spans="1:43" ht="15.75">
      <c r="A134" s="107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9"/>
      <c r="P134" s="109"/>
      <c r="Q134" s="109"/>
      <c r="R134" s="109"/>
      <c r="S134" s="109"/>
      <c r="T134" s="109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</row>
    <row r="135" spans="1:43" ht="15.75">
      <c r="A135" s="107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9"/>
      <c r="P135" s="109"/>
      <c r="Q135" s="109"/>
      <c r="R135" s="109"/>
      <c r="S135" s="109"/>
      <c r="T135" s="109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</row>
    <row r="136" spans="1:43" ht="15.75">
      <c r="A136" s="107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9"/>
      <c r="P136" s="109"/>
      <c r="Q136" s="109"/>
      <c r="R136" s="109"/>
      <c r="S136" s="109"/>
      <c r="T136" s="109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</row>
    <row r="137" spans="1:43" ht="15.75">
      <c r="A137" s="107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9"/>
      <c r="P137" s="109"/>
      <c r="Q137" s="109"/>
      <c r="R137" s="109"/>
      <c r="S137" s="109"/>
      <c r="T137" s="109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</row>
    <row r="138" spans="1:43" ht="15.7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</row>
    <row r="139" spans="1:43" ht="15.75">
      <c r="A139" s="107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9"/>
      <c r="P139" s="109"/>
      <c r="Q139" s="109"/>
      <c r="R139" s="109"/>
      <c r="S139" s="109"/>
      <c r="T139" s="109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</row>
    <row r="140" spans="1:43" ht="15.75">
      <c r="A140" s="107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9"/>
      <c r="P140" s="109"/>
      <c r="Q140" s="109"/>
      <c r="R140" s="109"/>
      <c r="S140" s="109"/>
      <c r="T140" s="109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</row>
    <row r="141" spans="1:43" ht="15.75">
      <c r="A141" s="107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9"/>
      <c r="P141" s="109"/>
      <c r="Q141" s="109"/>
      <c r="R141" s="109"/>
      <c r="S141" s="109"/>
      <c r="T141" s="109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</row>
    <row r="142" spans="1:43" ht="15.75">
      <c r="A142" s="107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9"/>
      <c r="P142" s="109"/>
      <c r="Q142" s="109"/>
      <c r="R142" s="109"/>
      <c r="S142" s="109"/>
      <c r="T142" s="109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</row>
    <row r="143" spans="1:43" ht="15.75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</row>
    <row r="144" spans="1:43" ht="15.75">
      <c r="A144" s="107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9"/>
      <c r="P144" s="109"/>
      <c r="Q144" s="109"/>
      <c r="R144" s="109"/>
      <c r="S144" s="109"/>
      <c r="T144" s="109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</row>
    <row r="145" spans="1:43" ht="15.75">
      <c r="A145" s="107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9"/>
      <c r="P145" s="109"/>
      <c r="Q145" s="109"/>
      <c r="R145" s="109"/>
      <c r="S145" s="109"/>
      <c r="T145" s="109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</row>
    <row r="146" spans="1:43" ht="15.75">
      <c r="A146" s="107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</row>
    <row r="147" spans="1:43" ht="15.75">
      <c r="A147" s="107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</row>
    <row r="148" spans="1:43" ht="15.75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C78D6-75E4-8D44-AF9A-888D4EA185F8}">
  <sheetPr codeName="Feuil50">
    <tabColor theme="9" tint="0.79998168889431442"/>
  </sheetPr>
  <dimension ref="B2:Q71"/>
  <sheetViews>
    <sheetView showGridLines="0" zoomScale="85" zoomScaleNormal="85" workbookViewId="0">
      <pane xSplit="2" ySplit="5" topLeftCell="C35" activePane="bottomRight" state="frozen"/>
      <selection pane="topRight" activeCell="C1" sqref="C1"/>
      <selection pane="bottomLeft" activeCell="A4" sqref="A4"/>
      <selection pane="bottomRight" activeCell="E45" sqref="E45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44196</v>
      </c>
      <c r="D3" s="244">
        <v>44561</v>
      </c>
      <c r="E3" s="244">
        <v>44926</v>
      </c>
      <c r="F3" s="244">
        <v>45291</v>
      </c>
      <c r="G3" s="244"/>
      <c r="H3" s="121" t="str">
        <f>'SCI - P&amp;L'!H4</f>
        <v>31/12/2024</v>
      </c>
      <c r="I3" s="121" t="str">
        <f>'SCI - P&amp;L'!I4</f>
        <v>31/12/2025</v>
      </c>
      <c r="J3" s="121" t="str">
        <f>'SCI - P&amp;L'!J4</f>
        <v>31/12/2026</v>
      </c>
      <c r="K3" s="121" t="str">
        <f>'SCI - P&amp;L'!K4</f>
        <v>31/12/2027</v>
      </c>
      <c r="L3" s="121" t="str">
        <f>'SCI - P&amp;L'!L4</f>
        <v>31/12/2028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/>
      <c r="E8" s="191">
        <f>'SCI - P&amp;L'!E68</f>
        <v>7476</v>
      </c>
      <c r="F8" s="191">
        <f>'SCI - P&amp;L'!F68</f>
        <v>12223</v>
      </c>
      <c r="G8" s="152"/>
      <c r="H8" s="191">
        <f>'SCI - P&amp;L'!H68</f>
        <v>12223</v>
      </c>
      <c r="I8" s="191">
        <f>'SCI - P&amp;L'!I68</f>
        <v>12223</v>
      </c>
      <c r="J8" s="191">
        <f>'SCI - P&amp;L'!J68</f>
        <v>12223</v>
      </c>
      <c r="K8" s="191">
        <f>'SCI - P&amp;L'!K68</f>
        <v>12223</v>
      </c>
      <c r="L8" s="191">
        <f>'SCI - P&amp;L'!L68</f>
        <v>12223</v>
      </c>
      <c r="M8" s="191"/>
    </row>
    <row r="9" spans="2:13">
      <c r="B9" s="148" t="s">
        <v>225</v>
      </c>
      <c r="C9" s="191"/>
      <c r="D9" s="191"/>
      <c r="E9" s="191">
        <f>'SCI - P&amp;L'!E81</f>
        <v>0</v>
      </c>
      <c r="F9" s="191">
        <f>'SCI - P&amp;L'!F81</f>
        <v>0</v>
      </c>
      <c r="G9" s="152"/>
      <c r="H9" s="191">
        <f>'SCI - P&amp;L'!H81</f>
        <v>0</v>
      </c>
      <c r="I9" s="191">
        <f>'SCI - P&amp;L'!I81</f>
        <v>0</v>
      </c>
      <c r="J9" s="191">
        <f>'SCI - P&amp;L'!J81</f>
        <v>0</v>
      </c>
      <c r="K9" s="191">
        <f>'SCI - P&amp;L'!K81</f>
        <v>0</v>
      </c>
      <c r="L9" s="191">
        <f>'SCI - P&amp;L'!L81</f>
        <v>0</v>
      </c>
      <c r="M9" s="191"/>
    </row>
    <row r="10" spans="2:13">
      <c r="B10" s="148" t="s">
        <v>226</v>
      </c>
      <c r="C10" s="191"/>
      <c r="D10" s="191"/>
      <c r="E10" s="191">
        <f>'SCI - P&amp;L'!E80</f>
        <v>0</v>
      </c>
      <c r="F10" s="191">
        <f>'SCI - P&amp;L'!F80</f>
        <v>0</v>
      </c>
      <c r="G10" s="152"/>
      <c r="H10" s="191">
        <f>'SCI - P&amp;L'!H80</f>
        <v>0</v>
      </c>
      <c r="I10" s="191">
        <f>'SCI - P&amp;L'!I80</f>
        <v>0</v>
      </c>
      <c r="J10" s="191">
        <f>'SCI - P&amp;L'!J80</f>
        <v>0</v>
      </c>
      <c r="K10" s="191">
        <f>'SCI - P&amp;L'!K80</f>
        <v>0</v>
      </c>
      <c r="L10" s="191">
        <f>'SCI - P&amp;L'!L80</f>
        <v>0</v>
      </c>
      <c r="M10" s="191"/>
    </row>
    <row r="11" spans="2:13">
      <c r="B11" s="148" t="s">
        <v>227</v>
      </c>
      <c r="C11" s="152"/>
      <c r="D11" s="152"/>
      <c r="E11" s="152">
        <f>'SCI - P&amp;L'!E83</f>
        <v>0</v>
      </c>
      <c r="F11" s="152">
        <f>'SCI - P&amp;L'!F83</f>
        <v>0</v>
      </c>
      <c r="G11" s="152"/>
      <c r="H11" s="152">
        <f>'SCI - P&amp;L'!H83</f>
        <v>0</v>
      </c>
      <c r="I11" s="152">
        <f>'SCI - P&amp;L'!I83</f>
        <v>0</v>
      </c>
      <c r="J11" s="152">
        <f>'SCI - P&amp;L'!J83</f>
        <v>0</v>
      </c>
      <c r="K11" s="152">
        <f>'SCI - P&amp;L'!K83</f>
        <v>0</v>
      </c>
      <c r="L11" s="152">
        <f>'SCI - P&amp;L'!L83</f>
        <v>0</v>
      </c>
      <c r="M11" s="191"/>
    </row>
    <row r="12" spans="2:13">
      <c r="B12" s="153" t="s">
        <v>228</v>
      </c>
      <c r="C12" s="154"/>
      <c r="D12" s="154"/>
      <c r="E12" s="154">
        <f>SUM(E8:E11)</f>
        <v>7476</v>
      </c>
      <c r="F12" s="154">
        <f>SUM(F8:F11)</f>
        <v>12223</v>
      </c>
      <c r="G12" s="154"/>
      <c r="H12" s="154">
        <f>SUM(H8:H11)</f>
        <v>12223</v>
      </c>
      <c r="I12" s="154">
        <f t="shared" ref="I12:L12" si="0">SUM(I8:I11)</f>
        <v>12223</v>
      </c>
      <c r="J12" s="154">
        <f t="shared" si="0"/>
        <v>12223</v>
      </c>
      <c r="K12" s="154">
        <f t="shared" si="0"/>
        <v>12223</v>
      </c>
      <c r="L12" s="154">
        <f t="shared" si="0"/>
        <v>12223</v>
      </c>
      <c r="M12" s="199"/>
    </row>
    <row r="13" spans="2:13">
      <c r="B13" s="148" t="s">
        <v>229</v>
      </c>
      <c r="C13" s="191"/>
      <c r="D13" s="191"/>
      <c r="E13" s="191">
        <f>-'SCI - P&amp;L'!E63</f>
        <v>8519</v>
      </c>
      <c r="F13" s="191">
        <f>-'SCI - P&amp;L'!F63</f>
        <v>8519</v>
      </c>
      <c r="G13" s="152"/>
      <c r="H13" s="191">
        <f>-'SCI - P&amp;L'!H63</f>
        <v>8519</v>
      </c>
      <c r="I13" s="191">
        <f>-'SCI - P&amp;L'!I63</f>
        <v>8519</v>
      </c>
      <c r="J13" s="191">
        <f>-'SCI - P&amp;L'!J63</f>
        <v>8519</v>
      </c>
      <c r="K13" s="191">
        <f>-'SCI - P&amp;L'!K63</f>
        <v>8519</v>
      </c>
      <c r="L13" s="191">
        <f>-'SCI - P&amp;L'!L63</f>
        <v>8519</v>
      </c>
      <c r="M13" s="191"/>
    </row>
    <row r="14" spans="2:13">
      <c r="B14" s="148" t="s">
        <v>230</v>
      </c>
      <c r="C14" s="191"/>
      <c r="D14" s="191"/>
      <c r="E14" s="191"/>
      <c r="F14" s="191"/>
      <c r="G14" s="152"/>
      <c r="H14" s="191"/>
      <c r="I14" s="191"/>
      <c r="J14" s="191"/>
      <c r="K14" s="191"/>
      <c r="L14" s="191"/>
      <c r="M14" s="191"/>
    </row>
    <row r="15" spans="2:13">
      <c r="B15" s="153" t="s">
        <v>231</v>
      </c>
      <c r="C15" s="154"/>
      <c r="D15" s="154"/>
      <c r="E15" s="154">
        <f>SUM(E16:E26)</f>
        <v>-2460</v>
      </c>
      <c r="F15" s="154">
        <f>SUM(F16:F26)</f>
        <v>-2645</v>
      </c>
      <c r="G15" s="154"/>
      <c r="H15" s="154">
        <f>SUM(H16:H26)</f>
        <v>0</v>
      </c>
      <c r="I15" s="154">
        <f t="shared" ref="I15:L15" si="1">SUM(I16:I26)</f>
        <v>0</v>
      </c>
      <c r="J15" s="154">
        <f t="shared" si="1"/>
        <v>0</v>
      </c>
      <c r="K15" s="154">
        <f t="shared" si="1"/>
        <v>0</v>
      </c>
      <c r="L15" s="154">
        <f t="shared" si="1"/>
        <v>0</v>
      </c>
      <c r="M15" s="199"/>
    </row>
    <row r="16" spans="2:13" s="145" customFormat="1" ht="15" outlineLevel="1">
      <c r="B16" s="155" t="s">
        <v>232</v>
      </c>
      <c r="C16" s="156"/>
      <c r="D16" s="156"/>
      <c r="E16" s="156">
        <f>-('SCI - Bilan'!E14-'SCI - Bilan'!D14)</f>
        <v>0</v>
      </c>
      <c r="F16" s="156">
        <f>-('SCI - Bilan'!F14-'SCI - Bilan'!E14)</f>
        <v>0</v>
      </c>
      <c r="G16" s="156"/>
      <c r="H16" s="156">
        <f>-('SCI - Bilan'!H14-'SCI - Bilan'!F14)</f>
        <v>0</v>
      </c>
      <c r="I16" s="156">
        <f>'SCI - Bilan'!I41-'SCI - Bilan'!H41</f>
        <v>0</v>
      </c>
      <c r="J16" s="156">
        <f>'SCI - Bilan'!J41-'SCI - Bilan'!I41</f>
        <v>0</v>
      </c>
      <c r="K16" s="156">
        <f>'SCI - Bilan'!K41-'SCI - Bilan'!J41</f>
        <v>0</v>
      </c>
      <c r="L16" s="156">
        <f>'SCI - Bilan'!L41-'SCI - Bilan'!K41</f>
        <v>0</v>
      </c>
      <c r="M16" s="200"/>
    </row>
    <row r="17" spans="2:13" s="145" customFormat="1" ht="15" outlineLevel="1">
      <c r="B17" s="155" t="s">
        <v>233</v>
      </c>
      <c r="C17" s="156"/>
      <c r="D17" s="156"/>
      <c r="E17" s="156">
        <f>-('SCI - Bilan'!E15-'SCI - Bilan'!D15)</f>
        <v>0</v>
      </c>
      <c r="F17" s="156">
        <f>-('SCI - Bilan'!F15-'SCI - Bilan'!E15)</f>
        <v>0</v>
      </c>
      <c r="G17" s="156"/>
      <c r="H17" s="156">
        <f>-('SCI - Bilan'!H15-'SCI - Bilan'!F15)</f>
        <v>0</v>
      </c>
      <c r="I17" s="156">
        <f>'SCI - Bilan'!I42-'SCI - Bilan'!H42</f>
        <v>0</v>
      </c>
      <c r="J17" s="156">
        <f>'SCI - Bilan'!J42-'SCI - Bilan'!I42</f>
        <v>0</v>
      </c>
      <c r="K17" s="156">
        <f>'SCI - Bilan'!K42-'SCI - Bilan'!J42</f>
        <v>0</v>
      </c>
      <c r="L17" s="156">
        <f>'SCI - Bilan'!L42-'SCI - Bilan'!K42</f>
        <v>0</v>
      </c>
      <c r="M17" s="200"/>
    </row>
    <row r="18" spans="2:13" s="145" customFormat="1" ht="15" outlineLevel="1">
      <c r="B18" s="155" t="s">
        <v>234</v>
      </c>
      <c r="C18" s="156"/>
      <c r="D18" s="156"/>
      <c r="E18" s="156">
        <f>-('SCI - Bilan'!E16-'SCI - Bilan'!D16)</f>
        <v>-2606</v>
      </c>
      <c r="F18" s="156">
        <f>-('SCI - Bilan'!F16-'SCI - Bilan'!E16)</f>
        <v>-3568</v>
      </c>
      <c r="G18" s="156"/>
      <c r="H18" s="156">
        <f>-('SCI - Bilan'!H16-'SCI - Bilan'!F16)</f>
        <v>0</v>
      </c>
      <c r="I18" s="156">
        <f>'SCI - Bilan'!I43-'SCI - Bilan'!H43</f>
        <v>0</v>
      </c>
      <c r="J18" s="156">
        <f>'SCI - Bilan'!J43-'SCI - Bilan'!I43</f>
        <v>0</v>
      </c>
      <c r="K18" s="156">
        <f>'SCI - Bilan'!K43-'SCI - Bilan'!J43</f>
        <v>0</v>
      </c>
      <c r="L18" s="156">
        <f>'SCI - Bilan'!L43-'SCI - Bilan'!K43</f>
        <v>0</v>
      </c>
      <c r="M18" s="200"/>
    </row>
    <row r="19" spans="2:13" s="145" customFormat="1" ht="15" outlineLevel="1">
      <c r="B19" s="155" t="s">
        <v>235</v>
      </c>
      <c r="C19" s="156"/>
      <c r="D19" s="156"/>
      <c r="E19" s="156">
        <f>-('SCI - Bilan'!E17-'SCI - Bilan'!D17)</f>
        <v>0</v>
      </c>
      <c r="F19" s="156">
        <f>-('SCI - Bilan'!F17-'SCI - Bilan'!E17)</f>
        <v>0</v>
      </c>
      <c r="G19" s="156"/>
      <c r="H19" s="156">
        <f>-('SCI - Bilan'!H17-'SCI - Bilan'!F17)</f>
        <v>0</v>
      </c>
      <c r="I19" s="156">
        <f>'SCI - Bilan'!I44-'SCI - Bilan'!H44</f>
        <v>0</v>
      </c>
      <c r="J19" s="156">
        <f>'SCI - Bilan'!J44-'SCI - Bilan'!I44</f>
        <v>0</v>
      </c>
      <c r="K19" s="156">
        <f>'SCI - Bilan'!K44-'SCI - Bilan'!J44</f>
        <v>0</v>
      </c>
      <c r="L19" s="156">
        <f>'SCI - Bilan'!L44-'SCI - Bilan'!K44</f>
        <v>0</v>
      </c>
      <c r="M19" s="200"/>
    </row>
    <row r="20" spans="2:13" s="145" customFormat="1" ht="15" outlineLevel="1">
      <c r="B20" s="155" t="s">
        <v>236</v>
      </c>
      <c r="C20" s="156"/>
      <c r="D20" s="156"/>
      <c r="E20" s="156">
        <f>-('SCI - Bilan'!E19-'SCI - Bilan'!D19)</f>
        <v>0</v>
      </c>
      <c r="F20" s="156">
        <f>-('SCI - Bilan'!F19-'SCI - Bilan'!E19)</f>
        <v>0</v>
      </c>
      <c r="G20" s="156"/>
      <c r="H20" s="156">
        <f>-('SCI - Bilan'!H19-'SCI - Bilan'!F19)</f>
        <v>0</v>
      </c>
      <c r="I20" s="156">
        <f>'SCI - Bilan'!I45-'SCI - Bilan'!H45</f>
        <v>0</v>
      </c>
      <c r="J20" s="156">
        <f>'SCI - Bilan'!J45-'SCI - Bilan'!I45</f>
        <v>0</v>
      </c>
      <c r="K20" s="156">
        <f>'SCI - Bilan'!K45-'SCI - Bilan'!J45</f>
        <v>0</v>
      </c>
      <c r="L20" s="156">
        <f>'SCI - Bilan'!L45-'SCI - Bilan'!K45</f>
        <v>0</v>
      </c>
      <c r="M20" s="200"/>
    </row>
    <row r="21" spans="2:13" s="145" customFormat="1" ht="15" outlineLevel="1">
      <c r="B21" s="155" t="s">
        <v>237</v>
      </c>
      <c r="C21" s="156"/>
      <c r="D21" s="156"/>
      <c r="E21" s="156">
        <f>'SCI - Bilan'!E46-'SCI - Bilan'!D46</f>
        <v>0</v>
      </c>
      <c r="F21" s="156">
        <f>'SCI - Bilan'!F46-'SCI - Bilan'!E46</f>
        <v>0</v>
      </c>
      <c r="G21" s="156"/>
      <c r="H21" s="156">
        <f>'SCI - Bilan'!H46-'SCI - Bilan'!F46</f>
        <v>0</v>
      </c>
      <c r="I21" s="156">
        <f>'SCI - Bilan'!I46-'SCI - Bilan'!H46</f>
        <v>0</v>
      </c>
      <c r="J21" s="156">
        <f>'SCI - Bilan'!J46-'SCI - Bilan'!I46</f>
        <v>0</v>
      </c>
      <c r="K21" s="156">
        <f>'SCI - Bilan'!K46-'SCI - Bilan'!J46</f>
        <v>0</v>
      </c>
      <c r="L21" s="156">
        <f>'SCI - Bilan'!L46-'SCI - Bilan'!K46</f>
        <v>0</v>
      </c>
      <c r="M21" s="200"/>
    </row>
    <row r="22" spans="2:13" s="145" customFormat="1" ht="15" outlineLevel="1">
      <c r="B22" s="155" t="s">
        <v>238</v>
      </c>
      <c r="C22" s="156"/>
      <c r="D22" s="156"/>
      <c r="E22" s="156">
        <f>'SCI - Bilan'!E47-'SCI - Bilan'!D47</f>
        <v>0</v>
      </c>
      <c r="F22" s="156">
        <f>'SCI - Bilan'!F47-'SCI - Bilan'!E47</f>
        <v>0</v>
      </c>
      <c r="G22" s="156"/>
      <c r="H22" s="156">
        <f>'SCI - Bilan'!H47-'SCI - Bilan'!F47</f>
        <v>0</v>
      </c>
      <c r="I22" s="156">
        <f>'SCI - Bilan'!I47-'SCI - Bilan'!H47</f>
        <v>0</v>
      </c>
      <c r="J22" s="156">
        <f>'SCI - Bilan'!J47-'SCI - Bilan'!I47</f>
        <v>0</v>
      </c>
      <c r="K22" s="156">
        <f>'SCI - Bilan'!K47-'SCI - Bilan'!J47</f>
        <v>0</v>
      </c>
      <c r="L22" s="156">
        <f>'SCI - Bilan'!L47-'SCI - Bilan'!K47</f>
        <v>0</v>
      </c>
      <c r="M22" s="200"/>
    </row>
    <row r="23" spans="2:13" s="145" customFormat="1" ht="15" outlineLevel="1">
      <c r="B23" s="155" t="s">
        <v>239</v>
      </c>
      <c r="C23" s="156"/>
      <c r="D23" s="156"/>
      <c r="E23" s="156">
        <f>'SCI - Bilan'!E48-'SCI - Bilan'!D48</f>
        <v>146</v>
      </c>
      <c r="F23" s="156">
        <f>'SCI - Bilan'!F48-'SCI - Bilan'!E48</f>
        <v>923</v>
      </c>
      <c r="G23" s="156"/>
      <c r="H23" s="156">
        <f>'SCI - Bilan'!H48-'SCI - Bilan'!F48</f>
        <v>0</v>
      </c>
      <c r="I23" s="156">
        <f>'SCI - Bilan'!I48-'SCI - Bilan'!H48</f>
        <v>0</v>
      </c>
      <c r="J23" s="156">
        <f>'SCI - Bilan'!J48-'SCI - Bilan'!I48</f>
        <v>0</v>
      </c>
      <c r="K23" s="156">
        <f>'SCI - Bilan'!K48-'SCI - Bilan'!J48</f>
        <v>0</v>
      </c>
      <c r="L23" s="156">
        <f>'SCI - Bilan'!L48-'SCI - Bilan'!K48</f>
        <v>0</v>
      </c>
      <c r="M23" s="200"/>
    </row>
    <row r="24" spans="2:13" s="145" customFormat="1" ht="15" outlineLevel="1">
      <c r="B24" s="155" t="s">
        <v>251</v>
      </c>
      <c r="C24" s="156"/>
      <c r="D24" s="156"/>
      <c r="E24" s="156">
        <f>'SCI - Bilan'!E49-'SCI - Bilan'!D49</f>
        <v>0</v>
      </c>
      <c r="F24" s="156">
        <f>'SCI - Bilan'!F49-'SCI - Bilan'!E49</f>
        <v>0</v>
      </c>
      <c r="G24" s="156"/>
      <c r="H24" s="156">
        <f>'SCI - Bilan'!H49-'SCI - Bilan'!F49</f>
        <v>0</v>
      </c>
      <c r="I24" s="156">
        <f>'SCI - Bilan'!I49-'SCI - Bilan'!H49</f>
        <v>0</v>
      </c>
      <c r="J24" s="156">
        <f>'SCI - Bilan'!J49-'SCI - Bilan'!I49</f>
        <v>0</v>
      </c>
      <c r="K24" s="156">
        <f>'SCI - Bilan'!K49-'SCI - Bilan'!J49</f>
        <v>0</v>
      </c>
      <c r="L24" s="156">
        <f>'SCI - Bilan'!L49-'SCI - Bilan'!K49</f>
        <v>0</v>
      </c>
      <c r="M24" s="200"/>
    </row>
    <row r="25" spans="2:13" s="145" customFormat="1" ht="15" outlineLevel="1">
      <c r="B25" s="155" t="s">
        <v>240</v>
      </c>
      <c r="C25" s="200"/>
      <c r="D25" s="156"/>
      <c r="E25" s="156">
        <f>'SCI - Bilan'!E50-'SCI - Bilan'!D50</f>
        <v>0</v>
      </c>
      <c r="F25" s="156">
        <f>'SCI - Bilan'!F50-'SCI - Bilan'!E50</f>
        <v>0</v>
      </c>
      <c r="G25" s="156"/>
      <c r="H25" s="156">
        <f>'SCI - Bilan'!H50-'SCI - Bilan'!F50</f>
        <v>0</v>
      </c>
      <c r="I25" s="156">
        <f>'SCI - Bilan'!I50-'SCI - Bilan'!H50</f>
        <v>0</v>
      </c>
      <c r="J25" s="156">
        <f>'SCI - Bilan'!J50-'SCI - Bilan'!I50</f>
        <v>0</v>
      </c>
      <c r="K25" s="156">
        <f>'SCI - Bilan'!K50-'SCI - Bilan'!J50</f>
        <v>0</v>
      </c>
      <c r="L25" s="156">
        <f>'SCI - Bilan'!L50-'SCI - Bilan'!K50</f>
        <v>0</v>
      </c>
      <c r="M25" s="200"/>
    </row>
    <row r="26" spans="2:13" s="145" customFormat="1" ht="15" outlineLevel="1">
      <c r="B26" s="157" t="s">
        <v>241</v>
      </c>
      <c r="C26" s="156"/>
      <c r="D26" s="156"/>
      <c r="E26" s="156">
        <f>'SCI - Bilan'!E51-'SCI - Bilan'!D51</f>
        <v>0</v>
      </c>
      <c r="F26" s="156">
        <f>'SCI - Bilan'!F51-'SCI - Bilan'!E51</f>
        <v>0</v>
      </c>
      <c r="G26" s="156"/>
      <c r="H26" s="156">
        <f>'SCI - Bilan'!H51-'SCI - Bilan'!F51</f>
        <v>0</v>
      </c>
      <c r="I26" s="156">
        <f>'SCI - Bilan'!I51-'SCI - Bilan'!H51</f>
        <v>0</v>
      </c>
      <c r="J26" s="156">
        <f>'SCI - Bilan'!J51-'SCI - Bilan'!I51</f>
        <v>0</v>
      </c>
      <c r="K26" s="156">
        <f>'SCI - Bilan'!K51-'SCI - Bilan'!J51</f>
        <v>0</v>
      </c>
      <c r="L26" s="156">
        <f>'SCI - Bilan'!L51-'SCI - Bilan'!K51</f>
        <v>0</v>
      </c>
      <c r="M26" s="200"/>
    </row>
    <row r="27" spans="2:13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F28" si="2">SUM(D12:D15)</f>
        <v>0</v>
      </c>
      <c r="E28" s="160">
        <f t="shared" si="2"/>
        <v>13535</v>
      </c>
      <c r="F28" s="160">
        <f t="shared" si="2"/>
        <v>18097</v>
      </c>
      <c r="G28" s="160"/>
      <c r="H28" s="160">
        <f t="shared" ref="H28:L28" si="3">SUM(H12:H15)</f>
        <v>20742</v>
      </c>
      <c r="I28" s="160">
        <f t="shared" si="3"/>
        <v>20742</v>
      </c>
      <c r="J28" s="160">
        <f t="shared" si="3"/>
        <v>20742</v>
      </c>
      <c r="K28" s="160">
        <f t="shared" si="3"/>
        <v>20742</v>
      </c>
      <c r="L28" s="160">
        <f t="shared" si="3"/>
        <v>20742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/>
      <c r="E32" s="158">
        <f>-('SCI - Bilan'!E10-'SCI - Bilan'!D10-'SCI - P&amp;L'!E63)</f>
        <v>-36031</v>
      </c>
      <c r="F32" s="158">
        <f>-('SCI - Bilan'!F10-'SCI - Bilan'!E10-'SCI - P&amp;L'!F63)</f>
        <v>1</v>
      </c>
      <c r="G32" s="158"/>
      <c r="H32" s="158"/>
      <c r="I32" s="158"/>
      <c r="J32" s="158"/>
      <c r="K32" s="158"/>
      <c r="L32" s="158"/>
      <c r="M32" s="201"/>
    </row>
    <row r="33" spans="2:17">
      <c r="B33" s="151" t="s">
        <v>197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0</v>
      </c>
      <c r="E35" s="160">
        <f>SUM(E31:E34)</f>
        <v>-36031</v>
      </c>
      <c r="F35" s="160">
        <f>SUM(F31:F34)</f>
        <v>1</v>
      </c>
      <c r="G35" s="160"/>
      <c r="H35" s="160">
        <f t="shared" ref="H35:L35" si="4">SUM(H31:H33)</f>
        <v>0</v>
      </c>
      <c r="I35" s="160">
        <f t="shared" si="4"/>
        <v>0</v>
      </c>
      <c r="J35" s="160">
        <f t="shared" si="4"/>
        <v>0</v>
      </c>
      <c r="K35" s="160">
        <f t="shared" si="4"/>
        <v>0</v>
      </c>
      <c r="L35" s="160">
        <f t="shared" si="4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/>
      <c r="E38" s="205"/>
      <c r="F38" s="205"/>
      <c r="G38" s="134"/>
      <c r="H38" s="205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>
      <c r="B39" s="161" t="s">
        <v>28</v>
      </c>
      <c r="C39" s="205"/>
      <c r="D39" s="205">
        <f>SUM(D40:D43)</f>
        <v>0</v>
      </c>
      <c r="E39" s="205">
        <f>SUM(E40:E43)</f>
        <v>-1147</v>
      </c>
      <c r="F39" s="205">
        <f>SUM(F40:F43)</f>
        <v>-4100</v>
      </c>
      <c r="G39" s="134"/>
      <c r="H39" s="205">
        <f t="shared" ref="H39:L39" si="5">SUM(H40:H43)</f>
        <v>-4100</v>
      </c>
      <c r="I39" s="205">
        <f t="shared" si="5"/>
        <v>-4100</v>
      </c>
      <c r="J39" s="205">
        <f t="shared" si="5"/>
        <v>-4100</v>
      </c>
      <c r="K39" s="205">
        <f t="shared" si="5"/>
        <v>-4100</v>
      </c>
      <c r="L39" s="205">
        <f t="shared" si="5"/>
        <v>-4100</v>
      </c>
      <c r="M39" s="205"/>
      <c r="N39" s="134"/>
      <c r="O39" s="134"/>
      <c r="P39" s="134"/>
      <c r="Q39" s="134"/>
    </row>
    <row r="40" spans="2:17" s="137" customFormat="1" ht="12.75" outlineLevel="1">
      <c r="B40" s="164" t="str">
        <f>'SCI - P&amp;L'!B73</f>
        <v>Intérêt emprunt n°8947 CA</v>
      </c>
      <c r="C40" s="206"/>
      <c r="D40" s="206"/>
      <c r="E40" s="206">
        <f>'SCI - P&amp;L'!E73</f>
        <v>-16</v>
      </c>
      <c r="F40" s="206">
        <f>'SCI - P&amp;L'!F73</f>
        <v>0</v>
      </c>
      <c r="G40" s="133"/>
      <c r="H40" s="206">
        <f>'SCI - P&amp;L'!H73</f>
        <v>0</v>
      </c>
      <c r="I40" s="206">
        <f>'SCI - P&amp;L'!I73</f>
        <v>0</v>
      </c>
      <c r="J40" s="206">
        <f>'SCI - P&amp;L'!J73</f>
        <v>0</v>
      </c>
      <c r="K40" s="206">
        <f>'SCI - P&amp;L'!K73</f>
        <v>0</v>
      </c>
      <c r="L40" s="206">
        <f>'SCI - P&amp;L'!L73</f>
        <v>0</v>
      </c>
      <c r="M40" s="206"/>
      <c r="N40" s="138"/>
      <c r="O40" s="138"/>
      <c r="P40" s="138"/>
      <c r="Q40" s="138"/>
    </row>
    <row r="41" spans="2:17" s="137" customFormat="1" ht="12.75" outlineLevel="1">
      <c r="B41" s="164" t="str">
        <f>'SCI - P&amp;L'!B74</f>
        <v>Intérêt emprunt n°1531 CA</v>
      </c>
      <c r="C41" s="206"/>
      <c r="D41" s="206"/>
      <c r="E41" s="206">
        <f>'SCI - P&amp;L'!E74</f>
        <v>-569</v>
      </c>
      <c r="F41" s="206">
        <f>'SCI - P&amp;L'!F74</f>
        <v>-513</v>
      </c>
      <c r="G41" s="133"/>
      <c r="H41" s="206">
        <f>'SCI - P&amp;L'!H74</f>
        <v>-513</v>
      </c>
      <c r="I41" s="206">
        <f>'SCI - P&amp;L'!I74</f>
        <v>-513</v>
      </c>
      <c r="J41" s="206">
        <f>'SCI - P&amp;L'!J74</f>
        <v>-513</v>
      </c>
      <c r="K41" s="206">
        <f>'SCI - P&amp;L'!K74</f>
        <v>-513</v>
      </c>
      <c r="L41" s="206">
        <f>'SCI - P&amp;L'!L74</f>
        <v>-513</v>
      </c>
      <c r="M41" s="206"/>
      <c r="N41" s="138"/>
      <c r="O41" s="138"/>
      <c r="P41" s="138"/>
      <c r="Q41" s="138"/>
    </row>
    <row r="42" spans="2:17" s="137" customFormat="1" ht="12.75" outlineLevel="1">
      <c r="B42" s="164" t="str">
        <f>'SCI - P&amp;L'!B75</f>
        <v>Intérêt C/C SC de SUCS</v>
      </c>
      <c r="C42" s="206"/>
      <c r="D42" s="206"/>
      <c r="E42" s="206">
        <f>'SCI - P&amp;L'!E75</f>
        <v>-562</v>
      </c>
      <c r="F42" s="206">
        <f>'SCI - P&amp;L'!F75</f>
        <v>-3587</v>
      </c>
      <c r="G42" s="133"/>
      <c r="H42" s="206">
        <f>'SCI - P&amp;L'!H75</f>
        <v>-3587</v>
      </c>
      <c r="I42" s="206">
        <f>'SCI - P&amp;L'!I75</f>
        <v>-3587</v>
      </c>
      <c r="J42" s="206">
        <f>'SCI - P&amp;L'!J75</f>
        <v>-3587</v>
      </c>
      <c r="K42" s="206">
        <f>'SCI - P&amp;L'!K75</f>
        <v>-3587</v>
      </c>
      <c r="L42" s="206">
        <f>'SCI - P&amp;L'!L75</f>
        <v>-3587</v>
      </c>
      <c r="M42" s="206"/>
      <c r="N42" s="138"/>
      <c r="O42" s="138"/>
      <c r="P42" s="138"/>
      <c r="Q42" s="138"/>
    </row>
    <row r="43" spans="2:17" s="137" customFormat="1" ht="12.75" outlineLevel="1">
      <c r="B43" s="164"/>
      <c r="C43" s="206"/>
      <c r="D43" s="206"/>
      <c r="E43" s="206"/>
      <c r="F43" s="206"/>
      <c r="G43" s="133"/>
      <c r="H43" s="206"/>
      <c r="I43" s="206"/>
      <c r="J43" s="206"/>
      <c r="K43" s="206"/>
      <c r="L43" s="206"/>
      <c r="M43" s="206"/>
      <c r="N43" s="138"/>
      <c r="O43" s="138"/>
      <c r="P43" s="138"/>
      <c r="Q43" s="138"/>
    </row>
    <row r="44" spans="2:17">
      <c r="B44" s="161" t="s">
        <v>213</v>
      </c>
      <c r="C44" s="152"/>
      <c r="D44" s="152">
        <f>SUM(D45:D47)</f>
        <v>0</v>
      </c>
      <c r="E44" s="152">
        <f>SUM(E45:E47)</f>
        <v>-9829</v>
      </c>
      <c r="F44" s="152">
        <f>SUM(F45:F47)</f>
        <v>-5165</v>
      </c>
      <c r="G44" s="152"/>
      <c r="H44" s="152">
        <f t="shared" ref="H44:L44" si="6">SUM(H45:H47)</f>
        <v>-5714</v>
      </c>
      <c r="I44" s="152">
        <f t="shared" si="6"/>
        <v>-5000</v>
      </c>
      <c r="J44" s="152">
        <f t="shared" si="6"/>
        <v>-5000</v>
      </c>
      <c r="K44" s="152">
        <f t="shared" si="6"/>
        <v>-5000</v>
      </c>
      <c r="L44" s="152">
        <f t="shared" si="6"/>
        <v>-5000</v>
      </c>
      <c r="M44" s="205"/>
      <c r="N44" s="134"/>
      <c r="O44" s="134"/>
      <c r="P44" s="134"/>
      <c r="Q44" s="134"/>
    </row>
    <row r="45" spans="2:17" s="137" customFormat="1" ht="12.75" outlineLevel="1">
      <c r="B45" s="165" t="str">
        <f>'SCI - Bilan'!B39</f>
        <v>Emprunt CA n°00001398947</v>
      </c>
      <c r="C45" s="206"/>
      <c r="D45" s="206"/>
      <c r="E45" s="206">
        <f>'SCI - Bilan'!E39-'SCI - Bilan'!D39</f>
        <v>-4718</v>
      </c>
      <c r="F45" s="206">
        <f>'SCI - Bilan'!F39-'SCI - Bilan'!E39</f>
        <v>0</v>
      </c>
      <c r="G45" s="133"/>
      <c r="H45" s="206">
        <f>'SCI - Bilan'!H39-'SCI - Bilan'!F39</f>
        <v>0</v>
      </c>
      <c r="I45" s="206">
        <f>'SCI - Bilan'!I39-'SCI - Bilan'!H39</f>
        <v>0</v>
      </c>
      <c r="J45" s="206">
        <f>'SCI - Bilan'!J39-'SCI - Bilan'!I39</f>
        <v>0</v>
      </c>
      <c r="K45" s="206">
        <f>'SCI - Bilan'!K39-'SCI - Bilan'!J39</f>
        <v>0</v>
      </c>
      <c r="L45" s="206">
        <f>'SCI - Bilan'!L39-'SCI - Bilan'!K39</f>
        <v>0</v>
      </c>
      <c r="M45" s="206"/>
      <c r="N45" s="138"/>
      <c r="O45" s="138"/>
      <c r="P45" s="138"/>
      <c r="Q45" s="138"/>
    </row>
    <row r="46" spans="2:17" s="137" customFormat="1" ht="12.75" outlineLevel="1">
      <c r="B46" s="165" t="str">
        <f>'SCI - Bilan'!B40</f>
        <v>Emprunt CA n°00002001531</v>
      </c>
      <c r="C46" s="206"/>
      <c r="D46" s="206"/>
      <c r="E46" s="206">
        <f>'SCI - Bilan'!E40-'SCI - Bilan'!D40</f>
        <v>-5111</v>
      </c>
      <c r="F46" s="206">
        <f>'SCI - Bilan'!F40-'SCI - Bilan'!E40</f>
        <v>-5165</v>
      </c>
      <c r="G46" s="133"/>
      <c r="H46" s="206">
        <f>'SCI - Bilan'!H40-'SCI - Bilan'!F40</f>
        <v>-5714</v>
      </c>
      <c r="I46" s="206">
        <f>'SCI - Bilan'!I40-'SCI - Bilan'!H40</f>
        <v>-5000</v>
      </c>
      <c r="J46" s="206">
        <f>'SCI - Bilan'!J40-'SCI - Bilan'!I40</f>
        <v>-5000</v>
      </c>
      <c r="K46" s="206">
        <f>'SCI - Bilan'!K40-'SCI - Bilan'!J40</f>
        <v>-5000</v>
      </c>
      <c r="L46" s="206">
        <f>'SCI - Bilan'!L40-'SCI - Bilan'!K40</f>
        <v>-5000</v>
      </c>
      <c r="M46" s="206"/>
      <c r="N46" s="138"/>
      <c r="O46" s="138"/>
      <c r="P46" s="138"/>
      <c r="Q46" s="138"/>
    </row>
    <row r="47" spans="2:17" s="137" customFormat="1" ht="12.75" outlineLevel="1">
      <c r="B47" s="165"/>
      <c r="C47" s="206"/>
      <c r="D47" s="206"/>
      <c r="E47" s="206"/>
      <c r="F47" s="206"/>
      <c r="G47" s="133"/>
      <c r="H47" s="206"/>
      <c r="I47" s="206"/>
      <c r="J47" s="206"/>
      <c r="K47" s="206"/>
      <c r="L47" s="206"/>
      <c r="M47" s="206"/>
      <c r="N47" s="138"/>
      <c r="O47" s="138"/>
      <c r="P47" s="138"/>
      <c r="Q47" s="138"/>
    </row>
    <row r="48" spans="2:17">
      <c r="B48" s="161" t="s">
        <v>214</v>
      </c>
      <c r="C48" s="152"/>
      <c r="D48" s="152">
        <f>SUM(D49:D50)</f>
        <v>0</v>
      </c>
      <c r="E48" s="152">
        <f>SUM(E49:E50)</f>
        <v>40563</v>
      </c>
      <c r="F48" s="152">
        <f>SUM(F49:F50)</f>
        <v>3584</v>
      </c>
      <c r="G48" s="152"/>
      <c r="H48" s="152">
        <f t="shared" ref="H48:L48" si="7">SUM(H49:H50)</f>
        <v>0</v>
      </c>
      <c r="I48" s="152">
        <f t="shared" si="7"/>
        <v>0</v>
      </c>
      <c r="J48" s="152">
        <f t="shared" si="7"/>
        <v>0</v>
      </c>
      <c r="K48" s="152">
        <f t="shared" si="7"/>
        <v>0</v>
      </c>
      <c r="L48" s="152">
        <f t="shared" si="7"/>
        <v>0</v>
      </c>
      <c r="M48" s="205"/>
      <c r="N48" s="134"/>
      <c r="O48" s="134"/>
      <c r="P48" s="134"/>
      <c r="Q48" s="134"/>
    </row>
    <row r="49" spans="2:17" s="137" customFormat="1" ht="12.75" outlineLevel="1">
      <c r="B49" s="165" t="str">
        <f>'SCI - Bilan'!B43</f>
        <v>C/C sc des Sucs</v>
      </c>
      <c r="C49" s="206"/>
      <c r="D49" s="206"/>
      <c r="E49" s="206">
        <f>'SCI - Bilan'!E43-'SCI - Bilan'!D43</f>
        <v>40563</v>
      </c>
      <c r="F49" s="206">
        <f>'SCI - Bilan'!F43-'SCI - Bilan'!E43</f>
        <v>3584</v>
      </c>
      <c r="G49" s="133"/>
      <c r="H49" s="206">
        <f>'SCI - Bilan'!H43-'SCI - Bilan'!F43</f>
        <v>0</v>
      </c>
      <c r="I49" s="206">
        <f>'SCI - Bilan'!I43-'SCI - Bilan'!H43</f>
        <v>0</v>
      </c>
      <c r="J49" s="206">
        <f>'SCI - Bilan'!J43-'SCI - Bilan'!I43</f>
        <v>0</v>
      </c>
      <c r="K49" s="206">
        <f>'SCI - Bilan'!K43-'SCI - Bilan'!J43</f>
        <v>0</v>
      </c>
      <c r="L49" s="206">
        <f>'SCI - Bilan'!L43-'SCI - Bilan'!K43</f>
        <v>0</v>
      </c>
      <c r="M49" s="206"/>
      <c r="N49" s="138"/>
      <c r="O49" s="138"/>
      <c r="P49" s="138"/>
      <c r="Q49" s="138"/>
    </row>
    <row r="50" spans="2:17" s="137" customFormat="1" ht="12.75" outlineLevel="1">
      <c r="B50" s="165"/>
      <c r="C50" s="206"/>
      <c r="D50" s="206"/>
      <c r="E50" s="206"/>
      <c r="F50" s="206"/>
      <c r="G50" s="133"/>
      <c r="H50" s="206"/>
      <c r="I50" s="206"/>
      <c r="J50" s="206"/>
      <c r="K50" s="206"/>
      <c r="L50" s="206"/>
      <c r="M50" s="206"/>
      <c r="N50" s="138"/>
      <c r="O50" s="138"/>
      <c r="P50" s="138"/>
      <c r="Q50" s="138"/>
    </row>
    <row r="51" spans="2:17">
      <c r="B51" s="161" t="s">
        <v>162</v>
      </c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205"/>
      <c r="N51" s="134"/>
      <c r="O51" s="134"/>
      <c r="P51" s="134"/>
      <c r="Q51" s="134"/>
    </row>
    <row r="52" spans="2:17" s="137" customFormat="1" ht="12.75" outlineLevel="1">
      <c r="B52" s="162"/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207"/>
      <c r="N52" s="138"/>
      <c r="O52" s="138"/>
      <c r="P52" s="138"/>
      <c r="Q52" s="138"/>
    </row>
    <row r="53" spans="2:17" s="137" customFormat="1">
      <c r="B53" s="161" t="s">
        <v>263</v>
      </c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207"/>
      <c r="N53" s="138"/>
      <c r="O53" s="138"/>
      <c r="P53" s="138"/>
      <c r="Q53" s="138"/>
    </row>
    <row r="54" spans="2:17" s="137" customFormat="1" ht="12.75" outlineLevel="1">
      <c r="B54" s="162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207"/>
      <c r="N54" s="138"/>
      <c r="O54" s="138"/>
      <c r="P54" s="138"/>
      <c r="Q54" s="138"/>
    </row>
    <row r="55" spans="2:17">
      <c r="B55" s="161" t="s">
        <v>252</v>
      </c>
      <c r="C55" s="205"/>
      <c r="D55" s="205">
        <v>0</v>
      </c>
      <c r="E55" s="205">
        <v>0</v>
      </c>
      <c r="F55" s="205">
        <v>0</v>
      </c>
      <c r="G55" s="134"/>
      <c r="H55" s="205"/>
      <c r="I55" s="134"/>
      <c r="J55" s="134"/>
      <c r="K55" s="134"/>
      <c r="L55" s="134"/>
      <c r="M55" s="205"/>
      <c r="N55" s="134"/>
      <c r="O55" s="134"/>
      <c r="P55" s="134"/>
      <c r="Q55" s="134"/>
    </row>
    <row r="56" spans="2:17" s="137" customFormat="1" ht="12.75" outlineLevel="1">
      <c r="B56" s="166" t="s">
        <v>101</v>
      </c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207"/>
      <c r="N56" s="138"/>
      <c r="O56" s="138"/>
      <c r="P56" s="138"/>
      <c r="Q56" s="138"/>
    </row>
    <row r="57" spans="2:17" s="137" customFormat="1" ht="12.75" outlineLevel="1">
      <c r="B57" s="166" t="s">
        <v>253</v>
      </c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207"/>
      <c r="N57" s="138"/>
      <c r="O57" s="138"/>
      <c r="P57" s="138"/>
      <c r="Q57" s="138"/>
    </row>
    <row r="58" spans="2:17" s="137" customFormat="1" ht="12.75">
      <c r="B58" s="162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207"/>
      <c r="N58" s="138"/>
      <c r="O58" s="138"/>
      <c r="P58" s="138"/>
      <c r="Q58" s="138"/>
    </row>
    <row r="59" spans="2:17">
      <c r="B59" s="159" t="s">
        <v>246</v>
      </c>
      <c r="C59" s="208"/>
      <c r="D59" s="208">
        <f>D38+D39+D44+D48+D51+D53+D55</f>
        <v>0</v>
      </c>
      <c r="E59" s="208">
        <f>E38+E39+E44+E48+E51+E53+E55</f>
        <v>29587</v>
      </c>
      <c r="F59" s="208">
        <f>F38+F39+F44+F48+F51+F53+F55</f>
        <v>-5681</v>
      </c>
      <c r="G59" s="221"/>
      <c r="H59" s="208">
        <f>H38+H39+H44+H48+H51+H53+H55</f>
        <v>-9814</v>
      </c>
      <c r="I59" s="208">
        <f>I38+I39+I44+I48+I51+I53+I55</f>
        <v>-9100</v>
      </c>
      <c r="J59" s="208">
        <f>J38+J39+J44+J48+J51+J53+J55</f>
        <v>-9100</v>
      </c>
      <c r="K59" s="208">
        <f>K38+K39+K44+K48+K51+K53+K55</f>
        <v>-9100</v>
      </c>
      <c r="L59" s="208">
        <f>L38+L39+L44+L48+L51+L53+L55</f>
        <v>-9100</v>
      </c>
      <c r="M59" s="208"/>
    </row>
    <row r="60" spans="2:17">
      <c r="B60" s="163"/>
      <c r="C60" s="163"/>
      <c r="D60" s="163"/>
      <c r="E60" s="163"/>
      <c r="F60" s="163"/>
      <c r="G60" s="151"/>
      <c r="H60" s="163"/>
      <c r="I60" s="163"/>
      <c r="J60" s="163"/>
      <c r="K60" s="163"/>
      <c r="L60" s="163"/>
      <c r="M60" s="203"/>
    </row>
    <row r="61" spans="2:17">
      <c r="B61" s="162" t="s">
        <v>247</v>
      </c>
      <c r="C61" s="138"/>
      <c r="D61" s="138"/>
      <c r="E61" s="138">
        <v>-1</v>
      </c>
      <c r="F61" s="138">
        <v>1</v>
      </c>
      <c r="G61" s="138"/>
      <c r="H61" s="138">
        <v>3</v>
      </c>
      <c r="I61" s="138">
        <v>2</v>
      </c>
      <c r="J61" s="138">
        <v>2</v>
      </c>
      <c r="K61" s="138">
        <v>2</v>
      </c>
      <c r="L61" s="138">
        <v>2</v>
      </c>
      <c r="M61" s="207"/>
    </row>
    <row r="62" spans="2:17">
      <c r="B62" s="159" t="s">
        <v>248</v>
      </c>
      <c r="C62" s="160"/>
      <c r="D62" s="160">
        <f>D59+D61+D35+D28</f>
        <v>0</v>
      </c>
      <c r="E62" s="160">
        <f>E59+E61+E35+E28</f>
        <v>7090</v>
      </c>
      <c r="F62" s="160">
        <f>F59+F61+F35+F28</f>
        <v>12418</v>
      </c>
      <c r="G62" s="160"/>
      <c r="H62" s="160">
        <f>H59+H61+H35+H28</f>
        <v>10931</v>
      </c>
      <c r="I62" s="160">
        <f>I59+I61+I35+I28</f>
        <v>11644</v>
      </c>
      <c r="J62" s="160">
        <f>J59+J61+J35+J28</f>
        <v>11644</v>
      </c>
      <c r="K62" s="160">
        <f>K59+K61+K35+K28</f>
        <v>11644</v>
      </c>
      <c r="L62" s="160">
        <f>L59+L61+L35+L28</f>
        <v>11644</v>
      </c>
      <c r="M62" s="202"/>
    </row>
    <row r="63" spans="2:17"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203"/>
    </row>
    <row r="64" spans="2:17">
      <c r="B64" s="151" t="s">
        <v>249</v>
      </c>
      <c r="C64" s="152"/>
      <c r="D64" s="152">
        <f>C65</f>
        <v>0</v>
      </c>
      <c r="E64" s="152">
        <f>D65</f>
        <v>7908</v>
      </c>
      <c r="F64" s="152">
        <f t="shared" ref="F64:L64" si="8">E65</f>
        <v>14998</v>
      </c>
      <c r="G64" s="152"/>
      <c r="H64" s="152">
        <f>F65</f>
        <v>27416</v>
      </c>
      <c r="I64" s="152">
        <f t="shared" si="8"/>
        <v>38347</v>
      </c>
      <c r="J64" s="152">
        <f t="shared" si="8"/>
        <v>49991</v>
      </c>
      <c r="K64" s="152">
        <f t="shared" si="8"/>
        <v>61635</v>
      </c>
      <c r="L64" s="152">
        <f t="shared" si="8"/>
        <v>73279</v>
      </c>
      <c r="M64" s="191"/>
    </row>
    <row r="65" spans="2:13">
      <c r="B65" s="159" t="s">
        <v>250</v>
      </c>
      <c r="C65" s="160"/>
      <c r="D65" s="160">
        <f>'SCI - Bilan'!D18</f>
        <v>7908</v>
      </c>
      <c r="E65" s="160">
        <f t="shared" ref="E65:F65" si="9">E62+E64</f>
        <v>14998</v>
      </c>
      <c r="F65" s="160">
        <f t="shared" si="9"/>
        <v>27416</v>
      </c>
      <c r="G65" s="160"/>
      <c r="H65" s="160">
        <f>H62+H64</f>
        <v>38347</v>
      </c>
      <c r="I65" s="160">
        <f t="shared" ref="I65:L65" si="10">I62+I64</f>
        <v>49991</v>
      </c>
      <c r="J65" s="160">
        <f t="shared" si="10"/>
        <v>61635</v>
      </c>
      <c r="K65" s="160">
        <f t="shared" si="10"/>
        <v>73279</v>
      </c>
      <c r="L65" s="160">
        <f t="shared" si="10"/>
        <v>84923</v>
      </c>
      <c r="M65" s="202"/>
    </row>
    <row r="66" spans="2:13">
      <c r="B66" s="159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205"/>
    </row>
    <row r="67" spans="2:13">
      <c r="B67" s="168" t="s">
        <v>221</v>
      </c>
      <c r="C67" s="167"/>
      <c r="D67" s="167" t="str">
        <f>IF(ABS(D65-'SCI - Bilan'!D18)&lt;0.1,"Validé","Erreur")</f>
        <v>Validé</v>
      </c>
      <c r="E67" s="167" t="str">
        <f>IF(ABS(E65-'SCI - Bilan'!E18)&lt;0.1,"Validé","Erreur")</f>
        <v>Validé</v>
      </c>
      <c r="F67" s="167" t="str">
        <f>IF(ABS(F65-'SCI - Bilan'!F18)&lt;0.1,"Validé","Erreur")</f>
        <v>Validé</v>
      </c>
      <c r="G67" s="167"/>
      <c r="H67" s="167" t="str">
        <f>IF(ABS(H65-'SCI - Bilan'!H18)&lt;0.1,"Validé","Erreur")</f>
        <v>Validé</v>
      </c>
      <c r="I67" s="167" t="str">
        <f>IF(ABS(I65-'SCI - Bilan'!I18)&lt;0.1,"Validé","Erreur")</f>
        <v>Validé</v>
      </c>
      <c r="J67" s="167" t="str">
        <f>IF(ABS(J65-'SCI - Bilan'!J18)&lt;0.1,"Validé","Erreur")</f>
        <v>Validé</v>
      </c>
      <c r="K67" s="167" t="str">
        <f>IF(ABS(K65-'SCI - Bilan'!K18)&lt;0.1,"Validé","Erreur")</f>
        <v>Validé</v>
      </c>
      <c r="L67" s="167" t="str">
        <f>IF(ABS(L65-'SCI - Bilan'!L18)&lt;0.1,"Validé","Erreur")</f>
        <v>Validé</v>
      </c>
      <c r="M67" s="209"/>
    </row>
    <row r="68" spans="2:13">
      <c r="C68" s="151"/>
      <c r="D68" s="151"/>
      <c r="E68" s="151"/>
      <c r="F68" s="151"/>
      <c r="G68" s="151"/>
      <c r="H68" s="151"/>
    </row>
    <row r="69" spans="2:13">
      <c r="C69" s="134"/>
      <c r="D69" s="134"/>
      <c r="E69" s="134"/>
      <c r="F69" s="134"/>
      <c r="G69" s="134"/>
      <c r="H69" s="134"/>
      <c r="I69" s="134"/>
      <c r="J69" s="134"/>
    </row>
    <row r="70" spans="2:13">
      <c r="C70" s="136"/>
      <c r="D70" s="136"/>
      <c r="E70" s="136"/>
      <c r="F70" s="136"/>
      <c r="G70" s="136"/>
      <c r="H70" s="136"/>
    </row>
    <row r="71" spans="2:13">
      <c r="C71" s="134"/>
      <c r="D71" s="134"/>
      <c r="E71" s="134"/>
      <c r="F71" s="134"/>
      <c r="G71" s="134"/>
      <c r="H71" s="134"/>
      <c r="I71" s="134"/>
      <c r="J71" s="134"/>
    </row>
  </sheetData>
  <mergeCells count="1">
    <mergeCell ref="B2:B4"/>
  </mergeCells>
  <conditionalFormatting sqref="C67:L67">
    <cfRule type="containsText" dxfId="53" priority="1" operator="containsText" text="Validé">
      <formula>NOT(ISERROR(SEARCH("Validé",C67)))</formula>
    </cfRule>
    <cfRule type="containsText" dxfId="52" priority="2" operator="containsText" text="Erreur">
      <formula>NOT(ISERROR(SEARCH("Erreur",C67)))</formula>
    </cfRule>
  </conditionalFormatting>
  <conditionalFormatting sqref="C64:M64">
    <cfRule type="containsText" dxfId="51" priority="3" operator="containsText" text="Equilibré">
      <formula>NOT(ISERROR(SEARCH("Equilibré",C64)))</formula>
    </cfRule>
    <cfRule type="containsText" dxfId="50" priority="4" operator="containsText" text="Erreur">
      <formula>NOT(ISERROR(SEARCH("Erreur",C64)))</formula>
    </cfRule>
    <cfRule type="containsText" dxfId="49" priority="5" operator="containsText" text="Validé">
      <formula>NOT(ISERROR(SEARCH("Validé",C64)))</formula>
    </cfRule>
    <cfRule type="containsText" dxfId="48" priority="6" operator="containsText" text="Erreur">
      <formula>NOT(ISERROR(SEARCH("Erreur",C64)))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EC8A-F170-134E-A4F9-D8AEFF1ED242}">
  <sheetPr codeName="Feuil51">
    <tabColor theme="9" tint="0.79998168889431442"/>
  </sheetPr>
  <dimension ref="A2:AP71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D16" sqref="D16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44196</v>
      </c>
      <c r="D3" s="244">
        <v>44561</v>
      </c>
      <c r="E3" s="244">
        <v>44926</v>
      </c>
      <c r="F3" s="244">
        <v>45291</v>
      </c>
      <c r="G3" s="244"/>
      <c r="H3" s="213" t="str">
        <f>'SCI - P&amp;L'!H4</f>
        <v>31/12/2024</v>
      </c>
      <c r="I3" s="213" t="str">
        <f>'SCI - P&amp;L'!I4</f>
        <v>31/12/2025</v>
      </c>
      <c r="J3" s="213" t="str">
        <f>'SCI - P&amp;L'!J4</f>
        <v>31/12/2026</v>
      </c>
      <c r="K3" s="213" t="str">
        <f>'SCI - P&amp;L'!K4</f>
        <v>31/12/2027</v>
      </c>
      <c r="L3" s="213" t="str">
        <f>'SCI - P&amp;L'!L4</f>
        <v>31/12/2028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0</v>
      </c>
      <c r="D8" s="128">
        <f t="shared" si="0"/>
        <v>109279</v>
      </c>
      <c r="E8" s="128">
        <f t="shared" si="0"/>
        <v>136791</v>
      </c>
      <c r="F8" s="128">
        <f>SUM(F9:F11)</f>
        <v>128271</v>
      </c>
      <c r="G8" s="128"/>
      <c r="H8" s="128">
        <f t="shared" ref="H8:L8" si="1">SUM(H9:H11)</f>
        <v>119752</v>
      </c>
      <c r="I8" s="128">
        <f t="shared" si="1"/>
        <v>111233</v>
      </c>
      <c r="J8" s="128">
        <f t="shared" si="1"/>
        <v>102714</v>
      </c>
      <c r="K8" s="128">
        <f t="shared" si="1"/>
        <v>94195</v>
      </c>
      <c r="L8" s="128">
        <f t="shared" si="1"/>
        <v>85676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>
        <v>109279</v>
      </c>
      <c r="E10" s="132">
        <v>136791</v>
      </c>
      <c r="F10" s="132">
        <f>61031+67240</f>
        <v>128271</v>
      </c>
      <c r="G10" s="132"/>
      <c r="H10" s="132">
        <f>F10+'SCI - P&amp;L'!H62</f>
        <v>119752</v>
      </c>
      <c r="I10" s="132">
        <f>H10+'SCI - P&amp;L'!I62</f>
        <v>111233</v>
      </c>
      <c r="J10" s="132">
        <f>I10+'SCI - P&amp;L'!J62</f>
        <v>102714</v>
      </c>
      <c r="K10" s="132">
        <f>J10+'SCI - P&amp;L'!K62</f>
        <v>94195</v>
      </c>
      <c r="L10" s="132">
        <f>K10+'SCI - P&amp;L'!L62</f>
        <v>85676</v>
      </c>
      <c r="M10" s="188"/>
      <c r="N10" s="188"/>
      <c r="O10" s="188"/>
    </row>
    <row r="11" spans="2:15">
      <c r="B11" s="131" t="s">
        <v>197</v>
      </c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0</v>
      </c>
      <c r="D13" s="128">
        <f t="shared" si="2"/>
        <v>13507</v>
      </c>
      <c r="E13" s="128">
        <f t="shared" si="2"/>
        <v>23203</v>
      </c>
      <c r="F13" s="128">
        <f>SUM(F14:F16,F17:F19)</f>
        <v>39189</v>
      </c>
      <c r="G13" s="128"/>
      <c r="H13" s="128">
        <f>SUM(H14:H20)</f>
        <v>50120</v>
      </c>
      <c r="I13" s="128">
        <f>SUM(I14:I20)</f>
        <v>61764</v>
      </c>
      <c r="J13" s="128">
        <f>SUM(J14:J20)</f>
        <v>73408</v>
      </c>
      <c r="K13" s="128">
        <f>SUM(K14:K20)</f>
        <v>85052</v>
      </c>
      <c r="L13" s="128">
        <f>SUM(L14:L20)</f>
        <v>96696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>
        <f>5466+133</f>
        <v>5599</v>
      </c>
      <c r="E16" s="132">
        <f>7700+505</f>
        <v>8205</v>
      </c>
      <c r="F16" s="132">
        <v>11773</v>
      </c>
      <c r="G16" s="132"/>
      <c r="H16" s="132">
        <f>F16</f>
        <v>11773</v>
      </c>
      <c r="I16" s="132">
        <f>H16</f>
        <v>11773</v>
      </c>
      <c r="J16" s="132">
        <f>I16</f>
        <v>11773</v>
      </c>
      <c r="K16" s="132">
        <f>J16</f>
        <v>11773</v>
      </c>
      <c r="L16" s="132">
        <f>K16</f>
        <v>11773</v>
      </c>
      <c r="M16" s="136"/>
      <c r="N16" s="136"/>
      <c r="O16" s="136"/>
    </row>
    <row r="17" spans="2:15">
      <c r="B17" s="131" t="s">
        <v>202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6"/>
      <c r="N17" s="136"/>
      <c r="O17" s="136"/>
    </row>
    <row r="18" spans="2:15">
      <c r="B18" s="131" t="s">
        <v>203</v>
      </c>
      <c r="C18" s="132"/>
      <c r="D18" s="132">
        <v>7908</v>
      </c>
      <c r="E18" s="132">
        <v>14998</v>
      </c>
      <c r="F18" s="132">
        <v>27416</v>
      </c>
      <c r="G18" s="132"/>
      <c r="H18" s="132">
        <f>'SCI - CF'!H65</f>
        <v>38347</v>
      </c>
      <c r="I18" s="132">
        <f>'SCI - CF'!I65</f>
        <v>49991</v>
      </c>
      <c r="J18" s="132">
        <f>'SCI - CF'!J65</f>
        <v>61635</v>
      </c>
      <c r="K18" s="132">
        <f>'SCI - CF'!K65</f>
        <v>73279</v>
      </c>
      <c r="L18" s="132">
        <f>'SCI - CF'!L65</f>
        <v>84923</v>
      </c>
      <c r="M18" s="136"/>
      <c r="N18" s="136"/>
      <c r="O18" s="136"/>
    </row>
    <row r="19" spans="2:15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0</v>
      </c>
      <c r="D23" s="140">
        <f t="shared" ref="D23:L23" si="3">+D6+D8+D13+D21</f>
        <v>122786</v>
      </c>
      <c r="E23" s="140">
        <f t="shared" si="3"/>
        <v>159994</v>
      </c>
      <c r="F23" s="140">
        <f t="shared" si="3"/>
        <v>167460</v>
      </c>
      <c r="G23" s="271"/>
      <c r="H23" s="140">
        <f t="shared" si="3"/>
        <v>169872</v>
      </c>
      <c r="I23" s="140">
        <f>+I6+I8+I13+I21</f>
        <v>172997</v>
      </c>
      <c r="J23" s="140">
        <f t="shared" si="3"/>
        <v>176122</v>
      </c>
      <c r="K23" s="140">
        <f t="shared" si="3"/>
        <v>179247</v>
      </c>
      <c r="L23" s="140">
        <f t="shared" si="3"/>
        <v>182372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4">SUM(C26:C31)</f>
        <v>0</v>
      </c>
      <c r="D25" s="128">
        <f t="shared" si="4"/>
        <v>37418</v>
      </c>
      <c r="E25" s="128">
        <f t="shared" si="4"/>
        <v>43746</v>
      </c>
      <c r="F25" s="128">
        <f t="shared" ref="F25:L25" si="5">SUM(F26:F31)</f>
        <v>51871</v>
      </c>
      <c r="G25" s="128"/>
      <c r="H25" s="128">
        <f t="shared" si="5"/>
        <v>59996</v>
      </c>
      <c r="I25" s="128">
        <f t="shared" si="5"/>
        <v>68121</v>
      </c>
      <c r="J25" s="128">
        <f t="shared" si="5"/>
        <v>76246</v>
      </c>
      <c r="K25" s="128">
        <f t="shared" si="5"/>
        <v>84371</v>
      </c>
      <c r="L25" s="128">
        <f t="shared" si="5"/>
        <v>92496</v>
      </c>
    </row>
    <row r="26" spans="2:15">
      <c r="B26" s="131" t="s">
        <v>206</v>
      </c>
      <c r="C26" s="132"/>
      <c r="D26" s="132">
        <v>1400</v>
      </c>
      <c r="E26" s="132">
        <v>1400</v>
      </c>
      <c r="F26" s="132">
        <v>1400</v>
      </c>
      <c r="G26" s="132"/>
      <c r="H26" s="132">
        <f>F26</f>
        <v>1400</v>
      </c>
      <c r="I26" s="132">
        <f>H26</f>
        <v>1400</v>
      </c>
      <c r="J26" s="132">
        <f t="shared" ref="J26:L26" si="6">I26</f>
        <v>1400</v>
      </c>
      <c r="K26" s="132">
        <f t="shared" si="6"/>
        <v>1400</v>
      </c>
      <c r="L26" s="132">
        <f t="shared" si="6"/>
        <v>1400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/>
      <c r="D28" s="132">
        <v>30139</v>
      </c>
      <c r="E28" s="132">
        <f>D28+D29</f>
        <v>36018</v>
      </c>
      <c r="F28" s="132">
        <f>E28+E29</f>
        <v>42346</v>
      </c>
      <c r="G28" s="132"/>
      <c r="H28" s="132">
        <f>F28+F29</f>
        <v>50471</v>
      </c>
      <c r="I28" s="132">
        <f>H28+H29</f>
        <v>58596</v>
      </c>
      <c r="J28" s="132">
        <f t="shared" ref="J28:L28" si="7">I28+I29</f>
        <v>66721</v>
      </c>
      <c r="K28" s="132">
        <f t="shared" si="7"/>
        <v>74846</v>
      </c>
      <c r="L28" s="132">
        <f t="shared" si="7"/>
        <v>82971</v>
      </c>
      <c r="N28" s="134"/>
      <c r="O28" s="134"/>
    </row>
    <row r="29" spans="2:15">
      <c r="B29" s="131" t="s">
        <v>32</v>
      </c>
      <c r="C29" s="132"/>
      <c r="D29" s="132">
        <f>'SCI - P&amp;L'!D88</f>
        <v>5879</v>
      </c>
      <c r="E29" s="132">
        <f>'SCI - P&amp;L'!E88</f>
        <v>6328</v>
      </c>
      <c r="F29" s="132">
        <f>'SCI - P&amp;L'!F88</f>
        <v>8125</v>
      </c>
      <c r="G29" s="132"/>
      <c r="H29" s="132">
        <f>'SCI - P&amp;L'!H88</f>
        <v>8125</v>
      </c>
      <c r="I29" s="132">
        <f>'SCI - P&amp;L'!I88</f>
        <v>8125</v>
      </c>
      <c r="J29" s="132">
        <f>'SCI - P&amp;L'!J88</f>
        <v>8125</v>
      </c>
      <c r="K29" s="132">
        <f>'SCI - P&amp;L'!K88</f>
        <v>8125</v>
      </c>
      <c r="L29" s="132">
        <f>'SCI - P&amp;L'!L88</f>
        <v>8125</v>
      </c>
      <c r="N29" s="134"/>
    </row>
    <row r="30" spans="2:15">
      <c r="B30" s="131" t="s">
        <v>208</v>
      </c>
      <c r="C30" s="132"/>
      <c r="D30" s="132"/>
      <c r="E30" s="132"/>
      <c r="F30" s="132"/>
      <c r="G30" s="132"/>
      <c r="H30" s="132"/>
      <c r="I30" s="132"/>
      <c r="J30" s="132"/>
      <c r="K30" s="132"/>
      <c r="L30" s="132"/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8">SUM(C34:C36)</f>
        <v>0</v>
      </c>
      <c r="D33" s="128">
        <f t="shared" si="8"/>
        <v>0</v>
      </c>
      <c r="E33" s="128">
        <f t="shared" si="8"/>
        <v>0</v>
      </c>
      <c r="F33" s="128">
        <f t="shared" si="8"/>
        <v>0</v>
      </c>
      <c r="G33" s="128"/>
      <c r="H33" s="128">
        <f t="shared" si="8"/>
        <v>0</v>
      </c>
      <c r="I33" s="128">
        <f t="shared" si="8"/>
        <v>0</v>
      </c>
      <c r="J33" s="128">
        <f t="shared" si="8"/>
        <v>0</v>
      </c>
      <c r="K33" s="128">
        <f t="shared" si="8"/>
        <v>0</v>
      </c>
      <c r="L33" s="128">
        <f t="shared" si="8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 t="shared" ref="C37:L37" si="9">+C38+C42</f>
        <v>0</v>
      </c>
      <c r="D37" s="185">
        <f t="shared" si="9"/>
        <v>83499</v>
      </c>
      <c r="E37" s="185">
        <f t="shared" si="9"/>
        <v>114233</v>
      </c>
      <c r="F37" s="185">
        <f t="shared" si="9"/>
        <v>112652</v>
      </c>
      <c r="G37" s="185"/>
      <c r="H37" s="185">
        <f t="shared" si="9"/>
        <v>106938</v>
      </c>
      <c r="I37" s="185">
        <f t="shared" si="9"/>
        <v>101938</v>
      </c>
      <c r="J37" s="185">
        <f t="shared" si="9"/>
        <v>96938</v>
      </c>
      <c r="K37" s="185">
        <f t="shared" si="9"/>
        <v>91938</v>
      </c>
      <c r="L37" s="185">
        <f t="shared" si="9"/>
        <v>86938</v>
      </c>
      <c r="M37" s="190"/>
      <c r="N37" s="190"/>
      <c r="O37" s="190"/>
    </row>
    <row r="38" spans="2:17">
      <c r="B38" s="131" t="s">
        <v>213</v>
      </c>
      <c r="C38" s="132">
        <f>SUM(C39:C41)</f>
        <v>0</v>
      </c>
      <c r="D38" s="132">
        <f>SUM(D39:D41)</f>
        <v>59708</v>
      </c>
      <c r="E38" s="132">
        <f>SUM(E39:E41)</f>
        <v>49879</v>
      </c>
      <c r="F38" s="132">
        <f>SUM(F39:F41)</f>
        <v>44714</v>
      </c>
      <c r="G38" s="132"/>
      <c r="H38" s="132">
        <f t="shared" ref="H38:L38" si="10">SUM(H39:H41)</f>
        <v>39000</v>
      </c>
      <c r="I38" s="132">
        <f t="shared" si="10"/>
        <v>34000</v>
      </c>
      <c r="J38" s="132">
        <f t="shared" si="10"/>
        <v>29000</v>
      </c>
      <c r="K38" s="132">
        <f t="shared" si="10"/>
        <v>24000</v>
      </c>
      <c r="L38" s="132">
        <f t="shared" si="10"/>
        <v>19000</v>
      </c>
      <c r="M38" s="189"/>
      <c r="N38" s="189"/>
      <c r="O38" s="189"/>
      <c r="Q38" s="134"/>
    </row>
    <row r="39" spans="2:17" s="192" customFormat="1" ht="12.75" hidden="1" outlineLevel="1">
      <c r="B39" s="147" t="s">
        <v>720</v>
      </c>
      <c r="C39" s="133"/>
      <c r="D39" s="133">
        <v>4718</v>
      </c>
      <c r="E39" s="133"/>
      <c r="F39" s="133"/>
      <c r="G39" s="133"/>
      <c r="H39" s="133"/>
      <c r="I39" s="133"/>
      <c r="J39" s="133"/>
      <c r="K39" s="133"/>
      <c r="L39" s="133"/>
      <c r="M39" s="216"/>
      <c r="N39" s="216"/>
      <c r="O39" s="216"/>
      <c r="Q39" s="217"/>
    </row>
    <row r="40" spans="2:17" s="192" customFormat="1" ht="12.75" hidden="1" outlineLevel="1">
      <c r="B40" s="147" t="s">
        <v>721</v>
      </c>
      <c r="C40" s="133"/>
      <c r="D40" s="133">
        <v>54990</v>
      </c>
      <c r="E40" s="133">
        <v>49879</v>
      </c>
      <c r="F40" s="133">
        <v>44714</v>
      </c>
      <c r="G40" s="133"/>
      <c r="H40" s="133">
        <v>39000</v>
      </c>
      <c r="I40" s="133">
        <v>34000</v>
      </c>
      <c r="J40" s="133">
        <v>29000</v>
      </c>
      <c r="K40" s="133">
        <v>24000</v>
      </c>
      <c r="L40" s="133">
        <v>19000</v>
      </c>
      <c r="M40" s="216"/>
      <c r="N40" s="216"/>
      <c r="O40" s="216"/>
      <c r="Q40" s="217"/>
    </row>
    <row r="41" spans="2:17" s="192" customFormat="1" ht="12.75" hidden="1" outlineLevel="1">
      <c r="B41" s="147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216"/>
      <c r="N41" s="216"/>
      <c r="O41" s="216"/>
      <c r="Q41" s="217"/>
    </row>
    <row r="42" spans="2:17" collapsed="1">
      <c r="B42" s="131" t="s">
        <v>214</v>
      </c>
      <c r="C42" s="132">
        <f t="shared" ref="C42:L42" si="11">SUM(C43:C44)</f>
        <v>0</v>
      </c>
      <c r="D42" s="132">
        <f t="shared" si="11"/>
        <v>23791</v>
      </c>
      <c r="E42" s="132">
        <f t="shared" si="11"/>
        <v>64354</v>
      </c>
      <c r="F42" s="132">
        <f t="shared" si="11"/>
        <v>67938</v>
      </c>
      <c r="G42" s="132"/>
      <c r="H42" s="132">
        <f t="shared" si="11"/>
        <v>67938</v>
      </c>
      <c r="I42" s="132">
        <f t="shared" si="11"/>
        <v>67938</v>
      </c>
      <c r="J42" s="132">
        <f t="shared" si="11"/>
        <v>67938</v>
      </c>
      <c r="K42" s="132">
        <f t="shared" si="11"/>
        <v>67938</v>
      </c>
      <c r="L42" s="132">
        <f t="shared" si="11"/>
        <v>67938</v>
      </c>
      <c r="M42" s="189"/>
      <c r="N42" s="189"/>
      <c r="O42" s="189"/>
    </row>
    <row r="43" spans="2:17" s="192" customFormat="1" ht="12.75" hidden="1" outlineLevel="1">
      <c r="B43" s="147" t="s">
        <v>722</v>
      </c>
      <c r="C43" s="133"/>
      <c r="D43" s="133">
        <v>23791</v>
      </c>
      <c r="E43" s="133">
        <v>64354</v>
      </c>
      <c r="F43" s="133">
        <v>67938</v>
      </c>
      <c r="G43" s="133"/>
      <c r="H43" s="133">
        <f>F43</f>
        <v>67938</v>
      </c>
      <c r="I43" s="133">
        <f>H43</f>
        <v>67938</v>
      </c>
      <c r="J43" s="133">
        <f t="shared" ref="J43:L43" si="12">I43</f>
        <v>67938</v>
      </c>
      <c r="K43" s="133">
        <f t="shared" si="12"/>
        <v>67938</v>
      </c>
      <c r="L43" s="133">
        <f t="shared" si="12"/>
        <v>67938</v>
      </c>
      <c r="M43" s="216"/>
      <c r="N43" s="216"/>
      <c r="O43" s="216"/>
      <c r="Q43" s="217"/>
    </row>
    <row r="44" spans="2:17" collapsed="1">
      <c r="B44" s="147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211"/>
    </row>
    <row r="45" spans="2:17">
      <c r="B45" s="130" t="s">
        <v>215</v>
      </c>
      <c r="C45" s="128">
        <f t="shared" ref="C45:L45" si="13">SUM(C46:C52)</f>
        <v>0</v>
      </c>
      <c r="D45" s="128">
        <f t="shared" si="13"/>
        <v>1869</v>
      </c>
      <c r="E45" s="128">
        <f t="shared" si="13"/>
        <v>2015</v>
      </c>
      <c r="F45" s="128">
        <f t="shared" si="13"/>
        <v>2938</v>
      </c>
      <c r="G45" s="128"/>
      <c r="H45" s="128">
        <f t="shared" si="13"/>
        <v>2938</v>
      </c>
      <c r="I45" s="128">
        <f>SUM(I46:I51)</f>
        <v>2938</v>
      </c>
      <c r="J45" s="128">
        <f t="shared" si="13"/>
        <v>2938</v>
      </c>
      <c r="K45" s="128">
        <f t="shared" si="13"/>
        <v>2938</v>
      </c>
      <c r="L45" s="128">
        <f t="shared" si="13"/>
        <v>2938</v>
      </c>
      <c r="M45" s="187"/>
      <c r="N45" s="187"/>
      <c r="O45" s="187"/>
    </row>
    <row r="46" spans="2:17">
      <c r="B46" s="131" t="s">
        <v>216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4"/>
      <c r="N46" s="134"/>
      <c r="O46" s="134"/>
    </row>
    <row r="47" spans="2:17">
      <c r="B47" s="131" t="s">
        <v>44</v>
      </c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4"/>
      <c r="N47" s="134"/>
      <c r="O47" s="134"/>
    </row>
    <row r="48" spans="2:17">
      <c r="B48" s="131" t="s">
        <v>217</v>
      </c>
      <c r="C48" s="132"/>
      <c r="D48" s="132">
        <v>1869</v>
      </c>
      <c r="E48" s="132">
        <v>2015</v>
      </c>
      <c r="F48" s="132">
        <v>2938</v>
      </c>
      <c r="G48" s="132"/>
      <c r="H48" s="132">
        <f>F48</f>
        <v>2938</v>
      </c>
      <c r="I48" s="132">
        <f>H48</f>
        <v>2938</v>
      </c>
      <c r="J48" s="132">
        <f>I48</f>
        <v>2938</v>
      </c>
      <c r="K48" s="132">
        <f>J48</f>
        <v>2938</v>
      </c>
      <c r="L48" s="132">
        <f>K48</f>
        <v>2938</v>
      </c>
      <c r="M48" s="134"/>
      <c r="N48" s="134"/>
      <c r="O48" s="134"/>
    </row>
    <row r="49" spans="1:42">
      <c r="B49" s="131" t="s">
        <v>222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4"/>
      <c r="N49" s="134"/>
      <c r="O49" s="134"/>
    </row>
    <row r="50" spans="1:42">
      <c r="B50" s="131" t="s">
        <v>218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4"/>
      <c r="N50" s="134"/>
      <c r="O50" s="134"/>
    </row>
    <row r="51" spans="1:42">
      <c r="B51" s="131" t="s">
        <v>219</v>
      </c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4"/>
      <c r="N51" s="134"/>
      <c r="O51" s="134"/>
    </row>
    <row r="52" spans="1:42">
      <c r="B52" s="131"/>
      <c r="C52" s="135"/>
      <c r="D52" s="135"/>
      <c r="E52" s="135"/>
      <c r="F52" s="135"/>
      <c r="G52" s="135"/>
      <c r="H52" s="135"/>
      <c r="I52" s="135"/>
      <c r="J52" s="135"/>
      <c r="K52" s="135"/>
      <c r="L52" s="135"/>
    </row>
    <row r="53" spans="1:42">
      <c r="B53" s="130" t="s">
        <v>188</v>
      </c>
      <c r="C53" s="132"/>
      <c r="D53" s="135"/>
      <c r="E53" s="132"/>
      <c r="F53" s="132">
        <v>-1</v>
      </c>
      <c r="G53" s="132"/>
      <c r="H53" s="132"/>
      <c r="I53" s="132"/>
      <c r="J53" s="132"/>
      <c r="K53" s="132"/>
      <c r="L53" s="132"/>
    </row>
    <row r="54" spans="1:42">
      <c r="B54" s="130"/>
      <c r="C54" s="135"/>
      <c r="D54" s="135"/>
      <c r="E54" s="135"/>
      <c r="F54" s="135"/>
      <c r="G54" s="135"/>
      <c r="H54" s="135"/>
      <c r="I54" s="135"/>
      <c r="J54" s="135"/>
      <c r="K54" s="135"/>
      <c r="L54" s="135"/>
    </row>
    <row r="55" spans="1:42">
      <c r="B55" s="139" t="s">
        <v>220</v>
      </c>
      <c r="C55" s="140">
        <f t="shared" ref="C55:L55" si="14">+C25+C33+C37+C45+C53</f>
        <v>0</v>
      </c>
      <c r="D55" s="140">
        <f t="shared" si="14"/>
        <v>122786</v>
      </c>
      <c r="E55" s="140">
        <f t="shared" si="14"/>
        <v>159994</v>
      </c>
      <c r="F55" s="140">
        <f t="shared" si="14"/>
        <v>167460</v>
      </c>
      <c r="G55" s="271"/>
      <c r="H55" s="140">
        <f t="shared" si="14"/>
        <v>169872</v>
      </c>
      <c r="I55" s="140">
        <f t="shared" si="14"/>
        <v>172997</v>
      </c>
      <c r="J55" s="140">
        <f t="shared" si="14"/>
        <v>176122</v>
      </c>
      <c r="K55" s="140">
        <f t="shared" si="14"/>
        <v>179247</v>
      </c>
      <c r="L55" s="140">
        <f t="shared" si="14"/>
        <v>182372</v>
      </c>
    </row>
    <row r="56" spans="1:42">
      <c r="B56" s="141"/>
      <c r="C56" s="135"/>
      <c r="D56" s="135"/>
      <c r="E56" s="135"/>
      <c r="F56" s="135"/>
      <c r="G56" s="135"/>
      <c r="H56" s="135"/>
      <c r="I56" s="135"/>
      <c r="J56" s="135"/>
      <c r="K56" s="135"/>
      <c r="L56" s="135"/>
    </row>
    <row r="57" spans="1:42">
      <c r="B57" s="143" t="s">
        <v>221</v>
      </c>
      <c r="C57" s="144" t="str">
        <f t="shared" ref="C57:L57" si="15">IF(ABS(C55-C23)&lt;2,"Equilibré","Erreur")</f>
        <v>Equilibré</v>
      </c>
      <c r="D57" s="144" t="str">
        <f t="shared" si="15"/>
        <v>Equilibré</v>
      </c>
      <c r="E57" s="144" t="str">
        <f t="shared" si="15"/>
        <v>Equilibré</v>
      </c>
      <c r="F57" s="144" t="str">
        <f t="shared" si="15"/>
        <v>Equilibré</v>
      </c>
      <c r="G57" s="252"/>
      <c r="H57" s="144" t="str">
        <f t="shared" si="15"/>
        <v>Equilibré</v>
      </c>
      <c r="I57" s="144" t="str">
        <f t="shared" si="15"/>
        <v>Equilibré</v>
      </c>
      <c r="J57" s="144" t="str">
        <f t="shared" si="15"/>
        <v>Equilibré</v>
      </c>
      <c r="K57" s="144" t="str">
        <f t="shared" si="15"/>
        <v>Equilibré</v>
      </c>
      <c r="L57" s="144" t="str">
        <f t="shared" si="15"/>
        <v>Equilibré</v>
      </c>
    </row>
    <row r="59" spans="1:42" s="32" customFormat="1">
      <c r="A59" s="83"/>
      <c r="B59" s="13" t="s">
        <v>68</v>
      </c>
      <c r="C59" s="14"/>
      <c r="D59" s="14"/>
      <c r="E59" s="14"/>
      <c r="F59" s="14"/>
      <c r="G59" s="52"/>
      <c r="H59" s="14"/>
      <c r="I59" s="14"/>
      <c r="J59" s="14"/>
      <c r="K59" s="14"/>
      <c r="L59" s="14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</row>
    <row r="60" spans="1:42" s="32" customFormat="1">
      <c r="A60" s="83"/>
      <c r="B60" s="15" t="s">
        <v>42</v>
      </c>
      <c r="C60" s="23"/>
      <c r="D60" s="23"/>
      <c r="E60" s="23"/>
      <c r="F60" s="23"/>
      <c r="G60" s="272"/>
      <c r="H60" s="23"/>
      <c r="I60" s="23"/>
      <c r="J60" s="23"/>
      <c r="K60" s="23"/>
      <c r="L60" s="2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</row>
    <row r="61" spans="1:42" s="32" customFormat="1">
      <c r="A61" s="83"/>
      <c r="B61" s="15" t="s">
        <v>69</v>
      </c>
      <c r="C61" s="23"/>
      <c r="D61" s="23"/>
      <c r="E61" s="23"/>
      <c r="F61" s="23"/>
      <c r="G61" s="272"/>
      <c r="H61" s="23"/>
      <c r="I61" s="23"/>
      <c r="J61" s="23"/>
      <c r="K61" s="23"/>
      <c r="L61" s="2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 s="32" customFormat="1">
      <c r="A62" s="83"/>
      <c r="B62" s="15" t="s">
        <v>70</v>
      </c>
      <c r="C62" s="23"/>
      <c r="D62" s="23"/>
      <c r="E62" s="23"/>
      <c r="F62" s="23"/>
      <c r="G62" s="272"/>
      <c r="H62" s="23"/>
      <c r="I62" s="23"/>
      <c r="J62" s="23"/>
      <c r="K62" s="23"/>
      <c r="L62" s="2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</row>
    <row r="63" spans="1:42">
      <c r="B63" s="24" t="s">
        <v>71</v>
      </c>
      <c r="C63" s="23"/>
      <c r="D63" s="23"/>
      <c r="E63" s="23"/>
      <c r="F63" s="23"/>
      <c r="G63" s="272"/>
      <c r="H63" s="23"/>
      <c r="I63" s="23"/>
      <c r="J63" s="23"/>
      <c r="K63" s="23"/>
      <c r="L63" s="23"/>
    </row>
    <row r="64" spans="1:42">
      <c r="B64" s="25" t="s">
        <v>50</v>
      </c>
      <c r="C64" s="26"/>
      <c r="D64" s="26"/>
      <c r="E64" s="26"/>
      <c r="F64" s="26"/>
      <c r="G64" s="280"/>
      <c r="H64" s="26"/>
      <c r="I64" s="26"/>
      <c r="J64" s="26"/>
      <c r="K64" s="26"/>
      <c r="L64" s="26"/>
    </row>
    <row r="65" spans="2:12">
      <c r="B65" s="25" t="s">
        <v>72</v>
      </c>
      <c r="C65" s="27"/>
      <c r="D65" s="27"/>
      <c r="E65" s="27"/>
      <c r="F65" s="27"/>
      <c r="G65" s="281"/>
      <c r="H65" s="27"/>
      <c r="I65" s="27"/>
      <c r="J65" s="27"/>
      <c r="K65" s="27"/>
      <c r="L65" s="27"/>
    </row>
    <row r="66" spans="2:12">
      <c r="B66" s="28" t="s">
        <v>73</v>
      </c>
      <c r="C66" s="29"/>
      <c r="D66" s="29"/>
      <c r="E66" s="29"/>
      <c r="F66" s="29"/>
      <c r="G66" s="282"/>
      <c r="H66" s="29"/>
      <c r="I66" s="29"/>
      <c r="J66" s="29"/>
      <c r="K66" s="29"/>
      <c r="L66" s="29"/>
    </row>
    <row r="67" spans="2:12">
      <c r="B67" s="17" t="s">
        <v>74</v>
      </c>
      <c r="C67" s="30"/>
      <c r="D67" s="30"/>
      <c r="E67" s="30"/>
      <c r="F67" s="30"/>
      <c r="G67" s="282"/>
      <c r="H67" s="30"/>
      <c r="I67" s="30"/>
      <c r="J67" s="30"/>
      <c r="K67" s="30"/>
      <c r="L67" s="30"/>
    </row>
    <row r="69" spans="2:12">
      <c r="I69" s="146"/>
    </row>
    <row r="70" spans="2:12">
      <c r="C70" s="146"/>
      <c r="D70" s="146"/>
      <c r="E70" s="146"/>
      <c r="F70" s="146"/>
      <c r="G70" s="146"/>
    </row>
    <row r="71" spans="2:12">
      <c r="D71" s="146"/>
      <c r="E71" s="146"/>
      <c r="F71" s="146"/>
      <c r="G71" s="146"/>
    </row>
  </sheetData>
  <mergeCells count="1">
    <mergeCell ref="B2:B4"/>
  </mergeCells>
  <conditionalFormatting sqref="C57:L57">
    <cfRule type="containsText" dxfId="47" priority="1" operator="containsText" text="Equilibré">
      <formula>NOT(ISERROR(SEARCH("Equilibré",C57)))</formula>
    </cfRule>
    <cfRule type="containsText" dxfId="46" priority="2" operator="containsText" text="Erreur">
      <formula>NOT(ISERROR(SEARCH("Erreur",C57)))</formula>
    </cfRule>
    <cfRule type="containsText" dxfId="45" priority="3" operator="containsText" text="Validé">
      <formula>NOT(ISERROR(SEARCH("Validé",C57)))</formula>
    </cfRule>
    <cfRule type="containsText" dxfId="44" priority="4" operator="containsText" text="Erreur">
      <formula>NOT(ISERROR(SEARCH("Erreur",C57)))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02D04-3636-FC44-8FF8-C966E18E5AED}">
  <sheetPr codeName="Feuil57">
    <tabColor rgb="FF006C4C"/>
  </sheetPr>
  <dimension ref="A1:AQ141"/>
  <sheetViews>
    <sheetView showGridLines="0" zoomScale="85" zoomScaleNormal="85" workbookViewId="0">
      <pane xSplit="2" ySplit="5" topLeftCell="D6" activePane="bottomRight" state="frozen"/>
      <selection pane="topRight" activeCell="C1" sqref="C1"/>
      <selection pane="bottomLeft" activeCell="A5" sqref="A5"/>
      <selection pane="bottomRight" activeCell="M63" sqref="M63"/>
    </sheetView>
  </sheetViews>
  <sheetFormatPr baseColWidth="10" defaultColWidth="10.7109375" defaultRowHeight="15" outlineLevelRow="2"/>
  <cols>
    <col min="1" max="1" width="2.7109375" style="32" customWidth="1"/>
    <col min="2" max="2" width="41.42578125" style="32" customWidth="1"/>
    <col min="3" max="12" width="15.7109375" style="32" customWidth="1"/>
    <col min="13" max="13" width="10.7109375" style="32"/>
    <col min="14" max="14" width="11.28515625" style="32" bestFit="1" customWidth="1"/>
    <col min="15" max="16384" width="10.7109375" style="32"/>
  </cols>
  <sheetData>
    <row r="1" spans="1:43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</row>
    <row r="2" spans="1:43" ht="15.75">
      <c r="A2" s="83"/>
      <c r="B2" s="84" t="s">
        <v>0</v>
      </c>
      <c r="C2" s="84"/>
      <c r="D2" s="84"/>
      <c r="E2" s="84"/>
      <c r="F2" s="84"/>
      <c r="G2" s="245"/>
      <c r="H2" s="84"/>
      <c r="I2" s="84"/>
      <c r="J2" s="84"/>
      <c r="K2" s="84"/>
      <c r="L2" s="247" t="s">
        <v>916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</row>
    <row r="3" spans="1:43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246"/>
      <c r="H3" s="181" t="s">
        <v>260</v>
      </c>
      <c r="I3" s="181" t="s">
        <v>260</v>
      </c>
      <c r="J3" s="181" t="s">
        <v>260</v>
      </c>
      <c r="K3" s="181" t="s">
        <v>260</v>
      </c>
      <c r="L3" s="181" t="s">
        <v>260</v>
      </c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</row>
    <row r="4" spans="1:43" ht="15.75">
      <c r="A4" s="83"/>
      <c r="B4" s="85"/>
      <c r="C4" s="54">
        <v>44196</v>
      </c>
      <c r="D4" s="54">
        <v>44561</v>
      </c>
      <c r="E4" s="54">
        <v>44926</v>
      </c>
      <c r="F4" s="54">
        <v>45291</v>
      </c>
      <c r="G4" s="54"/>
      <c r="H4" s="250">
        <v>45657</v>
      </c>
      <c r="I4" s="250">
        <v>46022</v>
      </c>
      <c r="J4" s="250">
        <v>46387</v>
      </c>
      <c r="K4" s="250">
        <v>46752</v>
      </c>
      <c r="L4" s="250">
        <v>47118</v>
      </c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</row>
    <row r="5" spans="1:43" ht="15.75">
      <c r="A5" s="83"/>
      <c r="B5" s="86" t="s">
        <v>114</v>
      </c>
      <c r="C5" s="87" t="s">
        <v>3</v>
      </c>
      <c r="D5" s="87" t="s">
        <v>3</v>
      </c>
      <c r="E5" s="87" t="s">
        <v>3</v>
      </c>
      <c r="F5" s="87" t="s">
        <v>3</v>
      </c>
      <c r="G5" s="274"/>
      <c r="H5" s="87" t="s">
        <v>3</v>
      </c>
      <c r="I5" s="87" t="s">
        <v>3</v>
      </c>
      <c r="J5" s="87" t="s">
        <v>3</v>
      </c>
      <c r="K5" s="87" t="s">
        <v>3</v>
      </c>
      <c r="L5" s="87" t="s">
        <v>3</v>
      </c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</row>
    <row r="6" spans="1:43" ht="15.75">
      <c r="A6" s="83"/>
      <c r="B6" s="83" t="s">
        <v>164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</row>
    <row r="7" spans="1:43" ht="15.75">
      <c r="A7" s="83"/>
      <c r="B7" s="83" t="s">
        <v>165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</row>
    <row r="8" spans="1:43" ht="15.75">
      <c r="A8" s="83"/>
      <c r="B8" s="83" t="s">
        <v>166</v>
      </c>
      <c r="C8" s="88">
        <f>SUM(C9:C12)</f>
        <v>0</v>
      </c>
      <c r="D8" s="88">
        <f>SUM(D9:D12)</f>
        <v>0</v>
      </c>
      <c r="E8" s="88">
        <f>SUM(E9:E12)</f>
        <v>0</v>
      </c>
      <c r="F8" s="88">
        <f>SUM(F9:F12)</f>
        <v>0</v>
      </c>
      <c r="G8" s="88"/>
      <c r="H8" s="88">
        <f t="shared" ref="H8:L8" si="0">SUM(H9:H12)</f>
        <v>0</v>
      </c>
      <c r="I8" s="88">
        <f t="shared" si="0"/>
        <v>0</v>
      </c>
      <c r="J8" s="88">
        <f t="shared" si="0"/>
        <v>280000</v>
      </c>
      <c r="K8" s="88">
        <f t="shared" si="0"/>
        <v>280000</v>
      </c>
      <c r="L8" s="88">
        <f t="shared" si="0"/>
        <v>280000</v>
      </c>
      <c r="M8" s="83"/>
      <c r="N8" s="314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</row>
    <row r="9" spans="1:43" ht="15.75" hidden="1" outlineLevel="2">
      <c r="A9" s="83"/>
      <c r="B9" s="106" t="s">
        <v>917</v>
      </c>
      <c r="C9" s="95"/>
      <c r="D9" s="95"/>
      <c r="E9" s="95"/>
      <c r="F9" s="95"/>
      <c r="G9" s="95"/>
      <c r="H9" s="95"/>
      <c r="I9" s="95"/>
      <c r="J9" s="95">
        <v>196000</v>
      </c>
      <c r="K9" s="95">
        <v>196000</v>
      </c>
      <c r="L9" s="95">
        <v>196000</v>
      </c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</row>
    <row r="10" spans="1:43" ht="15.75" hidden="1" outlineLevel="2">
      <c r="A10" s="83"/>
      <c r="B10" s="106" t="s">
        <v>918</v>
      </c>
      <c r="C10" s="95"/>
      <c r="D10" s="95"/>
      <c r="E10" s="95"/>
      <c r="F10" s="95"/>
      <c r="G10" s="95"/>
      <c r="H10" s="95"/>
      <c r="I10" s="95"/>
      <c r="J10" s="95">
        <v>60000</v>
      </c>
      <c r="K10" s="95">
        <v>60000</v>
      </c>
      <c r="L10" s="95">
        <v>60000</v>
      </c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</row>
    <row r="11" spans="1:43" ht="15.75" hidden="1" outlineLevel="2">
      <c r="A11" s="83"/>
      <c r="B11" s="243" t="s">
        <v>919</v>
      </c>
      <c r="C11" s="95"/>
      <c r="D11" s="95"/>
      <c r="E11" s="95"/>
      <c r="F11" s="95"/>
      <c r="G11" s="95"/>
      <c r="H11" s="95"/>
      <c r="I11" s="95"/>
      <c r="J11" s="95">
        <v>24000</v>
      </c>
      <c r="K11" s="95">
        <v>24000</v>
      </c>
      <c r="L11" s="95">
        <v>24000</v>
      </c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</row>
    <row r="12" spans="1:43" ht="15.75" hidden="1" outlineLevel="2">
      <c r="A12" s="83"/>
      <c r="B12" s="106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</row>
    <row r="13" spans="1:43" ht="15.75" collapsed="1">
      <c r="A13" s="83"/>
      <c r="B13" s="98" t="s">
        <v>7</v>
      </c>
      <c r="C13" s="99">
        <f>C6+C8+C7</f>
        <v>0</v>
      </c>
      <c r="D13" s="99">
        <f>D6+D8+D7</f>
        <v>0</v>
      </c>
      <c r="E13" s="99">
        <f>E6+E8+E7</f>
        <v>0</v>
      </c>
      <c r="F13" s="99">
        <f>F6+F8+F7</f>
        <v>0</v>
      </c>
      <c r="G13" s="275"/>
      <c r="H13" s="99">
        <f>H6+H8+H7</f>
        <v>0</v>
      </c>
      <c r="I13" s="99">
        <f>I6+I8+I7</f>
        <v>0</v>
      </c>
      <c r="J13" s="99">
        <f>J6+J8+J7</f>
        <v>280000</v>
      </c>
      <c r="K13" s="99">
        <f>K6+K8+K7</f>
        <v>280000</v>
      </c>
      <c r="L13" s="99">
        <f>L6+L8+L7</f>
        <v>280000</v>
      </c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</row>
    <row r="14" spans="1:43" ht="15.75">
      <c r="A14" s="83"/>
      <c r="B14" s="97" t="s">
        <v>8</v>
      </c>
      <c r="C14" s="89">
        <v>0</v>
      </c>
      <c r="D14" s="89">
        <v>0</v>
      </c>
      <c r="E14" s="89">
        <v>0</v>
      </c>
      <c r="F14" s="89">
        <v>0</v>
      </c>
      <c r="G14" s="89"/>
      <c r="H14" s="89"/>
      <c r="I14" s="89"/>
      <c r="J14" s="89"/>
      <c r="K14" s="89"/>
      <c r="L14" s="89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</row>
    <row r="15" spans="1:43" ht="15.75">
      <c r="A15" s="83"/>
      <c r="B15" s="97" t="s">
        <v>9</v>
      </c>
      <c r="C15" s="169">
        <f>'Probois 43'!C10</f>
        <v>0</v>
      </c>
      <c r="D15" s="169">
        <f>'Probois 43'!D10</f>
        <v>0</v>
      </c>
      <c r="E15" s="169">
        <f>'Probois 43'!E10</f>
        <v>0</v>
      </c>
      <c r="F15" s="169">
        <f>'Probois 43'!F10</f>
        <v>0</v>
      </c>
      <c r="G15" s="169"/>
      <c r="H15" s="169"/>
      <c r="I15" s="169"/>
      <c r="J15" s="169"/>
      <c r="K15" s="169"/>
      <c r="L15" s="169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</row>
    <row r="16" spans="1:43" ht="15.75">
      <c r="A16" s="83"/>
      <c r="B16" s="100" t="s">
        <v>14</v>
      </c>
      <c r="C16" s="99">
        <f>C13+C14+C15</f>
        <v>0</v>
      </c>
      <c r="D16" s="99">
        <f>D13+D14+D15</f>
        <v>0</v>
      </c>
      <c r="E16" s="99">
        <f>E13+E14+E15</f>
        <v>0</v>
      </c>
      <c r="F16" s="99">
        <f>F13+F14+F15</f>
        <v>0</v>
      </c>
      <c r="G16" s="275"/>
      <c r="H16" s="99">
        <f t="shared" ref="H16:L16" si="1">H13+H14+H15</f>
        <v>0</v>
      </c>
      <c r="I16" s="99">
        <f t="shared" si="1"/>
        <v>0</v>
      </c>
      <c r="J16" s="99">
        <f t="shared" si="1"/>
        <v>280000</v>
      </c>
      <c r="K16" s="99">
        <f t="shared" si="1"/>
        <v>280000</v>
      </c>
      <c r="L16" s="99">
        <f t="shared" si="1"/>
        <v>280000</v>
      </c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</row>
    <row r="17" spans="1:43" ht="16.5" thickBot="1">
      <c r="A17" s="83"/>
      <c r="B17" s="101" t="s">
        <v>106</v>
      </c>
      <c r="C17" s="102" t="e">
        <f>C16/C16</f>
        <v>#DIV/0!</v>
      </c>
      <c r="D17" s="102" t="e">
        <f t="shared" ref="D17:F17" si="2">D16/D16</f>
        <v>#DIV/0!</v>
      </c>
      <c r="E17" s="102" t="e">
        <f t="shared" si="2"/>
        <v>#DIV/0!</v>
      </c>
      <c r="F17" s="102" t="e">
        <f t="shared" si="2"/>
        <v>#DIV/0!</v>
      </c>
      <c r="G17" s="276"/>
      <c r="H17" s="102" t="e">
        <f t="shared" ref="H17:L17" si="3">H16/H16</f>
        <v>#DIV/0!</v>
      </c>
      <c r="I17" s="102" t="e">
        <f t="shared" si="3"/>
        <v>#DIV/0!</v>
      </c>
      <c r="J17" s="102">
        <f t="shared" si="3"/>
        <v>1</v>
      </c>
      <c r="K17" s="102">
        <f t="shared" si="3"/>
        <v>1</v>
      </c>
      <c r="L17" s="102">
        <f t="shared" si="3"/>
        <v>1</v>
      </c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</row>
    <row r="18" spans="1:43" ht="15.75" collapsed="1">
      <c r="A18" s="83"/>
      <c r="B18" s="103" t="s">
        <v>167</v>
      </c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</row>
    <row r="19" spans="1:43" ht="15.75">
      <c r="A19" s="83"/>
      <c r="B19" s="103" t="s">
        <v>168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</row>
    <row r="20" spans="1:43" ht="15.75">
      <c r="A20" s="83"/>
      <c r="B20" s="83" t="s">
        <v>190</v>
      </c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</row>
    <row r="21" spans="1:43" ht="15.75">
      <c r="A21" s="107"/>
      <c r="B21" s="108" t="s">
        <v>169</v>
      </c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8"/>
      <c r="N21" s="108"/>
      <c r="O21" s="109"/>
      <c r="P21" s="109"/>
      <c r="Q21" s="109"/>
      <c r="R21" s="109"/>
      <c r="S21" s="109"/>
      <c r="T21" s="109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</row>
    <row r="22" spans="1:43" ht="15.75">
      <c r="A22" s="83"/>
      <c r="B22" s="100" t="s">
        <v>16</v>
      </c>
      <c r="C22" s="99">
        <f>C16+C18+C19+C20+C21</f>
        <v>0</v>
      </c>
      <c r="D22" s="99">
        <f>D16+D18+D19+D20+D21</f>
        <v>0</v>
      </c>
      <c r="E22" s="99">
        <f>E16+E18+E19+E20+E21</f>
        <v>0</v>
      </c>
      <c r="F22" s="99">
        <f>F16+F18+F19+F20+F21</f>
        <v>0</v>
      </c>
      <c r="G22" s="275"/>
      <c r="H22" s="99">
        <f t="shared" ref="H22:L22" si="4">H16+H18+H19+H20+H21</f>
        <v>0</v>
      </c>
      <c r="I22" s="99">
        <f t="shared" si="4"/>
        <v>0</v>
      </c>
      <c r="J22" s="99">
        <f t="shared" si="4"/>
        <v>280000</v>
      </c>
      <c r="K22" s="99">
        <f t="shared" si="4"/>
        <v>280000</v>
      </c>
      <c r="L22" s="99">
        <f t="shared" si="4"/>
        <v>280000</v>
      </c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</row>
    <row r="23" spans="1:43" ht="16.5" thickBot="1">
      <c r="A23" s="107"/>
      <c r="B23" s="101" t="s">
        <v>106</v>
      </c>
      <c r="C23" s="102" t="e">
        <f>C22/C16</f>
        <v>#DIV/0!</v>
      </c>
      <c r="D23" s="102" t="e">
        <f>D22/D16</f>
        <v>#DIV/0!</v>
      </c>
      <c r="E23" s="102" t="e">
        <f>E22/E16</f>
        <v>#DIV/0!</v>
      </c>
      <c r="F23" s="102" t="e">
        <f>F22/F16</f>
        <v>#DIV/0!</v>
      </c>
      <c r="G23" s="276"/>
      <c r="H23" s="102" t="e">
        <f t="shared" ref="H23:L23" si="5">H22/H16</f>
        <v>#DIV/0!</v>
      </c>
      <c r="I23" s="102" t="e">
        <f t="shared" si="5"/>
        <v>#DIV/0!</v>
      </c>
      <c r="J23" s="102">
        <f t="shared" si="5"/>
        <v>1</v>
      </c>
      <c r="K23" s="102">
        <f t="shared" si="5"/>
        <v>1</v>
      </c>
      <c r="L23" s="102">
        <f t="shared" si="5"/>
        <v>1</v>
      </c>
      <c r="M23" s="108"/>
      <c r="N23" s="108"/>
      <c r="O23" s="109"/>
      <c r="P23" s="109"/>
      <c r="Q23" s="109"/>
      <c r="R23" s="109"/>
      <c r="S23" s="109"/>
      <c r="T23" s="109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</row>
    <row r="24" spans="1:43" ht="15.75">
      <c r="A24" s="107"/>
      <c r="B24" s="108" t="s">
        <v>170</v>
      </c>
      <c r="C24" s="104">
        <f>C26+C27+C28+C29+C30+C31+C32+C33+C36+C38+C39+C37</f>
        <v>0</v>
      </c>
      <c r="D24" s="104">
        <f>D26+D27+D28+D29+D30+D31+D32+D33+D36+D38+D39+D37</f>
        <v>0</v>
      </c>
      <c r="E24" s="104">
        <f>E26+E27+E28+E29+E30+E31+E32+E33+E36+E38+E39+E37</f>
        <v>0</v>
      </c>
      <c r="F24" s="104">
        <f>F26+F27+F28+F29+F30+F31+F32+F33+F36+F38+F39+F37</f>
        <v>0</v>
      </c>
      <c r="G24" s="104"/>
      <c r="H24" s="104">
        <f>H26+H27+H28+H29+H30+H31+H32+H33+H36+H38+H39+H37</f>
        <v>0</v>
      </c>
      <c r="I24" s="104">
        <f>I26+I27+I28+I29+I30+I31+I32+I33+I36+I38+I39+I37</f>
        <v>0</v>
      </c>
      <c r="J24" s="104">
        <f>J26+J27+J28+J29+J30+J31+J32+J33+J36+J38+J39+J37</f>
        <v>-4000</v>
      </c>
      <c r="K24" s="104">
        <f>K26+K27+K28+K29+K30+K31+K32+K33+K36+K38+K39+K37</f>
        <v>-4000</v>
      </c>
      <c r="L24" s="104">
        <f>L26+L27+L28+L29+L30+L31+L32+L33+L36+L38+L39+L37</f>
        <v>-4000</v>
      </c>
      <c r="M24" s="108"/>
      <c r="N24" s="108"/>
      <c r="O24" s="109"/>
      <c r="P24" s="109"/>
      <c r="Q24" s="109"/>
      <c r="R24" s="109"/>
      <c r="S24" s="109"/>
      <c r="T24" s="109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</row>
    <row r="25" spans="1:43" hidden="1" outlineLevel="1"/>
    <row r="26" spans="1:43" s="92" customFormat="1" ht="12.75" hidden="1" outlineLevel="1">
      <c r="A26" s="90"/>
      <c r="B26" s="105" t="s">
        <v>171</v>
      </c>
      <c r="C26" s="91">
        <v>0</v>
      </c>
      <c r="D26" s="91">
        <v>0</v>
      </c>
      <c r="E26" s="91">
        <v>0</v>
      </c>
      <c r="F26" s="91">
        <v>0</v>
      </c>
      <c r="G26" s="91"/>
      <c r="H26" s="91">
        <v>0</v>
      </c>
      <c r="I26" s="91">
        <v>0</v>
      </c>
      <c r="J26" s="91">
        <v>0</v>
      </c>
      <c r="K26" s="91">
        <v>0</v>
      </c>
      <c r="L26" s="91">
        <v>0</v>
      </c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</row>
    <row r="27" spans="1:43" s="92" customFormat="1" ht="12.75" hidden="1" outlineLevel="1">
      <c r="A27" s="90"/>
      <c r="B27" s="105" t="s">
        <v>172</v>
      </c>
      <c r="C27" s="91">
        <v>0</v>
      </c>
      <c r="D27" s="91">
        <v>0</v>
      </c>
      <c r="E27" s="91">
        <v>0</v>
      </c>
      <c r="F27" s="91">
        <v>0</v>
      </c>
      <c r="G27" s="91"/>
      <c r="H27" s="91">
        <v>0</v>
      </c>
      <c r="I27" s="91">
        <v>0</v>
      </c>
      <c r="J27" s="91">
        <v>0</v>
      </c>
      <c r="K27" s="91">
        <v>0</v>
      </c>
      <c r="L27" s="91">
        <v>0</v>
      </c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</row>
    <row r="28" spans="1:43" s="92" customFormat="1" ht="12.75" hidden="1" outlineLevel="1">
      <c r="A28" s="90"/>
      <c r="B28" s="105" t="s">
        <v>173</v>
      </c>
      <c r="C28" s="91">
        <v>0</v>
      </c>
      <c r="D28" s="91">
        <v>0</v>
      </c>
      <c r="E28" s="91">
        <v>0</v>
      </c>
      <c r="F28" s="91">
        <v>0</v>
      </c>
      <c r="G28" s="91"/>
      <c r="H28" s="91">
        <v>0</v>
      </c>
      <c r="I28" s="91">
        <v>0</v>
      </c>
      <c r="J28" s="91">
        <v>0</v>
      </c>
      <c r="K28" s="91">
        <v>0</v>
      </c>
      <c r="L28" s="91">
        <v>0</v>
      </c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</row>
    <row r="29" spans="1:43" s="92" customFormat="1" ht="12.75" hidden="1" outlineLevel="1">
      <c r="A29" s="90"/>
      <c r="B29" s="105" t="s">
        <v>174</v>
      </c>
      <c r="C29" s="91">
        <v>0</v>
      </c>
      <c r="D29" s="91">
        <v>0</v>
      </c>
      <c r="E29" s="91">
        <v>0</v>
      </c>
      <c r="F29" s="91">
        <v>0</v>
      </c>
      <c r="G29" s="91"/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</row>
    <row r="30" spans="1:43" s="92" customFormat="1" ht="12.75" hidden="1" outlineLevel="1">
      <c r="A30" s="90"/>
      <c r="B30" s="105" t="s">
        <v>175</v>
      </c>
      <c r="C30" s="91">
        <v>0</v>
      </c>
      <c r="D30" s="91">
        <v>0</v>
      </c>
      <c r="E30" s="91">
        <v>0</v>
      </c>
      <c r="F30" s="91">
        <v>0</v>
      </c>
      <c r="G30" s="91"/>
      <c r="H30" s="91">
        <v>0</v>
      </c>
      <c r="I30" s="91">
        <v>0</v>
      </c>
      <c r="J30" s="91">
        <v>0</v>
      </c>
      <c r="K30" s="91">
        <v>0</v>
      </c>
      <c r="L30" s="91">
        <v>0</v>
      </c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</row>
    <row r="31" spans="1:43" s="92" customFormat="1" ht="12.75" hidden="1" outlineLevel="1">
      <c r="A31" s="90"/>
      <c r="B31" s="105" t="s">
        <v>176</v>
      </c>
      <c r="C31" s="91">
        <v>0</v>
      </c>
      <c r="D31" s="91">
        <v>0</v>
      </c>
      <c r="E31" s="91">
        <v>0</v>
      </c>
      <c r="F31" s="91">
        <v>0</v>
      </c>
      <c r="G31" s="91"/>
      <c r="H31" s="91">
        <v>0</v>
      </c>
      <c r="I31" s="91">
        <v>0</v>
      </c>
      <c r="J31" s="91">
        <v>-2000</v>
      </c>
      <c r="K31" s="91">
        <v>-2000</v>
      </c>
      <c r="L31" s="91">
        <v>-2000</v>
      </c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</row>
    <row r="32" spans="1:43" s="92" customFormat="1" ht="12.75" hidden="1" outlineLevel="1">
      <c r="A32" s="90"/>
      <c r="B32" s="105" t="s">
        <v>177</v>
      </c>
      <c r="C32" s="91">
        <v>0</v>
      </c>
      <c r="D32" s="91">
        <v>0</v>
      </c>
      <c r="E32" s="91">
        <v>0</v>
      </c>
      <c r="F32" s="91">
        <v>0</v>
      </c>
      <c r="G32" s="91"/>
      <c r="H32" s="91">
        <v>0</v>
      </c>
      <c r="I32" s="91">
        <v>0</v>
      </c>
      <c r="J32" s="91">
        <v>0</v>
      </c>
      <c r="K32" s="91">
        <v>0</v>
      </c>
      <c r="L32" s="91">
        <v>0</v>
      </c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</row>
    <row r="33" spans="1:43" s="92" customFormat="1" ht="12.75" hidden="1" outlineLevel="1">
      <c r="A33" s="90"/>
      <c r="B33" s="105" t="s">
        <v>143</v>
      </c>
      <c r="C33" s="91">
        <f>SUM(C34:C35)</f>
        <v>0</v>
      </c>
      <c r="D33" s="91">
        <f>SUM(D34:D35)</f>
        <v>0</v>
      </c>
      <c r="E33" s="91">
        <f>SUM(E34:E35)</f>
        <v>0</v>
      </c>
      <c r="F33" s="91">
        <f>SUM(F34:F35)</f>
        <v>0</v>
      </c>
      <c r="G33" s="91"/>
      <c r="H33" s="91">
        <f>SUM(H34:H35)</f>
        <v>0</v>
      </c>
      <c r="I33" s="91">
        <f>SUM(I34:I35)</f>
        <v>0</v>
      </c>
      <c r="J33" s="91">
        <f>SUM(J34:J35)</f>
        <v>-1000</v>
      </c>
      <c r="K33" s="91">
        <f>SUM(K34:K35)</f>
        <v>-1000</v>
      </c>
      <c r="L33" s="91">
        <f>SUM(L34:L35)</f>
        <v>-1000</v>
      </c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</row>
    <row r="34" spans="1:43" ht="15.75" hidden="1" outlineLevel="2">
      <c r="A34" s="83"/>
      <c r="B34" s="106" t="s">
        <v>677</v>
      </c>
      <c r="C34" s="95"/>
      <c r="D34" s="95"/>
      <c r="E34" s="95"/>
      <c r="F34" s="95"/>
      <c r="G34" s="95"/>
      <c r="H34" s="95"/>
      <c r="I34" s="95"/>
      <c r="J34" s="95">
        <v>-1000</v>
      </c>
      <c r="K34" s="95">
        <v>-1000</v>
      </c>
      <c r="L34" s="95">
        <v>-1000</v>
      </c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</row>
    <row r="35" spans="1:43" ht="15.75" hidden="1" outlineLevel="2">
      <c r="A35" s="83"/>
      <c r="B35" s="106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</row>
    <row r="36" spans="1:43" s="92" customFormat="1" ht="12.75" hidden="1" outlineLevel="1" collapsed="1">
      <c r="A36" s="90"/>
      <c r="B36" s="105" t="s">
        <v>178</v>
      </c>
      <c r="C36" s="91">
        <v>0</v>
      </c>
      <c r="D36" s="91">
        <v>0</v>
      </c>
      <c r="E36" s="91">
        <v>0</v>
      </c>
      <c r="F36" s="91">
        <v>0</v>
      </c>
      <c r="G36" s="91"/>
      <c r="H36" s="91">
        <v>0</v>
      </c>
      <c r="I36" s="91">
        <v>0</v>
      </c>
      <c r="J36" s="91">
        <v>0</v>
      </c>
      <c r="K36" s="91">
        <v>0</v>
      </c>
      <c r="L36" s="91">
        <v>0</v>
      </c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</row>
    <row r="37" spans="1:43" s="92" customFormat="1" ht="12.75" hidden="1" outlineLevel="1">
      <c r="A37" s="90"/>
      <c r="B37" s="105" t="s">
        <v>590</v>
      </c>
      <c r="C37" s="91">
        <v>0</v>
      </c>
      <c r="D37" s="91">
        <v>0</v>
      </c>
      <c r="E37" s="91">
        <v>0</v>
      </c>
      <c r="F37" s="91">
        <v>0</v>
      </c>
      <c r="G37" s="91"/>
      <c r="H37" s="91">
        <v>0</v>
      </c>
      <c r="I37" s="91">
        <v>0</v>
      </c>
      <c r="J37" s="91">
        <v>0</v>
      </c>
      <c r="K37" s="91">
        <v>0</v>
      </c>
      <c r="L37" s="91">
        <v>0</v>
      </c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</row>
    <row r="38" spans="1:43" s="92" customFormat="1" ht="12.75" hidden="1" outlineLevel="1">
      <c r="A38" s="90"/>
      <c r="B38" s="105" t="s">
        <v>179</v>
      </c>
      <c r="C38" s="91">
        <v>0</v>
      </c>
      <c r="D38" s="91">
        <v>0</v>
      </c>
      <c r="E38" s="91">
        <v>0</v>
      </c>
      <c r="F38" s="91">
        <v>0</v>
      </c>
      <c r="G38" s="91"/>
      <c r="H38" s="91">
        <v>0</v>
      </c>
      <c r="I38" s="91">
        <v>0</v>
      </c>
      <c r="J38" s="91">
        <v>0</v>
      </c>
      <c r="K38" s="91">
        <v>0</v>
      </c>
      <c r="L38" s="91">
        <v>0</v>
      </c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</row>
    <row r="39" spans="1:43" s="92" customFormat="1" ht="12.75" hidden="1" outlineLevel="1">
      <c r="A39" s="90"/>
      <c r="B39" s="105" t="s">
        <v>180</v>
      </c>
      <c r="C39" s="91">
        <f>SUM(C40:C42)</f>
        <v>0</v>
      </c>
      <c r="D39" s="91">
        <f>SUM(D40:D42)</f>
        <v>0</v>
      </c>
      <c r="E39" s="91">
        <f>SUM(E40:E42)</f>
        <v>0</v>
      </c>
      <c r="F39" s="91">
        <f>SUM(F40:F42)</f>
        <v>0</v>
      </c>
      <c r="G39" s="91"/>
      <c r="H39" s="91">
        <f t="shared" ref="H39:L39" si="6">SUM(H40:H42)</f>
        <v>0</v>
      </c>
      <c r="I39" s="91">
        <f t="shared" si="6"/>
        <v>0</v>
      </c>
      <c r="J39" s="91">
        <f t="shared" si="6"/>
        <v>-1000</v>
      </c>
      <c r="K39" s="91">
        <f t="shared" si="6"/>
        <v>-1000</v>
      </c>
      <c r="L39" s="91">
        <f t="shared" si="6"/>
        <v>-1000</v>
      </c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</row>
    <row r="40" spans="1:43" ht="15.75" hidden="1" outlineLevel="2">
      <c r="A40" s="83"/>
      <c r="B40" s="106" t="s">
        <v>145</v>
      </c>
      <c r="C40" s="95"/>
      <c r="D40" s="95"/>
      <c r="E40" s="95"/>
      <c r="F40" s="95"/>
      <c r="G40" s="95"/>
      <c r="H40" s="95"/>
      <c r="I40" s="95"/>
      <c r="J40" s="95">
        <v>-1000</v>
      </c>
      <c r="K40" s="95">
        <v>-1000</v>
      </c>
      <c r="L40" s="95">
        <v>-1000</v>
      </c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43" ht="15.75" hidden="1" outlineLevel="2">
      <c r="A41" s="83"/>
      <c r="B41" s="106" t="s">
        <v>681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</row>
    <row r="42" spans="1:43" ht="15.75" hidden="1" outlineLevel="1" collapsed="1">
      <c r="A42" s="83"/>
      <c r="B42" s="243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</row>
    <row r="43" spans="1:43" ht="15.75" collapsed="1">
      <c r="A43" s="83"/>
      <c r="B43" s="100" t="s">
        <v>181</v>
      </c>
      <c r="C43" s="110">
        <f>C22+C24</f>
        <v>0</v>
      </c>
      <c r="D43" s="110">
        <f>D22+D24</f>
        <v>0</v>
      </c>
      <c r="E43" s="110">
        <f>E22+E24</f>
        <v>0</v>
      </c>
      <c r="F43" s="110">
        <f>F22+F24</f>
        <v>0</v>
      </c>
      <c r="G43" s="277"/>
      <c r="H43" s="110">
        <f>H22+H24</f>
        <v>0</v>
      </c>
      <c r="I43" s="110">
        <f>I22+I24</f>
        <v>0</v>
      </c>
      <c r="J43" s="110">
        <f>J22+J24</f>
        <v>276000</v>
      </c>
      <c r="K43" s="110">
        <f>K22+K24</f>
        <v>276000</v>
      </c>
      <c r="L43" s="110">
        <f>L22+L24</f>
        <v>276000</v>
      </c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</row>
    <row r="44" spans="1:43" ht="16.5" thickBot="1">
      <c r="A44" s="83"/>
      <c r="B44" s="101" t="s">
        <v>106</v>
      </c>
      <c r="C44" s="102" t="e">
        <f>C43/C16</f>
        <v>#DIV/0!</v>
      </c>
      <c r="D44" s="102" t="e">
        <f>D43/D16</f>
        <v>#DIV/0!</v>
      </c>
      <c r="E44" s="102" t="e">
        <f>E43/E16</f>
        <v>#DIV/0!</v>
      </c>
      <c r="F44" s="102" t="e">
        <f>F43/F16</f>
        <v>#DIV/0!</v>
      </c>
      <c r="G44" s="276"/>
      <c r="H44" s="102" t="e">
        <f>H43/H16</f>
        <v>#DIV/0!</v>
      </c>
      <c r="I44" s="102" t="e">
        <f>I43/I16</f>
        <v>#DIV/0!</v>
      </c>
      <c r="J44" s="102">
        <f>J43/J16</f>
        <v>0.98571428571428577</v>
      </c>
      <c r="K44" s="102">
        <f>K43/K16</f>
        <v>0.98571428571428577</v>
      </c>
      <c r="L44" s="102">
        <f>L43/L16</f>
        <v>0.98571428571428577</v>
      </c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</row>
    <row r="45" spans="1:43" ht="15.75">
      <c r="A45" s="107"/>
      <c r="B45" s="83" t="s">
        <v>262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8"/>
      <c r="N45" s="108"/>
      <c r="O45" s="109"/>
      <c r="P45" s="109"/>
      <c r="Q45" s="109"/>
      <c r="R45" s="109"/>
      <c r="S45" s="109"/>
      <c r="T45" s="109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</row>
    <row r="46" spans="1:43" ht="15.75">
      <c r="A46" s="107"/>
      <c r="B46" s="97" t="s">
        <v>22</v>
      </c>
      <c r="C46" s="104">
        <f>SUM(C47:C48)</f>
        <v>0</v>
      </c>
      <c r="D46" s="104">
        <f>SUM(D47:D48)</f>
        <v>0</v>
      </c>
      <c r="E46" s="104">
        <f>SUM(E47:E48)</f>
        <v>0</v>
      </c>
      <c r="F46" s="104">
        <f>SUM(F47:F48)</f>
        <v>0</v>
      </c>
      <c r="G46" s="104"/>
      <c r="H46" s="104">
        <f t="shared" ref="H46:L46" si="7">SUM(H47:H48)</f>
        <v>0</v>
      </c>
      <c r="I46" s="104">
        <f t="shared" si="7"/>
        <v>0</v>
      </c>
      <c r="J46" s="104">
        <f t="shared" si="7"/>
        <v>-35000</v>
      </c>
      <c r="K46" s="104">
        <f t="shared" si="7"/>
        <v>-35000</v>
      </c>
      <c r="L46" s="104">
        <f t="shared" si="7"/>
        <v>-35000</v>
      </c>
      <c r="M46" s="108"/>
      <c r="N46" s="108"/>
      <c r="O46" s="109"/>
      <c r="P46" s="109"/>
      <c r="Q46" s="109"/>
      <c r="R46" s="109"/>
      <c r="S46" s="109"/>
      <c r="T46" s="109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</row>
    <row r="47" spans="1:43" ht="15.75" hidden="1" outlineLevel="1">
      <c r="A47" s="83"/>
      <c r="B47" s="106" t="s">
        <v>713</v>
      </c>
      <c r="C47" s="95"/>
      <c r="D47" s="95"/>
      <c r="E47" s="95"/>
      <c r="F47" s="95"/>
      <c r="G47" s="95"/>
      <c r="H47" s="95"/>
      <c r="I47" s="95"/>
      <c r="J47" s="95">
        <v>-35000</v>
      </c>
      <c r="K47" s="95">
        <v>-35000</v>
      </c>
      <c r="L47" s="95">
        <v>-35000</v>
      </c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</row>
    <row r="48" spans="1:43" ht="15.75" hidden="1" outlineLevel="1">
      <c r="A48" s="83"/>
      <c r="B48" s="106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</row>
    <row r="49" spans="1:43" ht="15.75" collapsed="1">
      <c r="A49" s="107"/>
      <c r="B49" s="97" t="s">
        <v>21</v>
      </c>
      <c r="C49" s="104">
        <v>0</v>
      </c>
      <c r="D49" s="104">
        <v>0</v>
      </c>
      <c r="E49" s="104">
        <v>0</v>
      </c>
      <c r="F49" s="104">
        <v>0</v>
      </c>
      <c r="G49" s="104"/>
      <c r="H49" s="104"/>
      <c r="I49" s="104"/>
      <c r="J49" s="104"/>
      <c r="K49" s="104"/>
      <c r="L49" s="104"/>
      <c r="M49" s="108"/>
      <c r="N49" s="108"/>
      <c r="O49" s="109"/>
      <c r="P49" s="109"/>
      <c r="Q49" s="109"/>
      <c r="R49" s="109"/>
      <c r="S49" s="109"/>
      <c r="T49" s="109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</row>
    <row r="50" spans="1:43" ht="15.75">
      <c r="A50" s="83"/>
      <c r="B50" s="97" t="s">
        <v>20</v>
      </c>
      <c r="C50" s="89">
        <v>0</v>
      </c>
      <c r="D50" s="89">
        <v>0</v>
      </c>
      <c r="E50" s="89">
        <v>0</v>
      </c>
      <c r="F50" s="89">
        <v>0</v>
      </c>
      <c r="G50" s="89"/>
      <c r="H50" s="89"/>
      <c r="I50" s="89"/>
      <c r="J50" s="89"/>
      <c r="K50" s="89"/>
      <c r="L50" s="89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</row>
    <row r="51" spans="1:43" ht="15.75">
      <c r="A51" s="83"/>
      <c r="B51" s="100" t="s">
        <v>24</v>
      </c>
      <c r="C51" s="110">
        <f>C43+C45+C46+C49+C50</f>
        <v>0</v>
      </c>
      <c r="D51" s="110">
        <f>D43+D45+D46+D49+D50</f>
        <v>0</v>
      </c>
      <c r="E51" s="110">
        <f>E43+E45+E46+E49+E50</f>
        <v>0</v>
      </c>
      <c r="F51" s="110">
        <f>F43+F45+F46+F49+F50</f>
        <v>0</v>
      </c>
      <c r="G51" s="277"/>
      <c r="H51" s="110">
        <f>H43+H45+H46+H49+H50</f>
        <v>0</v>
      </c>
      <c r="I51" s="110">
        <f>I43+I45+I46+I49+I50</f>
        <v>0</v>
      </c>
      <c r="J51" s="110">
        <f>J43+J45+J46+J49+J50</f>
        <v>241000</v>
      </c>
      <c r="K51" s="110">
        <f>K43+K45+K46+K49+K50</f>
        <v>241000</v>
      </c>
      <c r="L51" s="110">
        <f>L43+L45+L46+L49+L50</f>
        <v>241000</v>
      </c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</row>
    <row r="52" spans="1:43" ht="16.5" thickBot="1">
      <c r="A52" s="83"/>
      <c r="B52" s="101" t="s">
        <v>106</v>
      </c>
      <c r="C52" s="102" t="e">
        <f>C51/C16</f>
        <v>#DIV/0!</v>
      </c>
      <c r="D52" s="102" t="e">
        <f>D51/D16</f>
        <v>#DIV/0!</v>
      </c>
      <c r="E52" s="102" t="e">
        <f>E51/E16</f>
        <v>#DIV/0!</v>
      </c>
      <c r="F52" s="102" t="e">
        <f>F51/F16</f>
        <v>#DIV/0!</v>
      </c>
      <c r="G52" s="276"/>
      <c r="H52" s="102" t="e">
        <f>H51/H16</f>
        <v>#DIV/0!</v>
      </c>
      <c r="I52" s="102" t="e">
        <f>I51/I16</f>
        <v>#DIV/0!</v>
      </c>
      <c r="J52" s="102">
        <f>J51/J16</f>
        <v>0.86071428571428577</v>
      </c>
      <c r="K52" s="102">
        <f>K51/K16</f>
        <v>0.86071428571428577</v>
      </c>
      <c r="L52" s="102">
        <f>L51/L16</f>
        <v>0.86071428571428577</v>
      </c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</row>
    <row r="53" spans="1:43" ht="15.75">
      <c r="A53" s="83"/>
      <c r="B53" s="97" t="s">
        <v>183</v>
      </c>
      <c r="C53" s="89">
        <f>SUM(C54:C55)</f>
        <v>0</v>
      </c>
      <c r="D53" s="89">
        <f>SUM(D54:D55)</f>
        <v>0</v>
      </c>
      <c r="E53" s="89">
        <f>SUM(E54:E55)</f>
        <v>0</v>
      </c>
      <c r="F53" s="89">
        <f>SUM(F54:F55)</f>
        <v>0</v>
      </c>
      <c r="G53" s="89"/>
      <c r="H53" s="89"/>
      <c r="I53" s="89"/>
      <c r="J53" s="89"/>
      <c r="K53" s="89"/>
      <c r="L53" s="89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</row>
    <row r="54" spans="1:43" ht="15.75" hidden="1" outlineLevel="1">
      <c r="A54" s="83"/>
      <c r="B54" s="106" t="s">
        <v>673</v>
      </c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</row>
    <row r="55" spans="1:43" ht="15.75" hidden="1" outlineLevel="1">
      <c r="A55" s="83"/>
      <c r="B55" s="106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</row>
    <row r="56" spans="1:43" ht="15.75" collapsed="1">
      <c r="A56" s="83"/>
      <c r="B56" s="97" t="s">
        <v>12</v>
      </c>
      <c r="C56" s="89">
        <f t="shared" ref="C56:F56" si="8">C57</f>
        <v>0</v>
      </c>
      <c r="D56" s="89">
        <f t="shared" si="8"/>
        <v>0</v>
      </c>
      <c r="E56" s="89">
        <f t="shared" si="8"/>
        <v>0</v>
      </c>
      <c r="F56" s="89">
        <f t="shared" si="8"/>
        <v>0</v>
      </c>
      <c r="G56" s="89"/>
      <c r="H56" s="89"/>
      <c r="I56" s="89"/>
      <c r="J56" s="89"/>
      <c r="K56" s="89"/>
      <c r="L56" s="89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</row>
    <row r="57" spans="1:43" ht="15.75" hidden="1" outlineLevel="1">
      <c r="A57" s="83"/>
      <c r="B57" s="106" t="s">
        <v>581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</row>
    <row r="58" spans="1:43" ht="15.75" hidden="1" outlineLevel="1">
      <c r="A58" s="83"/>
      <c r="B58" s="106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</row>
    <row r="59" spans="1:43" ht="15.75" collapsed="1">
      <c r="A59" s="83"/>
      <c r="B59" s="97" t="s">
        <v>184</v>
      </c>
      <c r="C59" s="89"/>
      <c r="D59" s="89"/>
      <c r="E59" s="89"/>
      <c r="F59" s="89"/>
      <c r="G59" s="89"/>
      <c r="H59" s="89"/>
      <c r="I59" s="89"/>
      <c r="J59" s="89">
        <f>-3371340/20</f>
        <v>-168567</v>
      </c>
      <c r="K59" s="89">
        <f>-3371340/20</f>
        <v>-168567</v>
      </c>
      <c r="L59" s="89">
        <f>-3371340/20</f>
        <v>-168567</v>
      </c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</row>
    <row r="60" spans="1:43" ht="15.75">
      <c r="A60" s="83"/>
      <c r="B60" s="97" t="s">
        <v>23</v>
      </c>
      <c r="C60" s="89">
        <f>SUM(C61:C62)</f>
        <v>0</v>
      </c>
      <c r="D60" s="89">
        <f>SUM(D61:D62)</f>
        <v>0</v>
      </c>
      <c r="E60" s="89">
        <f>SUM(E61:E62)</f>
        <v>0</v>
      </c>
      <c r="F60" s="89">
        <f>SUM(F61:F62)</f>
        <v>0</v>
      </c>
      <c r="G60" s="89"/>
      <c r="H60" s="89"/>
      <c r="I60" s="89"/>
      <c r="J60" s="89"/>
      <c r="K60" s="89"/>
      <c r="L60" s="89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</row>
    <row r="61" spans="1:43" ht="15.75" hidden="1" outlineLevel="1">
      <c r="A61" s="83"/>
      <c r="B61" s="106" t="s">
        <v>633</v>
      </c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</row>
    <row r="62" spans="1:43" ht="15.75" hidden="1" outlineLevel="1">
      <c r="A62" s="83"/>
      <c r="B62" s="106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</row>
    <row r="63" spans="1:43" ht="15.75" collapsed="1">
      <c r="A63" s="83"/>
      <c r="B63" s="100" t="s">
        <v>26</v>
      </c>
      <c r="C63" s="110">
        <f>C51+C53+C56+C60+C59</f>
        <v>0</v>
      </c>
      <c r="D63" s="110">
        <f>D51+D53+D56+D60+D59</f>
        <v>0</v>
      </c>
      <c r="E63" s="110">
        <f>E51+E53+E56+E60+E59</f>
        <v>0</v>
      </c>
      <c r="F63" s="110">
        <f>F51+F53+F56+F60+F59</f>
        <v>0</v>
      </c>
      <c r="G63" s="277"/>
      <c r="H63" s="110">
        <f>H51+H53+H56+H60+H59</f>
        <v>0</v>
      </c>
      <c r="I63" s="110">
        <f>I51+I53+I56+I60+I59</f>
        <v>0</v>
      </c>
      <c r="J63" s="110">
        <f>J51+J53+J56+J60+J59</f>
        <v>72433</v>
      </c>
      <c r="K63" s="110">
        <f>K51+K53+K56+K60+K59</f>
        <v>72433</v>
      </c>
      <c r="L63" s="110">
        <f>L51+L53+L56+L60+L59</f>
        <v>72433</v>
      </c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</row>
    <row r="64" spans="1:43" ht="16.5" thickBot="1">
      <c r="A64" s="83"/>
      <c r="B64" s="101" t="s">
        <v>106</v>
      </c>
      <c r="C64" s="102" t="e">
        <f>C63/C16</f>
        <v>#DIV/0!</v>
      </c>
      <c r="D64" s="102" t="e">
        <f>D63/D16</f>
        <v>#DIV/0!</v>
      </c>
      <c r="E64" s="102" t="e">
        <f>E63/E16</f>
        <v>#DIV/0!</v>
      </c>
      <c r="F64" s="102" t="e">
        <f>F63/F16</f>
        <v>#DIV/0!</v>
      </c>
      <c r="G64" s="276"/>
      <c r="H64" s="102" t="e">
        <f>H63/H16</f>
        <v>#DIV/0!</v>
      </c>
      <c r="I64" s="102" t="e">
        <f>I63/I16</f>
        <v>#DIV/0!</v>
      </c>
      <c r="J64" s="102">
        <f>J63/J16</f>
        <v>0.25868928571428573</v>
      </c>
      <c r="K64" s="102">
        <f>K63/K16</f>
        <v>0.25868928571428573</v>
      </c>
      <c r="L64" s="102">
        <f>L63/L16</f>
        <v>0.25868928571428573</v>
      </c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</row>
    <row r="65" spans="1:43" s="111" customFormat="1" ht="15.75">
      <c r="A65" s="83"/>
      <c r="B65" s="97" t="s">
        <v>29</v>
      </c>
      <c r="C65" s="89">
        <f>C66+C67</f>
        <v>0</v>
      </c>
      <c r="D65" s="89">
        <f>D66+D67</f>
        <v>0</v>
      </c>
      <c r="E65" s="89">
        <f>E66+E67</f>
        <v>0</v>
      </c>
      <c r="F65" s="89">
        <f>F66+F67</f>
        <v>0</v>
      </c>
      <c r="G65" s="89"/>
      <c r="H65" s="89">
        <f>H66+H67</f>
        <v>0</v>
      </c>
      <c r="I65" s="89">
        <f>I66+I67</f>
        <v>0</v>
      </c>
      <c r="J65" s="89">
        <f>J66+J67</f>
        <v>-100490</v>
      </c>
      <c r="K65" s="89">
        <f>K66+K67</f>
        <v>-95289</v>
      </c>
      <c r="L65" s="89">
        <f>L66+L67</f>
        <v>-89878</v>
      </c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</row>
    <row r="66" spans="1:43" ht="15.75" hidden="1" outlineLevel="1">
      <c r="A66" s="83"/>
      <c r="B66" s="105" t="s">
        <v>27</v>
      </c>
      <c r="C66" s="91">
        <v>0</v>
      </c>
      <c r="D66" s="91">
        <v>0</v>
      </c>
      <c r="E66" s="91">
        <v>0</v>
      </c>
      <c r="F66" s="91">
        <v>0</v>
      </c>
      <c r="G66" s="91"/>
      <c r="H66" s="91"/>
      <c r="I66" s="91"/>
      <c r="J66" s="91"/>
      <c r="K66" s="91"/>
      <c r="L66" s="91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</row>
    <row r="67" spans="1:43" ht="15.75" hidden="1" outlineLevel="1">
      <c r="A67" s="83"/>
      <c r="B67" s="105" t="s">
        <v>185</v>
      </c>
      <c r="C67" s="91">
        <f>SUM(C68:C69)</f>
        <v>0</v>
      </c>
      <c r="D67" s="91">
        <f>SUM(D68:D69)</f>
        <v>0</v>
      </c>
      <c r="E67" s="91">
        <f>SUM(E68:E69)</f>
        <v>0</v>
      </c>
      <c r="F67" s="91">
        <f>SUM(F68:F69)</f>
        <v>0</v>
      </c>
      <c r="G67" s="91"/>
      <c r="H67" s="91">
        <f>SUM(H68:H69)</f>
        <v>0</v>
      </c>
      <c r="I67" s="91">
        <f>SUM(I68:I69)</f>
        <v>0</v>
      </c>
      <c r="J67" s="91">
        <f>SUM(J68:J69)</f>
        <v>-100490</v>
      </c>
      <c r="K67" s="91">
        <f>SUM(K68:K69)</f>
        <v>-95289</v>
      </c>
      <c r="L67" s="91">
        <f>SUM(L68:L69)</f>
        <v>-89878</v>
      </c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</row>
    <row r="68" spans="1:43" ht="15.75" hidden="1" outlineLevel="2">
      <c r="A68" s="83"/>
      <c r="B68" s="106" t="s">
        <v>920</v>
      </c>
      <c r="C68" s="95"/>
      <c r="D68" s="95"/>
      <c r="E68" s="95"/>
      <c r="F68" s="95"/>
      <c r="G68" s="95"/>
      <c r="H68" s="95"/>
      <c r="I68" s="95"/>
      <c r="J68" s="95">
        <v>-100490</v>
      </c>
      <c r="K68" s="95">
        <v>-95289</v>
      </c>
      <c r="L68" s="95">
        <v>-89878</v>
      </c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</row>
    <row r="69" spans="1:43" ht="15.75" hidden="1" outlineLevel="1">
      <c r="A69" s="83"/>
      <c r="B69" s="106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</row>
    <row r="70" spans="1:43" s="96" customFormat="1" ht="15.75" collapsed="1">
      <c r="A70" s="93"/>
      <c r="B70" s="100" t="s">
        <v>264</v>
      </c>
      <c r="C70" s="110">
        <f>+C63+C65</f>
        <v>0</v>
      </c>
      <c r="D70" s="110">
        <f>+D63+D65</f>
        <v>0</v>
      </c>
      <c r="E70" s="110">
        <f>+E63+E65</f>
        <v>0</v>
      </c>
      <c r="F70" s="110">
        <f>+F63+F65</f>
        <v>0</v>
      </c>
      <c r="G70" s="277"/>
      <c r="H70" s="110">
        <f>+H63+H65</f>
        <v>0</v>
      </c>
      <c r="I70" s="110">
        <f>+I63+I65</f>
        <v>0</v>
      </c>
      <c r="J70" s="110">
        <f>+J63+J65</f>
        <v>-28057</v>
      </c>
      <c r="K70" s="110">
        <f>+K63+K65</f>
        <v>-22856</v>
      </c>
      <c r="L70" s="110">
        <f>+L63+L65</f>
        <v>-17445</v>
      </c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</row>
    <row r="71" spans="1:43" s="96" customFormat="1" ht="16.5" thickBot="1">
      <c r="A71" s="93"/>
      <c r="B71" s="101" t="s">
        <v>106</v>
      </c>
      <c r="C71" s="102" t="e">
        <f>+C70/C16</f>
        <v>#DIV/0!</v>
      </c>
      <c r="D71" s="102" t="e">
        <f>+D70/D16</f>
        <v>#DIV/0!</v>
      </c>
      <c r="E71" s="102" t="e">
        <f>+E70/E16</f>
        <v>#DIV/0!</v>
      </c>
      <c r="F71" s="102" t="e">
        <f>+F70/F16</f>
        <v>#DIV/0!</v>
      </c>
      <c r="G71" s="276"/>
      <c r="H71" s="102" t="e">
        <f>+H70/H16</f>
        <v>#DIV/0!</v>
      </c>
      <c r="I71" s="102" t="e">
        <f>+I70/I16</f>
        <v>#DIV/0!</v>
      </c>
      <c r="J71" s="102">
        <f>+J70/J16</f>
        <v>-0.10020357142857143</v>
      </c>
      <c r="K71" s="102">
        <f>+K70/K16</f>
        <v>-8.1628571428571425E-2</v>
      </c>
      <c r="L71" s="102">
        <f>+L70/L16</f>
        <v>-6.230357142857143E-2</v>
      </c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</row>
    <row r="72" spans="1:43" ht="15.75">
      <c r="A72" s="83"/>
      <c r="B72" s="97" t="s">
        <v>30</v>
      </c>
      <c r="C72" s="89">
        <f>C73+C74</f>
        <v>0</v>
      </c>
      <c r="D72" s="89">
        <f>D73+D74</f>
        <v>0</v>
      </c>
      <c r="E72" s="89">
        <f>E73+E74</f>
        <v>0</v>
      </c>
      <c r="F72" s="89">
        <f>F73+F74</f>
        <v>0</v>
      </c>
      <c r="G72" s="89"/>
      <c r="H72" s="89">
        <f t="shared" ref="H72:L72" si="9">H73+H74</f>
        <v>0</v>
      </c>
      <c r="I72" s="89">
        <f t="shared" si="9"/>
        <v>0</v>
      </c>
      <c r="J72" s="89">
        <f t="shared" si="9"/>
        <v>40000</v>
      </c>
      <c r="K72" s="89">
        <f t="shared" si="9"/>
        <v>40000</v>
      </c>
      <c r="L72" s="89">
        <f t="shared" si="9"/>
        <v>40000</v>
      </c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</row>
    <row r="73" spans="1:43" ht="15.75" hidden="1" outlineLevel="1">
      <c r="A73" s="83"/>
      <c r="B73" s="105" t="s">
        <v>186</v>
      </c>
      <c r="C73" s="91">
        <v>0</v>
      </c>
      <c r="D73" s="91">
        <v>0</v>
      </c>
      <c r="E73" s="91">
        <v>0</v>
      </c>
      <c r="F73" s="91">
        <v>0</v>
      </c>
      <c r="G73" s="91"/>
      <c r="H73" s="91"/>
      <c r="I73" s="91"/>
      <c r="J73" s="91">
        <f>'Antreuil - CF (2)'!J47/20</f>
        <v>40000</v>
      </c>
      <c r="K73" s="91">
        <f>J73</f>
        <v>40000</v>
      </c>
      <c r="L73" s="91">
        <f>K73</f>
        <v>40000</v>
      </c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</row>
    <row r="74" spans="1:43" s="92" customFormat="1" ht="12.75" hidden="1" outlineLevel="1">
      <c r="A74" s="90"/>
      <c r="B74" s="105" t="s">
        <v>187</v>
      </c>
      <c r="C74" s="91">
        <f>SUM(C75:C75)</f>
        <v>0</v>
      </c>
      <c r="D74" s="91">
        <f>SUM(D75:D75)</f>
        <v>0</v>
      </c>
      <c r="E74" s="91">
        <f>SUM(E75:E75)</f>
        <v>0</v>
      </c>
      <c r="F74" s="91">
        <f>SUM(F75:F75)</f>
        <v>0</v>
      </c>
      <c r="G74" s="91"/>
      <c r="H74" s="91"/>
      <c r="I74" s="91"/>
      <c r="J74" s="91"/>
      <c r="K74" s="91"/>
      <c r="L74" s="91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</row>
    <row r="75" spans="1:43" ht="15.75" hidden="1" outlineLevel="1">
      <c r="A75" s="83"/>
      <c r="B75" s="106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</row>
    <row r="76" spans="1:43" ht="15.75" collapsed="1">
      <c r="A76" s="83"/>
      <c r="B76" s="83" t="s">
        <v>259</v>
      </c>
      <c r="C76" s="89">
        <f>SUM(C77:C78)</f>
        <v>0</v>
      </c>
      <c r="D76" s="89">
        <f>SUM(D77:D78)</f>
        <v>0</v>
      </c>
      <c r="E76" s="89">
        <f>SUM(E77:E78)</f>
        <v>0</v>
      </c>
      <c r="F76" s="89">
        <f>SUM(F77:F78)</f>
        <v>0</v>
      </c>
      <c r="G76" s="89"/>
      <c r="H76" s="89"/>
      <c r="I76" s="89"/>
      <c r="J76" s="89"/>
      <c r="K76" s="89"/>
      <c r="L76" s="89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</row>
    <row r="77" spans="1:43" ht="15.75" hidden="1" outlineLevel="1">
      <c r="A77" s="83"/>
      <c r="B77" s="183" t="s">
        <v>694</v>
      </c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</row>
    <row r="78" spans="1:43" ht="15.75" hidden="1" outlineLevel="1">
      <c r="A78" s="83"/>
      <c r="B78" s="183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</row>
    <row r="79" spans="1:43" ht="15.75" hidden="1" outlineLevel="1">
      <c r="A79" s="83"/>
      <c r="B79" s="212" t="s">
        <v>265</v>
      </c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</row>
    <row r="80" spans="1:43" ht="15.75" hidden="1" outlineLevel="1">
      <c r="A80" s="83"/>
      <c r="B80" s="83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</row>
    <row r="81" spans="1:43" ht="15.75" collapsed="1">
      <c r="A81" s="83"/>
      <c r="B81" s="100" t="s">
        <v>32</v>
      </c>
      <c r="C81" s="182">
        <f>C63+C65+C72+C76+C79</f>
        <v>0</v>
      </c>
      <c r="D81" s="182">
        <f>D63+D65+D72+D76+D79</f>
        <v>0</v>
      </c>
      <c r="E81" s="182">
        <f>E63+E65+E72+E76+E79</f>
        <v>0</v>
      </c>
      <c r="F81" s="182">
        <f>F63+F65+F72+F76+F79</f>
        <v>0</v>
      </c>
      <c r="G81" s="277"/>
      <c r="H81" s="182">
        <f>H63+H65+H72+H76+H79</f>
        <v>0</v>
      </c>
      <c r="I81" s="182">
        <f>I63+I65+I72+I76+I79</f>
        <v>0</v>
      </c>
      <c r="J81" s="182">
        <f>J63+J65+J72+J76+J79</f>
        <v>11943</v>
      </c>
      <c r="K81" s="182">
        <f>K63+K65+K72+K76+K79</f>
        <v>17144</v>
      </c>
      <c r="L81" s="182">
        <f>L63+L65+L72+L76+L79</f>
        <v>22555</v>
      </c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</row>
    <row r="82" spans="1:43" ht="16.5" thickBot="1">
      <c r="A82" s="83"/>
      <c r="B82" s="101" t="s">
        <v>106</v>
      </c>
      <c r="C82" s="102" t="e">
        <f>C81/C16</f>
        <v>#DIV/0!</v>
      </c>
      <c r="D82" s="102" t="e">
        <f>D81/D16</f>
        <v>#DIV/0!</v>
      </c>
      <c r="E82" s="102" t="e">
        <f>E81/E16</f>
        <v>#DIV/0!</v>
      </c>
      <c r="F82" s="102" t="e">
        <f>F81/F16</f>
        <v>#DIV/0!</v>
      </c>
      <c r="G82" s="276"/>
      <c r="H82" s="102" t="e">
        <f>H81/H16</f>
        <v>#DIV/0!</v>
      </c>
      <c r="I82" s="102" t="e">
        <f>I81/I16</f>
        <v>#DIV/0!</v>
      </c>
      <c r="J82" s="102">
        <f>J81/J16</f>
        <v>4.265357142857143E-2</v>
      </c>
      <c r="K82" s="102">
        <f>K81/K16</f>
        <v>6.1228571428571431E-2</v>
      </c>
      <c r="L82" s="102">
        <f>L81/L16</f>
        <v>8.0553571428571433E-2</v>
      </c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</row>
    <row r="83" spans="1:43" ht="15.7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</row>
    <row r="84" spans="1:43" ht="15.75">
      <c r="A84" s="83"/>
      <c r="B84" s="112" t="s">
        <v>189</v>
      </c>
      <c r="C84" s="113"/>
      <c r="D84" s="113"/>
      <c r="E84" s="113"/>
      <c r="F84" s="113"/>
      <c r="G84" s="278"/>
      <c r="H84" s="113"/>
      <c r="I84" s="113"/>
      <c r="J84" s="113"/>
      <c r="K84" s="113"/>
      <c r="L84" s="11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</row>
    <row r="85" spans="1:43" ht="15.75">
      <c r="A85" s="83"/>
      <c r="B85" s="114" t="s">
        <v>34</v>
      </c>
      <c r="C85" s="115" t="str">
        <f>IFERROR(C13/#REF!-1,"na ")</f>
        <v xml:space="preserve">na </v>
      </c>
      <c r="D85" s="115" t="str">
        <f>IFERROR(D13/C13-1,"na ")</f>
        <v xml:space="preserve">na </v>
      </c>
      <c r="E85" s="115" t="str">
        <f>IFERROR(E13/D13-1,"na ")</f>
        <v xml:space="preserve">na </v>
      </c>
      <c r="F85" s="115" t="str">
        <f>IFERROR(F13/E13-1,"na ")</f>
        <v xml:space="preserve">na </v>
      </c>
      <c r="G85" s="279"/>
      <c r="H85" s="115" t="str">
        <f>IFERROR(H13/F13-1,"na ")</f>
        <v xml:space="preserve">na </v>
      </c>
      <c r="I85" s="115" t="str">
        <f>IFERROR(I13/H13-1,"na ")</f>
        <v xml:space="preserve">na </v>
      </c>
      <c r="J85" s="115" t="str">
        <f>IFERROR(J13/I13-1,"na ")</f>
        <v xml:space="preserve">na </v>
      </c>
      <c r="K85" s="115">
        <f>IFERROR(K13/J13-1,"na ")</f>
        <v>0</v>
      </c>
      <c r="L85" s="115">
        <f>IFERROR(L13/K13-1,"na ")</f>
        <v>0</v>
      </c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</row>
    <row r="86" spans="1:43" ht="15.75">
      <c r="A86" s="83"/>
      <c r="B86" s="114" t="s">
        <v>16</v>
      </c>
      <c r="C86" s="115" t="e">
        <f>C22/C13</f>
        <v>#DIV/0!</v>
      </c>
      <c r="D86" s="115" t="e">
        <f>D22/D13</f>
        <v>#DIV/0!</v>
      </c>
      <c r="E86" s="115" t="e">
        <f>E22/E13</f>
        <v>#DIV/0!</v>
      </c>
      <c r="F86" s="115" t="e">
        <f>F22/F13</f>
        <v>#DIV/0!</v>
      </c>
      <c r="G86" s="279"/>
      <c r="H86" s="115" t="e">
        <f>H22/H13</f>
        <v>#DIV/0!</v>
      </c>
      <c r="I86" s="115" t="e">
        <f>I22/I13</f>
        <v>#DIV/0!</v>
      </c>
      <c r="J86" s="115">
        <f>J22/J13</f>
        <v>1</v>
      </c>
      <c r="K86" s="115">
        <f>K22/K13</f>
        <v>1</v>
      </c>
      <c r="L86" s="115">
        <f>L22/L13</f>
        <v>1</v>
      </c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</row>
    <row r="87" spans="1:43" ht="15.75">
      <c r="A87" s="83"/>
      <c r="B87" s="114" t="s">
        <v>24</v>
      </c>
      <c r="C87" s="115" t="e">
        <f>C51/C13</f>
        <v>#DIV/0!</v>
      </c>
      <c r="D87" s="115" t="e">
        <f>D51/D13</f>
        <v>#DIV/0!</v>
      </c>
      <c r="E87" s="115" t="e">
        <f>E51/E13</f>
        <v>#DIV/0!</v>
      </c>
      <c r="F87" s="115" t="e">
        <f>F51/F13</f>
        <v>#DIV/0!</v>
      </c>
      <c r="G87" s="279"/>
      <c r="H87" s="115" t="e">
        <f>H51/H13</f>
        <v>#DIV/0!</v>
      </c>
      <c r="I87" s="115" t="e">
        <f>I51/I13</f>
        <v>#DIV/0!</v>
      </c>
      <c r="J87" s="115">
        <f>J51/J13</f>
        <v>0.86071428571428577</v>
      </c>
      <c r="K87" s="115">
        <f>K51/K13</f>
        <v>0.86071428571428577</v>
      </c>
      <c r="L87" s="115">
        <f>L51/L13</f>
        <v>0.86071428571428577</v>
      </c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</row>
    <row r="88" spans="1:43" ht="15.75">
      <c r="A88" s="83"/>
      <c r="B88" s="114" t="s">
        <v>26</v>
      </c>
      <c r="C88" s="115" t="e">
        <f>C63/C13</f>
        <v>#DIV/0!</v>
      </c>
      <c r="D88" s="115" t="e">
        <f>D63/D13</f>
        <v>#DIV/0!</v>
      </c>
      <c r="E88" s="115" t="e">
        <f>E63/E13</f>
        <v>#DIV/0!</v>
      </c>
      <c r="F88" s="115" t="e">
        <f>F63/F13</f>
        <v>#DIV/0!</v>
      </c>
      <c r="G88" s="279"/>
      <c r="H88" s="115" t="e">
        <f>H63/H13</f>
        <v>#DIV/0!</v>
      </c>
      <c r="I88" s="115" t="e">
        <f>I63/I13</f>
        <v>#DIV/0!</v>
      </c>
      <c r="J88" s="115">
        <f>J63/J13</f>
        <v>0.25868928571428573</v>
      </c>
      <c r="K88" s="115">
        <f>K63/K13</f>
        <v>0.25868928571428573</v>
      </c>
      <c r="L88" s="115">
        <f>L63/L13</f>
        <v>0.25868928571428573</v>
      </c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</row>
    <row r="89" spans="1:43" ht="15.75">
      <c r="A89" s="83"/>
      <c r="B89" s="116" t="s">
        <v>35</v>
      </c>
      <c r="C89" s="117" t="e">
        <f>C81/C13</f>
        <v>#DIV/0!</v>
      </c>
      <c r="D89" s="117" t="e">
        <f>D81/D13</f>
        <v>#DIV/0!</v>
      </c>
      <c r="E89" s="117" t="e">
        <f>E81/E13</f>
        <v>#DIV/0!</v>
      </c>
      <c r="F89" s="117" t="e">
        <f>F81/F13</f>
        <v>#DIV/0!</v>
      </c>
      <c r="G89" s="279"/>
      <c r="H89" s="117" t="e">
        <f>H81/H13</f>
        <v>#DIV/0!</v>
      </c>
      <c r="I89" s="117" t="e">
        <f>I81/I13</f>
        <v>#DIV/0!</v>
      </c>
      <c r="J89" s="117">
        <f>J81/J13</f>
        <v>4.265357142857143E-2</v>
      </c>
      <c r="K89" s="117">
        <f>K81/K13</f>
        <v>6.1228571428571431E-2</v>
      </c>
      <c r="L89" s="117">
        <f>L81/L13</f>
        <v>8.0553571428571433E-2</v>
      </c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</row>
    <row r="90" spans="1:43" ht="15.7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</row>
    <row r="91" spans="1:43" ht="15.7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</row>
    <row r="92" spans="1:43" ht="15.7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</row>
    <row r="93" spans="1:43" ht="15.75">
      <c r="A93" s="107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9"/>
      <c r="P93" s="109"/>
      <c r="Q93" s="109"/>
      <c r="R93" s="109"/>
      <c r="S93" s="109"/>
      <c r="T93" s="109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</row>
    <row r="94" spans="1:43" ht="15.75">
      <c r="A94" s="107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9"/>
      <c r="P94" s="109"/>
      <c r="Q94" s="109"/>
      <c r="R94" s="109"/>
      <c r="S94" s="109"/>
      <c r="T94" s="109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</row>
    <row r="95" spans="1:43" ht="15.75">
      <c r="A95" s="107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9"/>
      <c r="P95" s="109"/>
      <c r="Q95" s="109"/>
      <c r="R95" s="109"/>
      <c r="S95" s="109"/>
      <c r="T95" s="109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</row>
    <row r="96" spans="1:43" ht="15.75">
      <c r="A96" s="107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9"/>
      <c r="P96" s="109"/>
      <c r="Q96" s="109"/>
      <c r="R96" s="109"/>
      <c r="S96" s="109"/>
      <c r="T96" s="109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</row>
    <row r="97" spans="1:43" ht="15.75">
      <c r="A97" s="107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9"/>
      <c r="P97" s="109"/>
      <c r="Q97" s="109"/>
      <c r="R97" s="109"/>
      <c r="S97" s="109"/>
      <c r="T97" s="109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</row>
    <row r="98" spans="1:43" ht="15.75">
      <c r="A98" s="107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9"/>
      <c r="P98" s="109"/>
      <c r="Q98" s="109"/>
      <c r="R98" s="109"/>
      <c r="S98" s="109"/>
      <c r="T98" s="109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</row>
    <row r="99" spans="1:43" ht="15.75">
      <c r="A99" s="107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9"/>
      <c r="P99" s="109"/>
      <c r="Q99" s="109"/>
      <c r="R99" s="109"/>
      <c r="S99" s="109"/>
      <c r="T99" s="109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</row>
    <row r="100" spans="1:43" ht="15.7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</row>
    <row r="101" spans="1:43" ht="15.75">
      <c r="A101" s="107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9"/>
      <c r="P101" s="109"/>
      <c r="Q101" s="109"/>
      <c r="R101" s="109"/>
      <c r="S101" s="109"/>
      <c r="T101" s="109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</row>
    <row r="102" spans="1:43" ht="15.75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9"/>
      <c r="P102" s="109"/>
      <c r="Q102" s="109"/>
      <c r="R102" s="109"/>
      <c r="S102" s="109"/>
      <c r="T102" s="109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</row>
    <row r="103" spans="1:43" ht="15.75">
      <c r="A103" s="107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9"/>
      <c r="P103" s="109"/>
      <c r="Q103" s="109"/>
      <c r="R103" s="109"/>
      <c r="S103" s="109"/>
      <c r="T103" s="109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</row>
    <row r="104" spans="1:43" ht="15.75">
      <c r="A104" s="107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9"/>
      <c r="P104" s="109"/>
      <c r="Q104" s="109"/>
      <c r="R104" s="109"/>
      <c r="S104" s="109"/>
      <c r="T104" s="109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</row>
    <row r="105" spans="1:43" ht="15.75">
      <c r="A105" s="107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9"/>
      <c r="P105" s="109"/>
      <c r="Q105" s="109"/>
      <c r="R105" s="109"/>
      <c r="S105" s="109"/>
      <c r="T105" s="109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</row>
    <row r="106" spans="1:43" ht="15.7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</row>
    <row r="107" spans="1:43" ht="15.75">
      <c r="A107" s="107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9"/>
      <c r="P107" s="109"/>
      <c r="Q107" s="109"/>
      <c r="R107" s="109"/>
      <c r="S107" s="109"/>
      <c r="T107" s="109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</row>
    <row r="108" spans="1:43" ht="15.75">
      <c r="A108" s="107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9"/>
      <c r="P108" s="109"/>
      <c r="Q108" s="109"/>
      <c r="R108" s="109"/>
      <c r="S108" s="109"/>
      <c r="T108" s="109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</row>
    <row r="109" spans="1:43" ht="15.7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</row>
    <row r="110" spans="1:43" ht="15.75">
      <c r="A110" s="107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9"/>
      <c r="P110" s="109"/>
      <c r="Q110" s="109"/>
      <c r="R110" s="109"/>
      <c r="S110" s="109"/>
      <c r="T110" s="109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</row>
    <row r="111" spans="1:43" ht="15.75">
      <c r="A111" s="107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9"/>
      <c r="P111" s="109"/>
      <c r="Q111" s="109"/>
      <c r="R111" s="109"/>
      <c r="S111" s="109"/>
      <c r="T111" s="109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</row>
    <row r="112" spans="1:43" ht="15.75">
      <c r="A112" s="107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9"/>
      <c r="P112" s="109"/>
      <c r="Q112" s="109"/>
      <c r="R112" s="109"/>
      <c r="S112" s="109"/>
      <c r="T112" s="109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</row>
    <row r="113" spans="1:43" ht="15.75">
      <c r="A113" s="107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9"/>
      <c r="P113" s="109"/>
      <c r="Q113" s="109"/>
      <c r="R113" s="109"/>
      <c r="S113" s="109"/>
      <c r="T113" s="109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</row>
    <row r="114" spans="1:43" ht="15.7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</row>
    <row r="115" spans="1:43" ht="15.75">
      <c r="A115" s="107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9"/>
      <c r="P115" s="109"/>
      <c r="Q115" s="109"/>
      <c r="R115" s="109"/>
      <c r="S115" s="109"/>
      <c r="T115" s="109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</row>
    <row r="116" spans="1:43" ht="15.75">
      <c r="A116" s="107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9"/>
      <c r="P116" s="109"/>
      <c r="Q116" s="109"/>
      <c r="R116" s="109"/>
      <c r="S116" s="109"/>
      <c r="T116" s="109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</row>
    <row r="117" spans="1:43" ht="15.75">
      <c r="A117" s="107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9"/>
      <c r="P117" s="109"/>
      <c r="Q117" s="109"/>
      <c r="R117" s="109"/>
      <c r="S117" s="109"/>
      <c r="T117" s="109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</row>
    <row r="118" spans="1:43" ht="15.75">
      <c r="A118" s="107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9"/>
      <c r="P118" s="109"/>
      <c r="Q118" s="109"/>
      <c r="R118" s="109"/>
      <c r="S118" s="109"/>
      <c r="T118" s="109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</row>
    <row r="119" spans="1:43" ht="15.7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</row>
    <row r="120" spans="1:43" ht="15.75">
      <c r="A120" s="107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9"/>
      <c r="P120" s="109"/>
      <c r="Q120" s="109"/>
      <c r="R120" s="109"/>
      <c r="S120" s="109"/>
      <c r="T120" s="109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</row>
    <row r="121" spans="1:43" ht="15.75">
      <c r="A121" s="107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9"/>
      <c r="P121" s="109"/>
      <c r="Q121" s="109"/>
      <c r="R121" s="109"/>
      <c r="S121" s="109"/>
      <c r="T121" s="109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</row>
    <row r="122" spans="1:43" ht="15.7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</row>
    <row r="123" spans="1:43" ht="15.75">
      <c r="A123" s="107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9"/>
      <c r="P123" s="109"/>
      <c r="Q123" s="109"/>
      <c r="R123" s="109"/>
      <c r="S123" s="109"/>
      <c r="T123" s="109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</row>
    <row r="124" spans="1:43" ht="15.75">
      <c r="A124" s="107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9"/>
      <c r="P124" s="109"/>
      <c r="Q124" s="109"/>
      <c r="R124" s="109"/>
      <c r="S124" s="109"/>
      <c r="T124" s="109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</row>
    <row r="125" spans="1:43" ht="15.75">
      <c r="A125" s="107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9"/>
      <c r="P125" s="109"/>
      <c r="Q125" s="109"/>
      <c r="R125" s="109"/>
      <c r="S125" s="109"/>
      <c r="T125" s="109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</row>
    <row r="126" spans="1:43" ht="15.75">
      <c r="A126" s="107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9"/>
      <c r="P126" s="109"/>
      <c r="Q126" s="109"/>
      <c r="R126" s="109"/>
      <c r="S126" s="109"/>
      <c r="T126" s="109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</row>
    <row r="127" spans="1:43" ht="15.7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9"/>
      <c r="P127" s="109"/>
      <c r="Q127" s="109"/>
      <c r="R127" s="109"/>
      <c r="S127" s="109"/>
      <c r="T127" s="109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</row>
    <row r="128" spans="1:43" ht="15.75">
      <c r="A128" s="107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9"/>
      <c r="P128" s="109"/>
      <c r="Q128" s="109"/>
      <c r="R128" s="109"/>
      <c r="S128" s="109"/>
      <c r="T128" s="109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</row>
    <row r="129" spans="1:43" ht="15.75">
      <c r="A129" s="107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9"/>
      <c r="P129" s="109"/>
      <c r="Q129" s="109"/>
      <c r="R129" s="109"/>
      <c r="S129" s="109"/>
      <c r="T129" s="109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</row>
    <row r="130" spans="1:43" ht="15.75">
      <c r="A130" s="107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9"/>
      <c r="P130" s="109"/>
      <c r="Q130" s="109"/>
      <c r="R130" s="109"/>
      <c r="S130" s="109"/>
      <c r="T130" s="109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</row>
    <row r="131" spans="1:43" ht="15.7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</row>
    <row r="132" spans="1:43" ht="15.75">
      <c r="A132" s="107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9"/>
      <c r="P132" s="109"/>
      <c r="Q132" s="109"/>
      <c r="R132" s="109"/>
      <c r="S132" s="109"/>
      <c r="T132" s="109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</row>
    <row r="133" spans="1:43" ht="15.75">
      <c r="A133" s="107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9"/>
      <c r="P133" s="109"/>
      <c r="Q133" s="109"/>
      <c r="R133" s="109"/>
      <c r="S133" s="109"/>
      <c r="T133" s="109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</row>
    <row r="134" spans="1:43" ht="15.75">
      <c r="A134" s="107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9"/>
      <c r="P134" s="109"/>
      <c r="Q134" s="109"/>
      <c r="R134" s="109"/>
      <c r="S134" s="109"/>
      <c r="T134" s="109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</row>
    <row r="135" spans="1:43" ht="15.75">
      <c r="A135" s="107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9"/>
      <c r="P135" s="109"/>
      <c r="Q135" s="109"/>
      <c r="R135" s="109"/>
      <c r="S135" s="109"/>
      <c r="T135" s="109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</row>
    <row r="136" spans="1:43" ht="15.7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</row>
    <row r="137" spans="1:43" ht="15.75">
      <c r="A137" s="107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9"/>
      <c r="P137" s="109"/>
      <c r="Q137" s="109"/>
      <c r="R137" s="109"/>
      <c r="S137" s="109"/>
      <c r="T137" s="109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</row>
    <row r="138" spans="1:43" ht="15.75">
      <c r="A138" s="107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9"/>
      <c r="P138" s="109"/>
      <c r="Q138" s="109"/>
      <c r="R138" s="109"/>
      <c r="S138" s="109"/>
      <c r="T138" s="109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</row>
    <row r="139" spans="1:43" ht="15.75">
      <c r="A139" s="107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</row>
    <row r="140" spans="1:43" ht="15.75">
      <c r="A140" s="107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</row>
    <row r="141" spans="1:43" ht="15.75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F6503-A94F-BD43-B8FB-760A2171AE32}">
  <sheetPr codeName="Feuil59">
    <tabColor rgb="FF006C4C"/>
  </sheetPr>
  <dimension ref="B2:Q67"/>
  <sheetViews>
    <sheetView showGridLines="0" zoomScale="85" zoomScaleNormal="85" workbookViewId="0">
      <pane xSplit="2" ySplit="5" topLeftCell="D6" activePane="bottomRight" state="frozen"/>
      <selection pane="topRight" activeCell="C1" sqref="C1"/>
      <selection pane="bottomLeft" activeCell="A4" sqref="A4"/>
      <selection pane="bottomRight" activeCell="N42" sqref="N42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22" customWidth="1"/>
    <col min="13" max="13" width="15.7109375" style="210" customWidth="1"/>
    <col min="14" max="14" width="15.7109375" style="122" customWidth="1"/>
    <col min="15" max="16384" width="10.7109375" style="122"/>
  </cols>
  <sheetData>
    <row r="2" spans="2:13">
      <c r="B2" s="343" t="s">
        <v>223</v>
      </c>
      <c r="C2" s="193"/>
      <c r="D2" s="193"/>
      <c r="E2" s="193"/>
      <c r="F2" s="193"/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  <c r="M2" s="194"/>
    </row>
    <row r="3" spans="2:13" ht="18" customHeight="1">
      <c r="B3" s="343"/>
      <c r="C3" s="244">
        <v>44196</v>
      </c>
      <c r="D3" s="244">
        <v>44561</v>
      </c>
      <c r="E3" s="244">
        <v>44926</v>
      </c>
      <c r="F3" s="244">
        <v>45291</v>
      </c>
      <c r="G3" s="244"/>
      <c r="H3" s="121" t="str">
        <f>'SCI - P&amp;L'!H4</f>
        <v>31/12/2024</v>
      </c>
      <c r="I3" s="121" t="str">
        <f>'SCI - P&amp;L'!I4</f>
        <v>31/12/2025</v>
      </c>
      <c r="J3" s="121" t="str">
        <f>'SCI - P&amp;L'!J4</f>
        <v>31/12/2026</v>
      </c>
      <c r="K3" s="121" t="str">
        <f>'SCI - P&amp;L'!K4</f>
        <v>31/12/2027</v>
      </c>
      <c r="L3" s="121" t="str">
        <f>'SCI - P&amp;L'!L4</f>
        <v>31/12/2028</v>
      </c>
      <c r="M3" s="195"/>
    </row>
    <row r="4" spans="2:13" ht="20.100000000000001" customHeight="1">
      <c r="B4" s="343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  <c r="M4" s="196"/>
    </row>
    <row r="5" spans="2:13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97"/>
    </row>
    <row r="6" spans="2:13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97"/>
    </row>
    <row r="7" spans="2:13">
      <c r="B7" s="149" t="s">
        <v>224</v>
      </c>
      <c r="C7" s="150"/>
      <c r="D7" s="150"/>
      <c r="E7" s="150"/>
      <c r="F7" s="150"/>
      <c r="G7" s="219"/>
      <c r="H7" s="150"/>
      <c r="I7" s="150"/>
      <c r="J7" s="150"/>
      <c r="K7" s="150"/>
      <c r="L7" s="150"/>
      <c r="M7" s="198"/>
    </row>
    <row r="8" spans="2:13">
      <c r="B8" s="151" t="s">
        <v>26</v>
      </c>
      <c r="C8" s="191"/>
      <c r="D8" s="191"/>
      <c r="E8" s="191"/>
      <c r="F8" s="191"/>
      <c r="G8" s="152"/>
      <c r="H8" s="191"/>
      <c r="I8" s="191"/>
      <c r="J8" s="191">
        <f>'Antreuil - P&amp;L (2)'!J63</f>
        <v>72433</v>
      </c>
      <c r="K8" s="191">
        <f>'Antreuil - P&amp;L (2)'!K63</f>
        <v>72433</v>
      </c>
      <c r="L8" s="191">
        <f>'Antreuil - P&amp;L (2)'!L63</f>
        <v>72433</v>
      </c>
      <c r="M8" s="191"/>
    </row>
    <row r="9" spans="2:13">
      <c r="B9" s="148" t="s">
        <v>225</v>
      </c>
      <c r="C9" s="191"/>
      <c r="D9" s="191"/>
      <c r="E9" s="191"/>
      <c r="F9" s="191"/>
      <c r="G9" s="152"/>
      <c r="H9" s="191"/>
      <c r="I9" s="191"/>
      <c r="J9" s="191">
        <f>'Antreuil - P&amp;L (2)'!J74</f>
        <v>0</v>
      </c>
      <c r="K9" s="191">
        <f>'Antreuil - P&amp;L (2)'!K74</f>
        <v>0</v>
      </c>
      <c r="L9" s="191">
        <f>'Antreuil - P&amp;L (2)'!L74</f>
        <v>0</v>
      </c>
      <c r="M9" s="191"/>
    </row>
    <row r="10" spans="2:13">
      <c r="B10" s="148" t="s">
        <v>226</v>
      </c>
      <c r="C10" s="191"/>
      <c r="D10" s="191"/>
      <c r="E10" s="191"/>
      <c r="F10" s="191"/>
      <c r="G10" s="152"/>
      <c r="H10" s="191"/>
      <c r="I10" s="191"/>
      <c r="J10" s="191">
        <f>'Antreuil - P&amp;L (2)'!J73</f>
        <v>40000</v>
      </c>
      <c r="K10" s="191">
        <f>'Antreuil - P&amp;L (2)'!K73</f>
        <v>40000</v>
      </c>
      <c r="L10" s="191">
        <f>'Antreuil - P&amp;L (2)'!L73</f>
        <v>40000</v>
      </c>
      <c r="M10" s="191"/>
    </row>
    <row r="11" spans="2:13">
      <c r="B11" s="148" t="s">
        <v>227</v>
      </c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91"/>
    </row>
    <row r="12" spans="2:13">
      <c r="B12" s="153" t="s">
        <v>228</v>
      </c>
      <c r="C12" s="154"/>
      <c r="D12" s="154"/>
      <c r="E12" s="154">
        <f>SUM(E8:E11)</f>
        <v>0</v>
      </c>
      <c r="F12" s="154">
        <f>SUM(F8:F11)</f>
        <v>0</v>
      </c>
      <c r="G12" s="154"/>
      <c r="H12" s="154">
        <f>SUM(H8:H11)</f>
        <v>0</v>
      </c>
      <c r="I12" s="154">
        <f t="shared" ref="I12:J12" si="0">SUM(I8:I11)</f>
        <v>0</v>
      </c>
      <c r="J12" s="154">
        <f t="shared" si="0"/>
        <v>112433</v>
      </c>
      <c r="K12" s="154">
        <f t="shared" ref="K12:L12" si="1">SUM(K8:K11)</f>
        <v>112433</v>
      </c>
      <c r="L12" s="154">
        <f t="shared" si="1"/>
        <v>112433</v>
      </c>
      <c r="M12" s="199"/>
    </row>
    <row r="13" spans="2:13">
      <c r="B13" s="148" t="s">
        <v>229</v>
      </c>
      <c r="C13" s="191"/>
      <c r="D13" s="191"/>
      <c r="E13" s="191"/>
      <c r="F13" s="191"/>
      <c r="G13" s="152"/>
      <c r="H13" s="191"/>
      <c r="I13" s="191"/>
      <c r="J13" s="191">
        <f>-'Antreuil - P&amp;L (2)'!J59</f>
        <v>168567</v>
      </c>
      <c r="K13" s="191">
        <f>-'Antreuil - P&amp;L (2)'!K59</f>
        <v>168567</v>
      </c>
      <c r="L13" s="191">
        <f>-'Antreuil - P&amp;L (2)'!L59</f>
        <v>168567</v>
      </c>
      <c r="M13" s="191"/>
    </row>
    <row r="14" spans="2:13">
      <c r="B14" s="148" t="s">
        <v>230</v>
      </c>
      <c r="C14" s="191"/>
      <c r="D14" s="191"/>
      <c r="E14" s="191"/>
      <c r="F14" s="191"/>
      <c r="G14" s="152"/>
      <c r="H14" s="191"/>
      <c r="I14" s="191"/>
      <c r="J14" s="191">
        <f>-'Antreuil - P&amp;L (2)'!J73</f>
        <v>-40000</v>
      </c>
      <c r="K14" s="191">
        <f>-'Antreuil - P&amp;L (2)'!K73</f>
        <v>-40000</v>
      </c>
      <c r="L14" s="191">
        <f>-'Antreuil - P&amp;L (2)'!L73</f>
        <v>-40000</v>
      </c>
      <c r="M14" s="191"/>
    </row>
    <row r="15" spans="2:13">
      <c r="B15" s="153" t="s">
        <v>231</v>
      </c>
      <c r="C15" s="154"/>
      <c r="D15" s="154"/>
      <c r="E15" s="154">
        <f>SUM(E16:E26)</f>
        <v>0</v>
      </c>
      <c r="F15" s="154">
        <f>SUM(F16:F26)</f>
        <v>0</v>
      </c>
      <c r="G15" s="154"/>
      <c r="H15" s="154">
        <f>SUM(H16:H26)</f>
        <v>0</v>
      </c>
      <c r="I15" s="154">
        <f t="shared" ref="I15:L15" si="2">SUM(I16:I26)</f>
        <v>0</v>
      </c>
      <c r="J15" s="154">
        <f t="shared" si="2"/>
        <v>0</v>
      </c>
      <c r="K15" s="154">
        <f t="shared" si="2"/>
        <v>0</v>
      </c>
      <c r="L15" s="154">
        <f t="shared" si="2"/>
        <v>0</v>
      </c>
      <c r="M15" s="199"/>
    </row>
    <row r="16" spans="2:13" s="145" customFormat="1" ht="15" hidden="1" outlineLevel="1">
      <c r="B16" s="155" t="s">
        <v>232</v>
      </c>
      <c r="C16" s="156"/>
      <c r="D16" s="156"/>
      <c r="E16" s="156"/>
      <c r="F16" s="156"/>
      <c r="G16" s="156"/>
      <c r="H16" s="156"/>
      <c r="I16" s="156"/>
      <c r="J16" s="156">
        <f>-('Antreuil - Bilan (2)'!J14-'Antreuil - Bilan (2)'!I14)</f>
        <v>0</v>
      </c>
      <c r="K16" s="156">
        <f>-('Antreuil - Bilan (2)'!K14-'Antreuil - Bilan (2)'!J14)</f>
        <v>0</v>
      </c>
      <c r="L16" s="156">
        <f>-('Antreuil - Bilan (2)'!L14-'Antreuil - Bilan (2)'!K14)</f>
        <v>0</v>
      </c>
      <c r="M16" s="200"/>
    </row>
    <row r="17" spans="2:13" s="145" customFormat="1" ht="15" hidden="1" outlineLevel="1">
      <c r="B17" s="155" t="s">
        <v>233</v>
      </c>
      <c r="C17" s="156"/>
      <c r="D17" s="156"/>
      <c r="E17" s="156"/>
      <c r="F17" s="156"/>
      <c r="G17" s="156"/>
      <c r="H17" s="156"/>
      <c r="I17" s="156"/>
      <c r="J17" s="156">
        <f>-('Antreuil - Bilan (2)'!J15-'Antreuil - Bilan (2)'!I15)</f>
        <v>0</v>
      </c>
      <c r="K17" s="156">
        <f>-('Antreuil - Bilan (2)'!K15-'Antreuil - Bilan (2)'!J15)</f>
        <v>0</v>
      </c>
      <c r="L17" s="156">
        <f>-('Antreuil - Bilan (2)'!L15-'Antreuil - Bilan (2)'!K15)</f>
        <v>0</v>
      </c>
      <c r="M17" s="200"/>
    </row>
    <row r="18" spans="2:13" s="145" customFormat="1" ht="15" hidden="1" outlineLevel="1">
      <c r="B18" s="155" t="s">
        <v>234</v>
      </c>
      <c r="C18" s="156"/>
      <c r="D18" s="156"/>
      <c r="E18" s="156"/>
      <c r="F18" s="156"/>
      <c r="G18" s="156"/>
      <c r="H18" s="156"/>
      <c r="I18" s="156"/>
      <c r="J18" s="156">
        <f>-('Antreuil - Bilan (2)'!J16-'Antreuil - Bilan (2)'!I16)</f>
        <v>-20000</v>
      </c>
      <c r="K18" s="156">
        <f>-('Antreuil - Bilan (2)'!K16-'Antreuil - Bilan (2)'!J16)</f>
        <v>0</v>
      </c>
      <c r="L18" s="156">
        <f>-('Antreuil - Bilan (2)'!L16-'Antreuil - Bilan (2)'!K16)</f>
        <v>0</v>
      </c>
      <c r="M18" s="200"/>
    </row>
    <row r="19" spans="2:13" s="145" customFormat="1" ht="15" hidden="1" outlineLevel="1">
      <c r="B19" s="155" t="s">
        <v>235</v>
      </c>
      <c r="C19" s="156"/>
      <c r="D19" s="156"/>
      <c r="E19" s="156"/>
      <c r="F19" s="156"/>
      <c r="G19" s="156"/>
      <c r="H19" s="156"/>
      <c r="I19" s="156"/>
      <c r="J19" s="156">
        <f>-('Antreuil - Bilan (2)'!J17-'Antreuil - Bilan (2)'!I17)</f>
        <v>0</v>
      </c>
      <c r="K19" s="156">
        <f>-('Antreuil - Bilan (2)'!K17-'Antreuil - Bilan (2)'!J17)</f>
        <v>0</v>
      </c>
      <c r="L19" s="156">
        <f>-('Antreuil - Bilan (2)'!L17-'Antreuil - Bilan (2)'!K17)</f>
        <v>0</v>
      </c>
      <c r="M19" s="200"/>
    </row>
    <row r="20" spans="2:13" s="145" customFormat="1" ht="15" hidden="1" outlineLevel="1">
      <c r="B20" s="155" t="s">
        <v>236</v>
      </c>
      <c r="C20" s="156"/>
      <c r="D20" s="156"/>
      <c r="E20" s="156"/>
      <c r="F20" s="156"/>
      <c r="G20" s="156"/>
      <c r="H20" s="156"/>
      <c r="I20" s="156"/>
      <c r="J20" s="156">
        <f>-('Antreuil - Bilan (2)'!J19-'Antreuil - Bilan (2)'!I19)</f>
        <v>0</v>
      </c>
      <c r="K20" s="156">
        <f>-('Antreuil - Bilan (2)'!K19-'Antreuil - Bilan (2)'!J19)</f>
        <v>0</v>
      </c>
      <c r="L20" s="156">
        <f>-('Antreuil - Bilan (2)'!L19-'Antreuil - Bilan (2)'!K19)</f>
        <v>0</v>
      </c>
      <c r="M20" s="200"/>
    </row>
    <row r="21" spans="2:13" s="145" customFormat="1" ht="15" hidden="1" outlineLevel="1">
      <c r="B21" s="155" t="s">
        <v>237</v>
      </c>
      <c r="C21" s="156"/>
      <c r="D21" s="156"/>
      <c r="E21" s="156"/>
      <c r="F21" s="156"/>
      <c r="G21" s="156"/>
      <c r="H21" s="156"/>
      <c r="I21" s="156"/>
      <c r="J21" s="156">
        <f>'Antreuil - Bilan (2)'!J45-'Antreuil - Bilan (2)'!I45</f>
        <v>0</v>
      </c>
      <c r="K21" s="156">
        <f>'Antreuil - Bilan (2)'!K45-'Antreuil - Bilan (2)'!J45</f>
        <v>0</v>
      </c>
      <c r="L21" s="156">
        <f>'Antreuil - Bilan (2)'!L45-'Antreuil - Bilan (2)'!K45</f>
        <v>0</v>
      </c>
      <c r="M21" s="200"/>
    </row>
    <row r="22" spans="2:13" s="145" customFormat="1" ht="15" hidden="1" outlineLevel="1">
      <c r="B22" s="155" t="s">
        <v>238</v>
      </c>
      <c r="C22" s="156"/>
      <c r="D22" s="156"/>
      <c r="E22" s="156"/>
      <c r="F22" s="156"/>
      <c r="G22" s="156"/>
      <c r="H22" s="156"/>
      <c r="I22" s="156"/>
      <c r="J22" s="156">
        <f>'Antreuil - Bilan (2)'!J46-'Antreuil - Bilan (2)'!I46</f>
        <v>0</v>
      </c>
      <c r="K22" s="156">
        <f>'Antreuil - Bilan (2)'!K46-'Antreuil - Bilan (2)'!J46</f>
        <v>0</v>
      </c>
      <c r="L22" s="156">
        <f>'Antreuil - Bilan (2)'!L46-'Antreuil - Bilan (2)'!K46</f>
        <v>0</v>
      </c>
      <c r="M22" s="200"/>
    </row>
    <row r="23" spans="2:13" s="145" customFormat="1" ht="15" hidden="1" outlineLevel="1">
      <c r="B23" s="155" t="s">
        <v>239</v>
      </c>
      <c r="C23" s="156"/>
      <c r="D23" s="156"/>
      <c r="E23" s="156"/>
      <c r="F23" s="156"/>
      <c r="G23" s="156"/>
      <c r="H23" s="156"/>
      <c r="I23" s="156"/>
      <c r="J23" s="156">
        <f>'Antreuil - Bilan (2)'!J47-'Antreuil - Bilan (2)'!I47</f>
        <v>20000</v>
      </c>
      <c r="K23" s="156">
        <f>'Antreuil - Bilan (2)'!K47-'Antreuil - Bilan (2)'!J47</f>
        <v>0</v>
      </c>
      <c r="L23" s="156">
        <f>'Antreuil - Bilan (2)'!L47-'Antreuil - Bilan (2)'!K47</f>
        <v>0</v>
      </c>
      <c r="M23" s="200"/>
    </row>
    <row r="24" spans="2:13" s="145" customFormat="1" ht="15" hidden="1" outlineLevel="1">
      <c r="B24" s="155" t="s">
        <v>251</v>
      </c>
      <c r="C24" s="156"/>
      <c r="D24" s="156"/>
      <c r="E24" s="156"/>
      <c r="F24" s="156"/>
      <c r="G24" s="156"/>
      <c r="H24" s="156"/>
      <c r="I24" s="156"/>
      <c r="J24" s="156">
        <f>'Antreuil - Bilan (2)'!J48-'Antreuil - Bilan (2)'!I48</f>
        <v>0</v>
      </c>
      <c r="K24" s="156">
        <f>'Antreuil - Bilan (2)'!K48-'Antreuil - Bilan (2)'!J48</f>
        <v>0</v>
      </c>
      <c r="L24" s="156">
        <f>'Antreuil - Bilan (2)'!L48-'Antreuil - Bilan (2)'!K48</f>
        <v>0</v>
      </c>
      <c r="M24" s="200"/>
    </row>
    <row r="25" spans="2:13" s="145" customFormat="1" ht="15" hidden="1" outlineLevel="1">
      <c r="B25" s="155" t="s">
        <v>240</v>
      </c>
      <c r="C25" s="200"/>
      <c r="D25" s="156"/>
      <c r="E25" s="156"/>
      <c r="F25" s="156"/>
      <c r="G25" s="156"/>
      <c r="H25" s="156"/>
      <c r="I25" s="156"/>
      <c r="J25" s="156">
        <f>'Antreuil - Bilan (2)'!J49-'Antreuil - Bilan (2)'!I49</f>
        <v>0</v>
      </c>
      <c r="K25" s="156">
        <f>'Antreuil - Bilan (2)'!K49-'Antreuil - Bilan (2)'!J49</f>
        <v>0</v>
      </c>
      <c r="L25" s="156">
        <f>'Antreuil - Bilan (2)'!L49-'Antreuil - Bilan (2)'!K49</f>
        <v>0</v>
      </c>
      <c r="M25" s="200"/>
    </row>
    <row r="26" spans="2:13" s="145" customFormat="1" ht="15" hidden="1" outlineLevel="1">
      <c r="B26" s="157" t="s">
        <v>241</v>
      </c>
      <c r="C26" s="156"/>
      <c r="D26" s="156"/>
      <c r="E26" s="156"/>
      <c r="F26" s="156"/>
      <c r="G26" s="156"/>
      <c r="H26" s="156"/>
      <c r="I26" s="156"/>
      <c r="J26" s="156">
        <f>'Antreuil - Bilan (2)'!J50-'Antreuil - Bilan (2)'!I50</f>
        <v>0</v>
      </c>
      <c r="K26" s="156">
        <f>'Antreuil - Bilan (2)'!K50-'Antreuil - Bilan (2)'!J50</f>
        <v>0</v>
      </c>
      <c r="L26" s="156">
        <f>'Antreuil - Bilan (2)'!L50-'Antreuil - Bilan (2)'!K50</f>
        <v>0</v>
      </c>
      <c r="M26" s="200"/>
    </row>
    <row r="27" spans="2:13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201"/>
    </row>
    <row r="28" spans="2:13">
      <c r="B28" s="159" t="s">
        <v>242</v>
      </c>
      <c r="C28" s="160"/>
      <c r="D28" s="160">
        <f t="shared" ref="D28:F28" si="3">SUM(D12:D15)</f>
        <v>0</v>
      </c>
      <c r="E28" s="160">
        <f t="shared" si="3"/>
        <v>0</v>
      </c>
      <c r="F28" s="160">
        <f t="shared" si="3"/>
        <v>0</v>
      </c>
      <c r="G28" s="160"/>
      <c r="H28" s="160">
        <f t="shared" ref="H28:L28" si="4">SUM(H12:H15)</f>
        <v>0</v>
      </c>
      <c r="I28" s="160">
        <f t="shared" si="4"/>
        <v>0</v>
      </c>
      <c r="J28" s="160">
        <f t="shared" si="4"/>
        <v>241000</v>
      </c>
      <c r="K28" s="160">
        <f t="shared" si="4"/>
        <v>241000</v>
      </c>
      <c r="L28" s="160">
        <f t="shared" si="4"/>
        <v>241000</v>
      </c>
      <c r="M28" s="202"/>
    </row>
    <row r="29" spans="2:13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203"/>
    </row>
    <row r="30" spans="2:13">
      <c r="B30" s="149" t="s">
        <v>243</v>
      </c>
      <c r="C30" s="150"/>
      <c r="D30" s="150"/>
      <c r="E30" s="150"/>
      <c r="F30" s="150"/>
      <c r="G30" s="219"/>
      <c r="H30" s="150"/>
      <c r="I30" s="150"/>
      <c r="J30" s="149"/>
      <c r="K30" s="149"/>
      <c r="L30" s="149"/>
      <c r="M30" s="204"/>
    </row>
    <row r="31" spans="2:13">
      <c r="B31" s="151" t="s">
        <v>195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201"/>
    </row>
    <row r="32" spans="2:13">
      <c r="B32" s="151" t="s">
        <v>196</v>
      </c>
      <c r="C32" s="158"/>
      <c r="D32" s="158"/>
      <c r="E32" s="158"/>
      <c r="F32" s="158"/>
      <c r="G32" s="158"/>
      <c r="H32" s="158"/>
      <c r="I32" s="158"/>
      <c r="J32" s="158">
        <v>-3371340</v>
      </c>
      <c r="K32" s="158"/>
      <c r="L32" s="158"/>
      <c r="M32" s="201"/>
    </row>
    <row r="33" spans="2:17">
      <c r="B33" s="151" t="s">
        <v>197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201"/>
    </row>
    <row r="34" spans="2:17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91"/>
    </row>
    <row r="35" spans="2:17">
      <c r="B35" s="159" t="s">
        <v>244</v>
      </c>
      <c r="C35" s="160"/>
      <c r="D35" s="160">
        <f>SUM(D31:D34)</f>
        <v>0</v>
      </c>
      <c r="E35" s="160">
        <f>SUM(E31:E34)</f>
        <v>0</v>
      </c>
      <c r="F35" s="160">
        <f>SUM(F31:F34)</f>
        <v>0</v>
      </c>
      <c r="G35" s="160"/>
      <c r="H35" s="160">
        <f t="shared" ref="H35:L35" si="5">SUM(H31:H33)</f>
        <v>0</v>
      </c>
      <c r="I35" s="160">
        <f t="shared" si="5"/>
        <v>0</v>
      </c>
      <c r="J35" s="160">
        <f t="shared" si="5"/>
        <v>-3371340</v>
      </c>
      <c r="K35" s="160">
        <f t="shared" si="5"/>
        <v>0</v>
      </c>
      <c r="L35" s="160">
        <f t="shared" si="5"/>
        <v>0</v>
      </c>
      <c r="M35" s="202"/>
    </row>
    <row r="36" spans="2:17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203"/>
    </row>
    <row r="37" spans="2:17">
      <c r="B37" s="149" t="s">
        <v>245</v>
      </c>
      <c r="C37" s="149"/>
      <c r="D37" s="149"/>
      <c r="E37" s="149"/>
      <c r="F37" s="149"/>
      <c r="G37" s="220"/>
      <c r="H37" s="149"/>
      <c r="I37" s="149"/>
      <c r="J37" s="149"/>
      <c r="K37" s="149"/>
      <c r="L37" s="149"/>
      <c r="M37" s="204"/>
    </row>
    <row r="38" spans="2:17">
      <c r="B38" s="161" t="s">
        <v>27</v>
      </c>
      <c r="C38" s="205"/>
      <c r="D38" s="205"/>
      <c r="E38" s="205"/>
      <c r="F38" s="205"/>
      <c r="G38" s="134"/>
      <c r="H38" s="205"/>
      <c r="I38" s="205"/>
      <c r="J38" s="205"/>
      <c r="K38" s="205"/>
      <c r="L38" s="205"/>
      <c r="M38" s="205"/>
      <c r="N38" s="134"/>
      <c r="O38" s="134"/>
      <c r="P38" s="134"/>
      <c r="Q38" s="134"/>
    </row>
    <row r="39" spans="2:17">
      <c r="B39" s="161" t="s">
        <v>28</v>
      </c>
      <c r="C39" s="205"/>
      <c r="D39" s="205">
        <f>SUM(D40:D41)</f>
        <v>0</v>
      </c>
      <c r="E39" s="205">
        <f>SUM(E40:E41)</f>
        <v>0</v>
      </c>
      <c r="F39" s="205">
        <f>SUM(F40:F41)</f>
        <v>0</v>
      </c>
      <c r="G39" s="134"/>
      <c r="H39" s="205">
        <f>SUM(H40:H41)</f>
        <v>0</v>
      </c>
      <c r="I39" s="205">
        <f>SUM(I40:I41)</f>
        <v>0</v>
      </c>
      <c r="J39" s="205">
        <f>SUM(J40:J41)</f>
        <v>-100490</v>
      </c>
      <c r="K39" s="205">
        <f>SUM(K40:K41)</f>
        <v>-95289</v>
      </c>
      <c r="L39" s="205">
        <f>SUM(L40:L41)</f>
        <v>-89878</v>
      </c>
      <c r="M39" s="205"/>
      <c r="N39" s="134"/>
      <c r="O39" s="134"/>
      <c r="P39" s="134"/>
      <c r="Q39" s="134"/>
    </row>
    <row r="40" spans="2:17" s="137" customFormat="1" ht="12.75" hidden="1" outlineLevel="1">
      <c r="B40" s="164" t="str">
        <f>'Antreuil - P&amp;L (2)'!B68</f>
        <v>Intérêt sur emprunt 180 mois</v>
      </c>
      <c r="C40" s="206"/>
      <c r="D40" s="206"/>
      <c r="E40" s="206"/>
      <c r="F40" s="206"/>
      <c r="G40" s="133"/>
      <c r="H40" s="206"/>
      <c r="I40" s="206"/>
      <c r="J40" s="206">
        <f>'Antreuil - P&amp;L (2)'!J68</f>
        <v>-100490</v>
      </c>
      <c r="K40" s="206">
        <f>'Antreuil - P&amp;L (2)'!K68</f>
        <v>-95289</v>
      </c>
      <c r="L40" s="206">
        <f>'Antreuil - P&amp;L (2)'!L68</f>
        <v>-89878</v>
      </c>
      <c r="M40" s="206"/>
      <c r="N40" s="138"/>
      <c r="O40" s="138"/>
      <c r="P40" s="138"/>
      <c r="Q40" s="138"/>
    </row>
    <row r="41" spans="2:17" s="137" customFormat="1" ht="12.75" hidden="1" outlineLevel="1">
      <c r="B41" s="164"/>
      <c r="C41" s="206"/>
      <c r="D41" s="206"/>
      <c r="E41" s="206"/>
      <c r="F41" s="206"/>
      <c r="G41" s="133"/>
      <c r="H41" s="206"/>
      <c r="I41" s="206"/>
      <c r="J41" s="206"/>
      <c r="K41" s="206"/>
      <c r="L41" s="206"/>
      <c r="M41" s="206"/>
      <c r="N41" s="138"/>
      <c r="O41" s="138"/>
      <c r="P41" s="138"/>
      <c r="Q41" s="138"/>
    </row>
    <row r="42" spans="2:17" collapsed="1">
      <c r="B42" s="161" t="s">
        <v>213</v>
      </c>
      <c r="C42" s="152"/>
      <c r="D42" s="152">
        <f>SUM(D43:D44)</f>
        <v>0</v>
      </c>
      <c r="E42" s="152">
        <f>SUM(E43:E44)</f>
        <v>0</v>
      </c>
      <c r="F42" s="152">
        <f>SUM(F43:F44)</f>
        <v>0</v>
      </c>
      <c r="G42" s="152"/>
      <c r="H42" s="152">
        <f>SUM(H43:H44)</f>
        <v>0</v>
      </c>
      <c r="I42" s="152">
        <f>SUM(I43:I44)</f>
        <v>0</v>
      </c>
      <c r="J42" s="152">
        <f>SUM(J43:J44)</f>
        <v>2442686</v>
      </c>
      <c r="K42" s="152">
        <f>SUM(K43:K44)</f>
        <v>-132855</v>
      </c>
      <c r="L42" s="152">
        <f>SUM(L43:L44)</f>
        <v>-138266</v>
      </c>
      <c r="M42" s="205"/>
      <c r="N42" s="134"/>
      <c r="O42" s="134"/>
      <c r="P42" s="134"/>
      <c r="Q42" s="134"/>
    </row>
    <row r="43" spans="2:17" s="137" customFormat="1" ht="12.75" hidden="1" outlineLevel="1">
      <c r="B43" s="165" t="s">
        <v>921</v>
      </c>
      <c r="C43" s="206"/>
      <c r="D43" s="206"/>
      <c r="E43" s="206"/>
      <c r="F43" s="206"/>
      <c r="G43" s="133"/>
      <c r="H43" s="206"/>
      <c r="I43" s="206"/>
      <c r="J43" s="206">
        <f>'Antreuil - Bilan (2)'!J39-'Antreuil - Bilan (2)'!I39</f>
        <v>2442686</v>
      </c>
      <c r="K43" s="206">
        <f>'Antreuil - Bilan (2)'!K39-'Antreuil - Bilan (2)'!J39</f>
        <v>-132855</v>
      </c>
      <c r="L43" s="206">
        <f>'Antreuil - Bilan (2)'!L39-'Antreuil - Bilan (2)'!K39</f>
        <v>-138266</v>
      </c>
      <c r="M43" s="206"/>
      <c r="N43" s="138"/>
      <c r="O43" s="138"/>
      <c r="P43" s="138"/>
      <c r="Q43" s="138"/>
    </row>
    <row r="44" spans="2:17" s="137" customFormat="1" ht="12.75" hidden="1" outlineLevel="1">
      <c r="B44" s="165"/>
      <c r="C44" s="206"/>
      <c r="D44" s="206"/>
      <c r="E44" s="206"/>
      <c r="F44" s="206"/>
      <c r="G44" s="133"/>
      <c r="H44" s="206"/>
      <c r="I44" s="206"/>
      <c r="J44" s="206"/>
      <c r="K44" s="206"/>
      <c r="L44" s="206"/>
      <c r="M44" s="206"/>
      <c r="N44" s="138"/>
      <c r="O44" s="138"/>
      <c r="P44" s="138"/>
      <c r="Q44" s="138"/>
    </row>
    <row r="45" spans="2:17" collapsed="1">
      <c r="B45" s="161" t="s">
        <v>214</v>
      </c>
      <c r="C45" s="152"/>
      <c r="D45" s="152">
        <f>SUM(D46:D46)</f>
        <v>0</v>
      </c>
      <c r="E45" s="152">
        <f>SUM(E46:E46)</f>
        <v>0</v>
      </c>
      <c r="F45" s="152">
        <f>SUM(F46:F46)</f>
        <v>0</v>
      </c>
      <c r="G45" s="152"/>
      <c r="H45" s="152">
        <f>SUM(H46:H46)</f>
        <v>0</v>
      </c>
      <c r="I45" s="152">
        <f>SUM(I46:I46)</f>
        <v>0</v>
      </c>
      <c r="J45" s="152">
        <f>SUM(J46:J46)</f>
        <v>0</v>
      </c>
      <c r="K45" s="152">
        <f>SUM(K46:K46)</f>
        <v>0</v>
      </c>
      <c r="L45" s="152">
        <f>SUM(L46:L46)</f>
        <v>0</v>
      </c>
      <c r="M45" s="205"/>
      <c r="N45" s="134"/>
      <c r="O45" s="134"/>
      <c r="P45" s="134"/>
      <c r="Q45" s="134"/>
    </row>
    <row r="46" spans="2:17" s="137" customFormat="1" ht="12.75" hidden="1" outlineLevel="1">
      <c r="B46" s="165"/>
      <c r="C46" s="206"/>
      <c r="D46" s="206"/>
      <c r="E46" s="206"/>
      <c r="F46" s="206"/>
      <c r="G46" s="133"/>
      <c r="H46" s="206"/>
      <c r="I46" s="206"/>
      <c r="J46" s="206"/>
      <c r="K46" s="206"/>
      <c r="L46" s="206"/>
      <c r="M46" s="206"/>
      <c r="N46" s="138"/>
      <c r="O46" s="138"/>
      <c r="P46" s="138"/>
      <c r="Q46" s="138"/>
    </row>
    <row r="47" spans="2:17" collapsed="1">
      <c r="B47" s="161" t="s">
        <v>162</v>
      </c>
      <c r="C47" s="134"/>
      <c r="D47" s="134"/>
      <c r="E47" s="134"/>
      <c r="F47" s="134"/>
      <c r="G47" s="134"/>
      <c r="H47" s="134"/>
      <c r="I47" s="134"/>
      <c r="J47" s="134">
        <v>800000</v>
      </c>
      <c r="K47" s="134"/>
      <c r="L47" s="134"/>
      <c r="M47" s="205"/>
      <c r="N47" s="134"/>
      <c r="O47" s="134"/>
      <c r="P47" s="134"/>
      <c r="Q47" s="134"/>
    </row>
    <row r="48" spans="2:17" s="137" customFormat="1" ht="12.75" hidden="1" outlineLevel="1">
      <c r="B48" s="162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207"/>
      <c r="N48" s="138"/>
      <c r="O48" s="138"/>
      <c r="P48" s="138"/>
      <c r="Q48" s="138"/>
    </row>
    <row r="49" spans="2:17" s="137" customFormat="1" collapsed="1">
      <c r="B49" s="161" t="s">
        <v>263</v>
      </c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207"/>
      <c r="N49" s="138"/>
      <c r="O49" s="138"/>
      <c r="P49" s="138"/>
      <c r="Q49" s="138"/>
    </row>
    <row r="50" spans="2:17" s="137" customFormat="1" ht="12.75" hidden="1" outlineLevel="1">
      <c r="B50" s="162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207"/>
      <c r="N50" s="138"/>
      <c r="O50" s="138"/>
      <c r="P50" s="138"/>
      <c r="Q50" s="138"/>
    </row>
    <row r="51" spans="2:17" collapsed="1">
      <c r="B51" s="161" t="s">
        <v>252</v>
      </c>
      <c r="C51" s="205"/>
      <c r="D51" s="205">
        <v>0</v>
      </c>
      <c r="E51" s="205">
        <v>0</v>
      </c>
      <c r="F51" s="205">
        <v>0</v>
      </c>
      <c r="G51" s="134"/>
      <c r="H51" s="205"/>
      <c r="I51" s="134">
        <v>1000</v>
      </c>
      <c r="J51" s="134"/>
      <c r="K51" s="134"/>
      <c r="L51" s="134"/>
      <c r="M51" s="205"/>
      <c r="N51" s="134"/>
      <c r="O51" s="134"/>
      <c r="P51" s="134"/>
      <c r="Q51" s="134"/>
    </row>
    <row r="52" spans="2:17" s="137" customFormat="1" ht="12.75" hidden="1" outlineLevel="1">
      <c r="B52" s="166" t="s">
        <v>101</v>
      </c>
      <c r="C52" s="138"/>
      <c r="D52" s="138"/>
      <c r="E52" s="138"/>
      <c r="F52" s="138"/>
      <c r="G52" s="138"/>
      <c r="H52" s="138"/>
      <c r="I52" s="138"/>
      <c r="J52" s="138"/>
      <c r="K52" s="138"/>
      <c r="L52" s="138"/>
      <c r="M52" s="207"/>
      <c r="N52" s="138"/>
      <c r="O52" s="138"/>
      <c r="P52" s="138"/>
      <c r="Q52" s="138"/>
    </row>
    <row r="53" spans="2:17" s="137" customFormat="1" ht="12.75" hidden="1" outlineLevel="1">
      <c r="B53" s="166" t="s">
        <v>253</v>
      </c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207"/>
      <c r="N53" s="138"/>
      <c r="O53" s="138"/>
      <c r="P53" s="138"/>
      <c r="Q53" s="138"/>
    </row>
    <row r="54" spans="2:17" s="137" customFormat="1" ht="12.75" collapsed="1">
      <c r="B54" s="162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207"/>
      <c r="N54" s="138"/>
      <c r="O54" s="138"/>
      <c r="P54" s="138"/>
      <c r="Q54" s="138"/>
    </row>
    <row r="55" spans="2:17">
      <c r="B55" s="159" t="s">
        <v>246</v>
      </c>
      <c r="C55" s="208"/>
      <c r="D55" s="208">
        <f>D38+D39+D42+D45+D47+D49+D51</f>
        <v>0</v>
      </c>
      <c r="E55" s="208">
        <f>E38+E39+E42+E45+E47+E49+E51</f>
        <v>0</v>
      </c>
      <c r="F55" s="208">
        <f>F38+F39+F42+F45+F47+F49+F51</f>
        <v>0</v>
      </c>
      <c r="G55" s="221"/>
      <c r="H55" s="208">
        <f>H38+H39+H42+H45+H47+H49+H51</f>
        <v>0</v>
      </c>
      <c r="I55" s="208">
        <f>I38+I39+I42+I45+I47+I49+I51</f>
        <v>1000</v>
      </c>
      <c r="J55" s="208">
        <f>J38+J39+J42+J45+J47+J49+J51</f>
        <v>3142196</v>
      </c>
      <c r="K55" s="208">
        <f>K38+K39+K42+K45+K47+K49+K51</f>
        <v>-228144</v>
      </c>
      <c r="L55" s="208">
        <f>L38+L39+L42+L45+L47+L49+L51</f>
        <v>-228144</v>
      </c>
      <c r="M55" s="208"/>
    </row>
    <row r="56" spans="2:17">
      <c r="B56" s="163"/>
      <c r="C56" s="163"/>
      <c r="D56" s="163"/>
      <c r="E56" s="163"/>
      <c r="F56" s="163"/>
      <c r="G56" s="151"/>
      <c r="H56" s="163"/>
      <c r="I56" s="163"/>
      <c r="J56" s="163"/>
      <c r="K56" s="163"/>
      <c r="L56" s="163"/>
      <c r="M56" s="203"/>
    </row>
    <row r="57" spans="2:17">
      <c r="B57" s="162" t="s">
        <v>247</v>
      </c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207"/>
    </row>
    <row r="58" spans="2:17">
      <c r="B58" s="159" t="s">
        <v>248</v>
      </c>
      <c r="C58" s="160"/>
      <c r="D58" s="160">
        <f>D55+D57+D35+D28</f>
        <v>0</v>
      </c>
      <c r="E58" s="160">
        <f>E55+E57+E35+E28</f>
        <v>0</v>
      </c>
      <c r="F58" s="160">
        <f>F55+F57+F35+F28</f>
        <v>0</v>
      </c>
      <c r="G58" s="160"/>
      <c r="H58" s="160">
        <f>H55+H57+H35+H28</f>
        <v>0</v>
      </c>
      <c r="I58" s="160">
        <f>I55+I57+I35+I28</f>
        <v>1000</v>
      </c>
      <c r="J58" s="160">
        <f>J55+J57+J35+J28</f>
        <v>11856</v>
      </c>
      <c r="K58" s="160">
        <f>K55+K57+K35+K28</f>
        <v>12856</v>
      </c>
      <c r="L58" s="160">
        <f>L55+L57+L35+L28</f>
        <v>12856</v>
      </c>
      <c r="M58" s="202"/>
    </row>
    <row r="59" spans="2:17">
      <c r="B59" s="151"/>
      <c r="C59" s="151"/>
      <c r="D59" s="151"/>
      <c r="E59" s="151"/>
      <c r="F59" s="151"/>
      <c r="G59" s="151"/>
      <c r="H59" s="151"/>
      <c r="I59" s="151"/>
      <c r="J59" s="151"/>
      <c r="K59" s="151"/>
      <c r="L59" s="151"/>
      <c r="M59" s="203"/>
    </row>
    <row r="60" spans="2:17">
      <c r="B60" s="151" t="s">
        <v>249</v>
      </c>
      <c r="C60" s="152"/>
      <c r="D60" s="152">
        <f>C61</f>
        <v>0</v>
      </c>
      <c r="E60" s="152">
        <f>D61</f>
        <v>0</v>
      </c>
      <c r="F60" s="152">
        <f t="shared" ref="F60:L60" si="6">E61</f>
        <v>0</v>
      </c>
      <c r="G60" s="152"/>
      <c r="H60" s="152">
        <f>F61</f>
        <v>0</v>
      </c>
      <c r="I60" s="152">
        <f t="shared" si="6"/>
        <v>0</v>
      </c>
      <c r="J60" s="152">
        <f t="shared" si="6"/>
        <v>1000</v>
      </c>
      <c r="K60" s="152">
        <f t="shared" si="6"/>
        <v>12856</v>
      </c>
      <c r="L60" s="152">
        <f t="shared" si="6"/>
        <v>25712</v>
      </c>
      <c r="M60" s="191"/>
    </row>
    <row r="61" spans="2:17">
      <c r="B61" s="159" t="s">
        <v>250</v>
      </c>
      <c r="C61" s="160"/>
      <c r="D61" s="160">
        <v>0</v>
      </c>
      <c r="E61" s="160">
        <f t="shared" ref="E61:F61" si="7">E58+E60</f>
        <v>0</v>
      </c>
      <c r="F61" s="160">
        <f t="shared" si="7"/>
        <v>0</v>
      </c>
      <c r="G61" s="160"/>
      <c r="H61" s="160">
        <f>H58+H60</f>
        <v>0</v>
      </c>
      <c r="I61" s="160">
        <f t="shared" ref="I61:L61" si="8">I58+I60</f>
        <v>1000</v>
      </c>
      <c r="J61" s="160">
        <f t="shared" si="8"/>
        <v>12856</v>
      </c>
      <c r="K61" s="160">
        <f t="shared" si="8"/>
        <v>25712</v>
      </c>
      <c r="L61" s="160">
        <f t="shared" si="8"/>
        <v>38568</v>
      </c>
      <c r="M61" s="202"/>
    </row>
    <row r="62" spans="2:17">
      <c r="B62" s="159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205"/>
    </row>
    <row r="63" spans="2:17">
      <c r="B63" s="168" t="s">
        <v>221</v>
      </c>
      <c r="C63" s="167"/>
      <c r="D63" s="167" t="str">
        <f>IF(ABS(D61-'Antreuil - Bilan (2)'!D18)&lt;0.1,"Validé","Erreur")</f>
        <v>Validé</v>
      </c>
      <c r="E63" s="167" t="str">
        <f>IF(ABS(E61-'Antreuil - Bilan (2)'!E18)&lt;0.1,"Validé","Erreur")</f>
        <v>Validé</v>
      </c>
      <c r="F63" s="167" t="str">
        <f>IF(ABS(F61-'Antreuil - Bilan (2)'!F18)&lt;0.1,"Validé","Erreur")</f>
        <v>Validé</v>
      </c>
      <c r="G63" s="167"/>
      <c r="H63" s="167" t="str">
        <f>IF(ABS(H61-'Antreuil - Bilan (2)'!H18)&lt;0.1,"Validé","Erreur")</f>
        <v>Validé</v>
      </c>
      <c r="I63" s="167" t="str">
        <f>IF(ABS(I61-'Antreuil - Bilan (2)'!I18)&lt;0.1,"Validé","Erreur")</f>
        <v>Validé</v>
      </c>
      <c r="J63" s="167" t="str">
        <f>IF(ABS(J61-'Antreuil - Bilan (2)'!J18)&lt;0.1,"Validé","Erreur")</f>
        <v>Validé</v>
      </c>
      <c r="K63" s="167" t="str">
        <f>IF(ABS(K61-'Antreuil - Bilan (2)'!K18)&lt;0.1,"Validé","Erreur")</f>
        <v>Validé</v>
      </c>
      <c r="L63" s="167" t="str">
        <f>IF(ABS(L61-'Antreuil - Bilan (2)'!L18)&lt;0.1,"Validé","Erreur")</f>
        <v>Validé</v>
      </c>
      <c r="M63" s="209"/>
    </row>
    <row r="64" spans="2:17">
      <c r="C64" s="151"/>
      <c r="D64" s="151"/>
      <c r="E64" s="151"/>
      <c r="F64" s="151"/>
      <c r="G64" s="151"/>
      <c r="H64" s="151"/>
    </row>
    <row r="65" spans="3:10">
      <c r="C65" s="134"/>
      <c r="D65" s="134"/>
      <c r="E65" s="134"/>
      <c r="F65" s="134"/>
      <c r="G65" s="134"/>
      <c r="H65" s="134"/>
      <c r="I65" s="134"/>
      <c r="J65" s="134"/>
    </row>
    <row r="66" spans="3:10">
      <c r="C66" s="136"/>
      <c r="D66" s="136"/>
      <c r="E66" s="136"/>
      <c r="F66" s="136"/>
      <c r="G66" s="136"/>
      <c r="H66" s="136"/>
    </row>
    <row r="67" spans="3:10">
      <c r="C67" s="134"/>
      <c r="D67" s="134"/>
      <c r="E67" s="134"/>
      <c r="F67" s="134"/>
      <c r="G67" s="134"/>
      <c r="H67" s="134"/>
      <c r="I67" s="134"/>
      <c r="J67" s="134"/>
    </row>
  </sheetData>
  <mergeCells count="1">
    <mergeCell ref="B2:B4"/>
  </mergeCells>
  <conditionalFormatting sqref="C63:L63">
    <cfRule type="containsText" dxfId="43" priority="1" operator="containsText" text="Validé">
      <formula>NOT(ISERROR(SEARCH("Validé",C63)))</formula>
    </cfRule>
    <cfRule type="containsText" dxfId="42" priority="2" operator="containsText" text="Erreur">
      <formula>NOT(ISERROR(SEARCH("Erreur",C63)))</formula>
    </cfRule>
  </conditionalFormatting>
  <conditionalFormatting sqref="C60:M60">
    <cfRule type="containsText" dxfId="41" priority="3" operator="containsText" text="Equilibré">
      <formula>NOT(ISERROR(SEARCH("Equilibré",C60)))</formula>
    </cfRule>
    <cfRule type="containsText" dxfId="40" priority="4" operator="containsText" text="Erreur">
      <formula>NOT(ISERROR(SEARCH("Erreur",C60)))</formula>
    </cfRule>
    <cfRule type="containsText" dxfId="39" priority="5" operator="containsText" text="Validé">
      <formula>NOT(ISERROR(SEARCH("Validé",C60)))</formula>
    </cfRule>
    <cfRule type="containsText" dxfId="38" priority="6" operator="containsText" text="Erreur">
      <formula>NOT(ISERROR(SEARCH("Erreur",C60)))</formula>
    </cfRule>
    <cfRule type="colorScale" priority="7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6C745-3864-F94E-9F93-6D457E1DF1AC}">
  <sheetPr codeName="Feuil58">
    <tabColor rgb="FF006C4C"/>
  </sheetPr>
  <dimension ref="A2:AP70"/>
  <sheetViews>
    <sheetView showGridLines="0" zoomScale="85" zoomScaleNormal="85" workbookViewId="0">
      <pane xSplit="2" ySplit="4" topLeftCell="D5" activePane="bottomRight" state="frozen"/>
      <selection pane="topRight" activeCell="C1" sqref="C1"/>
      <selection pane="bottomLeft" activeCell="A3" sqref="A3"/>
      <selection pane="bottomRight" activeCell="N47" sqref="N47"/>
    </sheetView>
  </sheetViews>
  <sheetFormatPr baseColWidth="10" defaultColWidth="10.7109375" defaultRowHeight="15.75" outlineLevelRow="1"/>
  <cols>
    <col min="1" max="1" width="2.7109375" style="122" customWidth="1"/>
    <col min="2" max="2" width="40.7109375" style="122" customWidth="1"/>
    <col min="3" max="12" width="15.7109375" style="145" customWidth="1"/>
    <col min="13" max="13" width="13.140625" style="122" bestFit="1" customWidth="1"/>
    <col min="14" max="14" width="12.42578125" style="122" bestFit="1" customWidth="1"/>
    <col min="15" max="15" width="13.42578125" style="122" bestFit="1" customWidth="1"/>
    <col min="16" max="16384" width="10.7109375" style="122"/>
  </cols>
  <sheetData>
    <row r="2" spans="2:15">
      <c r="B2" s="344" t="s">
        <v>192</v>
      </c>
      <c r="C2" s="193" t="s">
        <v>261</v>
      </c>
      <c r="D2" s="193" t="s">
        <v>261</v>
      </c>
      <c r="E2" s="193" t="s">
        <v>261</v>
      </c>
      <c r="F2" s="193" t="s">
        <v>261</v>
      </c>
      <c r="G2" s="193"/>
      <c r="H2" s="193" t="s">
        <v>260</v>
      </c>
      <c r="I2" s="193" t="s">
        <v>260</v>
      </c>
      <c r="J2" s="193" t="s">
        <v>260</v>
      </c>
      <c r="K2" s="193" t="s">
        <v>260</v>
      </c>
      <c r="L2" s="193" t="s">
        <v>260</v>
      </c>
    </row>
    <row r="3" spans="2:15" s="214" customFormat="1" ht="42" customHeight="1">
      <c r="B3" s="344"/>
      <c r="C3" s="244">
        <v>44196</v>
      </c>
      <c r="D3" s="244">
        <v>44561</v>
      </c>
      <c r="E3" s="244">
        <v>44926</v>
      </c>
      <c r="F3" s="244">
        <v>45291</v>
      </c>
      <c r="G3" s="244"/>
      <c r="H3" s="213" t="str">
        <f>'SCI - P&amp;L'!H4</f>
        <v>31/12/2024</v>
      </c>
      <c r="I3" s="213" t="str">
        <f>'SCI - P&amp;L'!I4</f>
        <v>31/12/2025</v>
      </c>
      <c r="J3" s="213" t="str">
        <f>'SCI - P&amp;L'!J4</f>
        <v>31/12/2026</v>
      </c>
      <c r="K3" s="213" t="str">
        <f>'SCI - P&amp;L'!K4</f>
        <v>31/12/2027</v>
      </c>
      <c r="L3" s="213" t="str">
        <f>'SCI - P&amp;L'!L4</f>
        <v>31/12/2028</v>
      </c>
    </row>
    <row r="4" spans="2:15" ht="15" customHeight="1">
      <c r="B4" s="344"/>
      <c r="C4" s="124" t="s">
        <v>3</v>
      </c>
      <c r="D4" s="124" t="s">
        <v>3</v>
      </c>
      <c r="E4" s="124" t="s">
        <v>3</v>
      </c>
      <c r="F4" s="124" t="s">
        <v>3</v>
      </c>
      <c r="G4" s="218"/>
      <c r="H4" s="124" t="s">
        <v>3</v>
      </c>
      <c r="I4" s="124" t="s">
        <v>3</v>
      </c>
      <c r="J4" s="124" t="s">
        <v>3</v>
      </c>
      <c r="K4" s="124" t="s">
        <v>3</v>
      </c>
      <c r="L4" s="124" t="s">
        <v>3</v>
      </c>
    </row>
    <row r="5" spans="2:15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</row>
    <row r="6" spans="2:15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5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</row>
    <row r="8" spans="2:15">
      <c r="B8" s="130" t="s">
        <v>194</v>
      </c>
      <c r="C8" s="128">
        <f t="shared" ref="C8:E8" si="0">SUM(C9:C11)</f>
        <v>0</v>
      </c>
      <c r="D8" s="128">
        <f t="shared" si="0"/>
        <v>0</v>
      </c>
      <c r="E8" s="128">
        <f t="shared" si="0"/>
        <v>0</v>
      </c>
      <c r="F8" s="128">
        <f>SUM(F9:F11)</f>
        <v>0</v>
      </c>
      <c r="G8" s="128"/>
      <c r="H8" s="128">
        <f t="shared" ref="H8:L8" si="1">SUM(H9:H11)</f>
        <v>0</v>
      </c>
      <c r="I8" s="128">
        <f t="shared" si="1"/>
        <v>0</v>
      </c>
      <c r="J8" s="128">
        <f t="shared" si="1"/>
        <v>3202773</v>
      </c>
      <c r="K8" s="128">
        <f t="shared" si="1"/>
        <v>3034206</v>
      </c>
      <c r="L8" s="128">
        <f t="shared" si="1"/>
        <v>2865639</v>
      </c>
    </row>
    <row r="9" spans="2:15">
      <c r="B9" s="131" t="s">
        <v>195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211"/>
    </row>
    <row r="10" spans="2:15">
      <c r="B10" s="131" t="s">
        <v>196</v>
      </c>
      <c r="C10" s="132"/>
      <c r="D10" s="132"/>
      <c r="E10" s="132"/>
      <c r="F10" s="132"/>
      <c r="G10" s="132"/>
      <c r="H10" s="132"/>
      <c r="I10" s="132"/>
      <c r="J10" s="132">
        <f>I10-'Antreuil - CF (2)'!J32+'Antreuil - P&amp;L (2)'!J59</f>
        <v>3202773</v>
      </c>
      <c r="K10" s="132">
        <f>J10+'Antreuil - P&amp;L (2)'!K59</f>
        <v>3034206</v>
      </c>
      <c r="L10" s="132">
        <f>K10+'Antreuil - P&amp;L (2)'!L59</f>
        <v>2865639</v>
      </c>
      <c r="M10" s="188"/>
      <c r="N10" s="188"/>
      <c r="O10" s="188"/>
    </row>
    <row r="11" spans="2:15">
      <c r="B11" s="131" t="s">
        <v>197</v>
      </c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4"/>
      <c r="N11" s="134"/>
      <c r="O11" s="134"/>
    </row>
    <row r="12" spans="2:15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</row>
    <row r="13" spans="2:15">
      <c r="B13" s="130" t="s">
        <v>198</v>
      </c>
      <c r="C13" s="128">
        <f t="shared" ref="C13:E13" si="2">SUM(C14:C16,C17:C19)</f>
        <v>0</v>
      </c>
      <c r="D13" s="128">
        <f t="shared" si="2"/>
        <v>0</v>
      </c>
      <c r="E13" s="128">
        <f t="shared" si="2"/>
        <v>0</v>
      </c>
      <c r="F13" s="128">
        <f>SUM(F14:F16,F17:F19)</f>
        <v>0</v>
      </c>
      <c r="G13" s="128"/>
      <c r="H13" s="128">
        <f>SUM(H14:H20)</f>
        <v>0</v>
      </c>
      <c r="I13" s="128">
        <f>SUM(I14:I20)</f>
        <v>1000</v>
      </c>
      <c r="J13" s="128">
        <f>SUM(J14:J20)</f>
        <v>32856</v>
      </c>
      <c r="K13" s="128">
        <f>SUM(K14:K20)</f>
        <v>45712</v>
      </c>
      <c r="L13" s="128">
        <f>SUM(L14:L20)</f>
        <v>58568</v>
      </c>
      <c r="M13" s="186"/>
      <c r="N13" s="186"/>
      <c r="O13" s="186"/>
    </row>
    <row r="14" spans="2:15">
      <c r="B14" s="131" t="s">
        <v>199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6"/>
      <c r="O14" s="136"/>
    </row>
    <row r="15" spans="2:15">
      <c r="B15" s="131" t="s">
        <v>200</v>
      </c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6"/>
      <c r="N15" s="136"/>
      <c r="O15" s="136"/>
    </row>
    <row r="16" spans="2:15">
      <c r="B16" s="131" t="s">
        <v>201</v>
      </c>
      <c r="C16" s="132"/>
      <c r="D16" s="132"/>
      <c r="E16" s="132"/>
      <c r="F16" s="132"/>
      <c r="G16" s="132"/>
      <c r="H16" s="132"/>
      <c r="I16" s="132"/>
      <c r="J16" s="132">
        <v>20000</v>
      </c>
      <c r="K16" s="132">
        <f>J16</f>
        <v>20000</v>
      </c>
      <c r="L16" s="132">
        <f>K16</f>
        <v>20000</v>
      </c>
      <c r="M16" s="136"/>
      <c r="N16" s="136"/>
      <c r="O16" s="136"/>
    </row>
    <row r="17" spans="2:15">
      <c r="B17" s="131" t="s">
        <v>202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6"/>
      <c r="N17" s="136"/>
      <c r="O17" s="136"/>
    </row>
    <row r="18" spans="2:15">
      <c r="B18" s="131" t="s">
        <v>203</v>
      </c>
      <c r="C18" s="132"/>
      <c r="D18" s="132"/>
      <c r="E18" s="132"/>
      <c r="F18" s="132"/>
      <c r="G18" s="132"/>
      <c r="H18" s="132"/>
      <c r="I18" s="132">
        <f>'Antreuil - CF (2)'!I61</f>
        <v>1000</v>
      </c>
      <c r="J18" s="132">
        <f>'Antreuil - CF (2)'!J61</f>
        <v>12856</v>
      </c>
      <c r="K18" s="132">
        <f>'Antreuil - CF (2)'!K61</f>
        <v>25712</v>
      </c>
      <c r="L18" s="132">
        <f>'Antreuil - CF (2)'!L61</f>
        <v>38568</v>
      </c>
      <c r="M18" s="136"/>
      <c r="N18" s="136"/>
      <c r="O18" s="136"/>
    </row>
    <row r="19" spans="2:15">
      <c r="B19" s="131" t="s">
        <v>204</v>
      </c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6"/>
      <c r="N19" s="136"/>
      <c r="O19" s="136"/>
    </row>
    <row r="20" spans="2:15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5">
      <c r="B21" s="130" t="s">
        <v>188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5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2:15">
      <c r="B23" s="139" t="s">
        <v>205</v>
      </c>
      <c r="C23" s="140">
        <f>+C6+C8+C13+C21</f>
        <v>0</v>
      </c>
      <c r="D23" s="140">
        <f t="shared" ref="D23:L23" si="3">+D6+D8+D13+D21</f>
        <v>0</v>
      </c>
      <c r="E23" s="140">
        <f t="shared" si="3"/>
        <v>0</v>
      </c>
      <c r="F23" s="140">
        <f t="shared" si="3"/>
        <v>0</v>
      </c>
      <c r="G23" s="271"/>
      <c r="H23" s="140">
        <f t="shared" si="3"/>
        <v>0</v>
      </c>
      <c r="I23" s="140">
        <f>+I6+I8+I13+I21</f>
        <v>1000</v>
      </c>
      <c r="J23" s="140">
        <f t="shared" si="3"/>
        <v>3235629</v>
      </c>
      <c r="K23" s="140">
        <f t="shared" si="3"/>
        <v>3079918</v>
      </c>
      <c r="L23" s="140">
        <f t="shared" si="3"/>
        <v>2924207</v>
      </c>
    </row>
    <row r="24" spans="2:15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2:15">
      <c r="B25" s="130" t="s">
        <v>111</v>
      </c>
      <c r="C25" s="128">
        <f t="shared" ref="C25:E25" si="4">SUM(C26:C31)</f>
        <v>0</v>
      </c>
      <c r="D25" s="128">
        <f t="shared" si="4"/>
        <v>0</v>
      </c>
      <c r="E25" s="128">
        <f t="shared" si="4"/>
        <v>0</v>
      </c>
      <c r="F25" s="128">
        <f t="shared" ref="F25:L25" si="5">SUM(F26:F31)</f>
        <v>0</v>
      </c>
      <c r="G25" s="128"/>
      <c r="H25" s="128">
        <f t="shared" si="5"/>
        <v>0</v>
      </c>
      <c r="I25" s="128">
        <f t="shared" si="5"/>
        <v>1000</v>
      </c>
      <c r="J25" s="128">
        <f t="shared" si="5"/>
        <v>772943</v>
      </c>
      <c r="K25" s="128">
        <f t="shared" si="5"/>
        <v>750087</v>
      </c>
      <c r="L25" s="128">
        <f t="shared" si="5"/>
        <v>732642</v>
      </c>
    </row>
    <row r="26" spans="2:15">
      <c r="B26" s="131" t="s">
        <v>206</v>
      </c>
      <c r="C26" s="132"/>
      <c r="D26" s="132"/>
      <c r="E26" s="132"/>
      <c r="F26" s="132"/>
      <c r="G26" s="132"/>
      <c r="H26" s="132"/>
      <c r="I26" s="132">
        <v>1000</v>
      </c>
      <c r="J26" s="132">
        <f>I26</f>
        <v>1000</v>
      </c>
      <c r="K26" s="132">
        <f>J26</f>
        <v>1000</v>
      </c>
      <c r="L26" s="132">
        <f>K26</f>
        <v>1000</v>
      </c>
    </row>
    <row r="27" spans="2:15">
      <c r="B27" s="131" t="s">
        <v>207</v>
      </c>
      <c r="C27" s="132"/>
      <c r="D27" s="132"/>
      <c r="E27" s="132"/>
      <c r="F27" s="132"/>
      <c r="G27" s="132"/>
      <c r="H27" s="132"/>
      <c r="I27" s="132"/>
      <c r="J27" s="132"/>
      <c r="K27" s="132"/>
      <c r="L27" s="132"/>
    </row>
    <row r="28" spans="2:15">
      <c r="B28" s="131" t="s">
        <v>65</v>
      </c>
      <c r="C28" s="132"/>
      <c r="D28" s="132"/>
      <c r="E28" s="132"/>
      <c r="F28" s="132"/>
      <c r="G28" s="132"/>
      <c r="H28" s="132"/>
      <c r="I28" s="132"/>
      <c r="J28" s="132">
        <f>I28+I29</f>
        <v>0</v>
      </c>
      <c r="K28" s="132">
        <f>J28+J29</f>
        <v>11943</v>
      </c>
      <c r="L28" s="132">
        <f>K28+K29</f>
        <v>29087</v>
      </c>
      <c r="N28" s="134"/>
      <c r="O28" s="134"/>
    </row>
    <row r="29" spans="2:15">
      <c r="B29" s="131" t="s">
        <v>32</v>
      </c>
      <c r="C29" s="132"/>
      <c r="D29" s="132"/>
      <c r="E29" s="132"/>
      <c r="F29" s="132"/>
      <c r="G29" s="132"/>
      <c r="H29" s="132"/>
      <c r="I29" s="132"/>
      <c r="J29" s="132">
        <f>'Antreuil - P&amp;L (2)'!J81</f>
        <v>11943</v>
      </c>
      <c r="K29" s="132">
        <f>'Antreuil - P&amp;L (2)'!K81</f>
        <v>17144</v>
      </c>
      <c r="L29" s="132">
        <f>'Antreuil - P&amp;L (2)'!L81</f>
        <v>22555</v>
      </c>
      <c r="N29" s="134"/>
    </row>
    <row r="30" spans="2:15">
      <c r="B30" s="131" t="s">
        <v>208</v>
      </c>
      <c r="C30" s="132"/>
      <c r="D30" s="132"/>
      <c r="E30" s="132"/>
      <c r="F30" s="132"/>
      <c r="G30" s="132"/>
      <c r="H30" s="132"/>
      <c r="I30" s="132"/>
      <c r="J30" s="132">
        <f>'Antreuil - CF (2)'!J47-'Antreuil - P&amp;L (2)'!J73</f>
        <v>760000</v>
      </c>
      <c r="K30" s="132">
        <f>J30-'Antreuil - P&amp;L (2)'!K73</f>
        <v>720000</v>
      </c>
      <c r="L30" s="132">
        <f>K30-'Antreuil - P&amp;L (2)'!L73</f>
        <v>680000</v>
      </c>
    </row>
    <row r="31" spans="2:15">
      <c r="B31" s="142" t="s">
        <v>209</v>
      </c>
      <c r="C31" s="132"/>
      <c r="D31" s="132"/>
      <c r="E31" s="132"/>
      <c r="F31" s="132"/>
      <c r="G31" s="132"/>
      <c r="H31" s="132"/>
      <c r="I31" s="132"/>
      <c r="J31" s="132"/>
      <c r="K31" s="132"/>
      <c r="L31" s="132"/>
    </row>
    <row r="32" spans="2:15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</row>
    <row r="33" spans="2:17">
      <c r="B33" s="130" t="s">
        <v>51</v>
      </c>
      <c r="C33" s="128">
        <f t="shared" ref="C33:L33" si="6">SUM(C34:C36)</f>
        <v>0</v>
      </c>
      <c r="D33" s="128">
        <f t="shared" si="6"/>
        <v>0</v>
      </c>
      <c r="E33" s="128">
        <f t="shared" si="6"/>
        <v>0</v>
      </c>
      <c r="F33" s="128">
        <f t="shared" si="6"/>
        <v>0</v>
      </c>
      <c r="G33" s="128"/>
      <c r="H33" s="128">
        <f t="shared" si="6"/>
        <v>0</v>
      </c>
      <c r="I33" s="128">
        <f t="shared" si="6"/>
        <v>0</v>
      </c>
      <c r="J33" s="128">
        <f t="shared" si="6"/>
        <v>0</v>
      </c>
      <c r="K33" s="128">
        <f t="shared" si="6"/>
        <v>0</v>
      </c>
      <c r="L33" s="128">
        <f t="shared" si="6"/>
        <v>0</v>
      </c>
    </row>
    <row r="34" spans="2:17">
      <c r="B34" s="131" t="s">
        <v>210</v>
      </c>
      <c r="C34" s="132"/>
      <c r="D34" s="132"/>
      <c r="E34" s="132"/>
      <c r="F34" s="132"/>
      <c r="G34" s="132"/>
      <c r="H34" s="132"/>
      <c r="I34" s="132"/>
      <c r="J34" s="132"/>
      <c r="K34" s="132"/>
      <c r="L34" s="132"/>
    </row>
    <row r="35" spans="2:17">
      <c r="B35" s="131" t="s">
        <v>211</v>
      </c>
      <c r="C35" s="132"/>
      <c r="D35" s="132"/>
      <c r="E35" s="132"/>
      <c r="F35" s="132"/>
      <c r="G35" s="132"/>
      <c r="H35" s="132"/>
      <c r="I35" s="132"/>
      <c r="J35" s="132"/>
      <c r="K35" s="132"/>
      <c r="L35" s="132"/>
    </row>
    <row r="36" spans="2:17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</row>
    <row r="37" spans="2:17">
      <c r="B37" s="130" t="s">
        <v>212</v>
      </c>
      <c r="C37" s="185">
        <f>+C38+C41</f>
        <v>0</v>
      </c>
      <c r="D37" s="185">
        <f>+D38+D41</f>
        <v>0</v>
      </c>
      <c r="E37" s="185">
        <f>+E38+E41</f>
        <v>0</v>
      </c>
      <c r="F37" s="185">
        <f>+F38+F41</f>
        <v>0</v>
      </c>
      <c r="G37" s="185"/>
      <c r="H37" s="185">
        <f>+H38+H41</f>
        <v>0</v>
      </c>
      <c r="I37" s="185">
        <f>+I38+I41</f>
        <v>0</v>
      </c>
      <c r="J37" s="185">
        <f>+J38+J41</f>
        <v>2442686</v>
      </c>
      <c r="K37" s="185">
        <f>+K38+K41</f>
        <v>2309831</v>
      </c>
      <c r="L37" s="185">
        <f>+L38+L41</f>
        <v>2171565</v>
      </c>
      <c r="M37" s="190"/>
      <c r="N37" s="190"/>
      <c r="O37" s="190"/>
    </row>
    <row r="38" spans="2:17">
      <c r="B38" s="131" t="s">
        <v>213</v>
      </c>
      <c r="C38" s="132">
        <f>SUM(C39:C40)</f>
        <v>0</v>
      </c>
      <c r="D38" s="132">
        <f>SUM(D39:D40)</f>
        <v>0</v>
      </c>
      <c r="E38" s="132">
        <f>SUM(E39:E40)</f>
        <v>0</v>
      </c>
      <c r="F38" s="132">
        <f>SUM(F39:F40)</f>
        <v>0</v>
      </c>
      <c r="G38" s="132"/>
      <c r="H38" s="132">
        <f>SUM(H39:H40)</f>
        <v>0</v>
      </c>
      <c r="I38" s="132">
        <f>SUM(I39:I40)</f>
        <v>0</v>
      </c>
      <c r="J38" s="132">
        <f>SUM(J39:J40)</f>
        <v>2442686</v>
      </c>
      <c r="K38" s="132">
        <f>SUM(K39:K40)</f>
        <v>2309831</v>
      </c>
      <c r="L38" s="132">
        <f>SUM(L39:L40)</f>
        <v>2171565</v>
      </c>
      <c r="M38" s="189"/>
      <c r="N38" s="189"/>
      <c r="O38" s="189"/>
      <c r="Q38" s="134"/>
    </row>
    <row r="39" spans="2:17" s="192" customFormat="1" ht="12.75" hidden="1" outlineLevel="1">
      <c r="B39" s="147" t="s">
        <v>921</v>
      </c>
      <c r="C39" s="133"/>
      <c r="D39" s="133"/>
      <c r="E39" s="133"/>
      <c r="F39" s="133"/>
      <c r="G39" s="133"/>
      <c r="H39" s="133"/>
      <c r="I39" s="133"/>
      <c r="J39" s="133">
        <v>2442686</v>
      </c>
      <c r="K39" s="133">
        <v>2309831</v>
      </c>
      <c r="L39" s="133">
        <v>2171565</v>
      </c>
      <c r="M39" s="216"/>
      <c r="N39" s="216"/>
      <c r="O39" s="216"/>
      <c r="Q39" s="217"/>
    </row>
    <row r="40" spans="2:17" s="192" customFormat="1" ht="12.75" hidden="1" outlineLevel="1">
      <c r="B40" s="147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216"/>
      <c r="N40" s="216"/>
      <c r="O40" s="216"/>
      <c r="Q40" s="217"/>
    </row>
    <row r="41" spans="2:17" collapsed="1">
      <c r="B41" s="131" t="s">
        <v>214</v>
      </c>
      <c r="C41" s="132">
        <f t="shared" ref="C41:L41" si="7">SUM(C42:C43)</f>
        <v>0</v>
      </c>
      <c r="D41" s="132">
        <f t="shared" si="7"/>
        <v>0</v>
      </c>
      <c r="E41" s="132">
        <f t="shared" si="7"/>
        <v>0</v>
      </c>
      <c r="F41" s="132">
        <f t="shared" si="7"/>
        <v>0</v>
      </c>
      <c r="G41" s="132"/>
      <c r="H41" s="132">
        <f t="shared" si="7"/>
        <v>0</v>
      </c>
      <c r="I41" s="132">
        <f t="shared" si="7"/>
        <v>0</v>
      </c>
      <c r="J41" s="132">
        <f t="shared" si="7"/>
        <v>0</v>
      </c>
      <c r="K41" s="132">
        <f t="shared" si="7"/>
        <v>0</v>
      </c>
      <c r="L41" s="132">
        <f t="shared" si="7"/>
        <v>0</v>
      </c>
      <c r="M41" s="189"/>
      <c r="N41" s="189"/>
      <c r="O41" s="189"/>
    </row>
    <row r="42" spans="2:17" s="192" customFormat="1" ht="12.75" hidden="1" outlineLevel="1">
      <c r="B42" s="147" t="s">
        <v>722</v>
      </c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216"/>
      <c r="N42" s="216"/>
      <c r="O42" s="216"/>
      <c r="Q42" s="217"/>
    </row>
    <row r="43" spans="2:17" collapsed="1">
      <c r="B43" s="147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211"/>
    </row>
    <row r="44" spans="2:17">
      <c r="B44" s="130" t="s">
        <v>215</v>
      </c>
      <c r="C44" s="128">
        <f t="shared" ref="C44:L44" si="8">SUM(C45:C51)</f>
        <v>0</v>
      </c>
      <c r="D44" s="128">
        <f t="shared" si="8"/>
        <v>0</v>
      </c>
      <c r="E44" s="128">
        <f t="shared" si="8"/>
        <v>0</v>
      </c>
      <c r="F44" s="128">
        <f t="shared" si="8"/>
        <v>0</v>
      </c>
      <c r="G44" s="128"/>
      <c r="H44" s="128">
        <f t="shared" si="8"/>
        <v>0</v>
      </c>
      <c r="I44" s="128">
        <f>SUM(I45:I50)</f>
        <v>0</v>
      </c>
      <c r="J44" s="128">
        <f t="shared" si="8"/>
        <v>20000</v>
      </c>
      <c r="K44" s="128">
        <f t="shared" si="8"/>
        <v>20000</v>
      </c>
      <c r="L44" s="128">
        <f t="shared" si="8"/>
        <v>20000</v>
      </c>
      <c r="M44" s="187"/>
      <c r="N44" s="187"/>
      <c r="O44" s="187"/>
    </row>
    <row r="45" spans="2:17">
      <c r="B45" s="131" t="s">
        <v>216</v>
      </c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4"/>
      <c r="N45" s="134"/>
      <c r="O45" s="134"/>
    </row>
    <row r="46" spans="2:17">
      <c r="B46" s="131" t="s">
        <v>44</v>
      </c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4"/>
      <c r="N46" s="134"/>
      <c r="O46" s="134"/>
    </row>
    <row r="47" spans="2:17">
      <c r="B47" s="131" t="s">
        <v>217</v>
      </c>
      <c r="C47" s="132"/>
      <c r="D47" s="132"/>
      <c r="E47" s="132"/>
      <c r="F47" s="132"/>
      <c r="G47" s="132"/>
      <c r="H47" s="132"/>
      <c r="I47" s="132"/>
      <c r="J47" s="132">
        <v>20000</v>
      </c>
      <c r="K47" s="132">
        <f>J47</f>
        <v>20000</v>
      </c>
      <c r="L47" s="132">
        <f>K47</f>
        <v>20000</v>
      </c>
      <c r="M47" s="134"/>
      <c r="N47" s="134"/>
      <c r="O47" s="134"/>
    </row>
    <row r="48" spans="2:17">
      <c r="B48" s="131" t="s">
        <v>222</v>
      </c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4"/>
      <c r="N48" s="134"/>
      <c r="O48" s="134"/>
    </row>
    <row r="49" spans="1:42">
      <c r="B49" s="131" t="s">
        <v>218</v>
      </c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4"/>
      <c r="N49" s="134"/>
      <c r="O49" s="134"/>
    </row>
    <row r="50" spans="1:42">
      <c r="B50" s="131" t="s">
        <v>219</v>
      </c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4"/>
      <c r="N50" s="134"/>
      <c r="O50" s="134"/>
    </row>
    <row r="51" spans="1:42">
      <c r="B51" s="131"/>
      <c r="C51" s="135"/>
      <c r="D51" s="135"/>
      <c r="E51" s="135"/>
      <c r="F51" s="135"/>
      <c r="G51" s="135"/>
      <c r="H51" s="135"/>
      <c r="I51" s="135"/>
      <c r="J51" s="135"/>
      <c r="K51" s="135"/>
      <c r="L51" s="135"/>
    </row>
    <row r="52" spans="1:42">
      <c r="B52" s="130" t="s">
        <v>188</v>
      </c>
      <c r="C52" s="132"/>
      <c r="D52" s="135"/>
      <c r="E52" s="132"/>
      <c r="F52" s="132">
        <v>-1</v>
      </c>
      <c r="G52" s="132"/>
      <c r="H52" s="132"/>
      <c r="I52" s="132"/>
      <c r="J52" s="132"/>
      <c r="K52" s="132"/>
      <c r="L52" s="132"/>
    </row>
    <row r="53" spans="1:42">
      <c r="B53" s="130"/>
      <c r="C53" s="135"/>
      <c r="D53" s="135"/>
      <c r="E53" s="135"/>
      <c r="F53" s="135"/>
      <c r="G53" s="135"/>
      <c r="H53" s="135"/>
      <c r="I53" s="135"/>
      <c r="J53" s="135"/>
      <c r="K53" s="135"/>
      <c r="L53" s="135"/>
    </row>
    <row r="54" spans="1:42">
      <c r="B54" s="139" t="s">
        <v>220</v>
      </c>
      <c r="C54" s="140">
        <f>+C25+C33+C37+C44+C52</f>
        <v>0</v>
      </c>
      <c r="D54" s="140">
        <f>+D25+D33+D37+D44+D52</f>
        <v>0</v>
      </c>
      <c r="E54" s="140">
        <f>+E25+E33+E37+E44+E52</f>
        <v>0</v>
      </c>
      <c r="F54" s="140">
        <f>+F25+F33+F37+F44+F52</f>
        <v>-1</v>
      </c>
      <c r="G54" s="271"/>
      <c r="H54" s="140">
        <f>+H25+H33+H37+H44+H52</f>
        <v>0</v>
      </c>
      <c r="I54" s="140">
        <f>+I25+I33+I37+I44+I52</f>
        <v>1000</v>
      </c>
      <c r="J54" s="140">
        <f>+J25+J33+J37+J44+J52</f>
        <v>3235629</v>
      </c>
      <c r="K54" s="140">
        <f>+K25+K33+K37+K44+K52</f>
        <v>3079918</v>
      </c>
      <c r="L54" s="140">
        <f>+L25+L33+L37+L44+L52</f>
        <v>2924207</v>
      </c>
    </row>
    <row r="55" spans="1:42">
      <c r="B55" s="141"/>
      <c r="C55" s="135"/>
      <c r="D55" s="135"/>
      <c r="E55" s="135"/>
      <c r="F55" s="135"/>
      <c r="G55" s="135"/>
      <c r="H55" s="135"/>
      <c r="I55" s="135"/>
      <c r="J55" s="135"/>
      <c r="K55" s="135"/>
      <c r="L55" s="135"/>
    </row>
    <row r="56" spans="1:42">
      <c r="B56" s="143" t="s">
        <v>221</v>
      </c>
      <c r="C56" s="144" t="str">
        <f>IF(ABS(C54-C23)&lt;2,"Equilibré","Erreur")</f>
        <v>Equilibré</v>
      </c>
      <c r="D56" s="144" t="str">
        <f>IF(ABS(D54-D23)&lt;2,"Equilibré","Erreur")</f>
        <v>Equilibré</v>
      </c>
      <c r="E56" s="144" t="str">
        <f>IF(ABS(E54-E23)&lt;2,"Equilibré","Erreur")</f>
        <v>Equilibré</v>
      </c>
      <c r="F56" s="144" t="str">
        <f>IF(ABS(F54-F23)&lt;2,"Equilibré","Erreur")</f>
        <v>Equilibré</v>
      </c>
      <c r="G56" s="252"/>
      <c r="H56" s="144" t="str">
        <f>IF(ABS(H54-H23)&lt;2,"Equilibré","Erreur")</f>
        <v>Equilibré</v>
      </c>
      <c r="I56" s="144" t="str">
        <f>IF(ABS(I54-I23)&lt;2,"Equilibré","Erreur")</f>
        <v>Equilibré</v>
      </c>
      <c r="J56" s="144" t="str">
        <f>IF(ABS(J54-J23)&lt;2,"Equilibré","Erreur")</f>
        <v>Equilibré</v>
      </c>
      <c r="K56" s="144" t="str">
        <f>IF(ABS(K54-K23)&lt;2,"Equilibré","Erreur")</f>
        <v>Equilibré</v>
      </c>
      <c r="L56" s="144" t="str">
        <f>IF(ABS(L54-L23)&lt;2,"Equilibré","Erreur")</f>
        <v>Equilibré</v>
      </c>
    </row>
    <row r="58" spans="1:42" s="32" customFormat="1">
      <c r="A58" s="83"/>
      <c r="B58" s="13" t="s">
        <v>68</v>
      </c>
      <c r="C58" s="14"/>
      <c r="D58" s="14"/>
      <c r="E58" s="14"/>
      <c r="F58" s="14"/>
      <c r="G58" s="52"/>
      <c r="H58" s="14"/>
      <c r="I58" s="14"/>
      <c r="J58" s="14"/>
      <c r="K58" s="14"/>
      <c r="L58" s="14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</row>
    <row r="59" spans="1:42" s="32" customFormat="1">
      <c r="A59" s="83"/>
      <c r="B59" s="15" t="s">
        <v>42</v>
      </c>
      <c r="C59" s="23"/>
      <c r="D59" s="23"/>
      <c r="E59" s="23"/>
      <c r="F59" s="23"/>
      <c r="G59" s="272"/>
      <c r="H59" s="23"/>
      <c r="I59" s="23"/>
      <c r="J59" s="23"/>
      <c r="K59" s="23"/>
      <c r="L59" s="2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</row>
    <row r="60" spans="1:42" s="32" customFormat="1">
      <c r="A60" s="83"/>
      <c r="B60" s="15" t="s">
        <v>69</v>
      </c>
      <c r="C60" s="23"/>
      <c r="D60" s="23"/>
      <c r="E60" s="23"/>
      <c r="F60" s="23"/>
      <c r="G60" s="272"/>
      <c r="H60" s="23"/>
      <c r="I60" s="23"/>
      <c r="J60" s="23"/>
      <c r="K60" s="23"/>
      <c r="L60" s="2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</row>
    <row r="61" spans="1:42" s="32" customFormat="1">
      <c r="A61" s="83"/>
      <c r="B61" s="15" t="s">
        <v>70</v>
      </c>
      <c r="C61" s="23"/>
      <c r="D61" s="23"/>
      <c r="E61" s="23"/>
      <c r="F61" s="23"/>
      <c r="G61" s="272"/>
      <c r="H61" s="23"/>
      <c r="I61" s="23"/>
      <c r="J61" s="23"/>
      <c r="K61" s="23"/>
      <c r="L61" s="2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</row>
    <row r="62" spans="1:42">
      <c r="B62" s="24" t="s">
        <v>71</v>
      </c>
      <c r="C62" s="23"/>
      <c r="D62" s="23"/>
      <c r="E62" s="23"/>
      <c r="F62" s="23"/>
      <c r="G62" s="272"/>
      <c r="H62" s="23"/>
      <c r="I62" s="23"/>
      <c r="J62" s="23"/>
      <c r="K62" s="23"/>
      <c r="L62" s="23"/>
    </row>
    <row r="63" spans="1:42">
      <c r="B63" s="25" t="s">
        <v>50</v>
      </c>
      <c r="C63" s="26"/>
      <c r="D63" s="26"/>
      <c r="E63" s="26"/>
      <c r="F63" s="26"/>
      <c r="G63" s="280"/>
      <c r="H63" s="26"/>
      <c r="I63" s="26"/>
      <c r="J63" s="26"/>
      <c r="K63" s="26"/>
      <c r="L63" s="26"/>
    </row>
    <row r="64" spans="1:42">
      <c r="B64" s="25" t="s">
        <v>72</v>
      </c>
      <c r="C64" s="27"/>
      <c r="D64" s="27"/>
      <c r="E64" s="27"/>
      <c r="F64" s="27"/>
      <c r="G64" s="281"/>
      <c r="H64" s="27"/>
      <c r="I64" s="27"/>
      <c r="J64" s="27"/>
      <c r="K64" s="27"/>
      <c r="L64" s="27"/>
    </row>
    <row r="65" spans="2:12">
      <c r="B65" s="28" t="s">
        <v>73</v>
      </c>
      <c r="C65" s="29"/>
      <c r="D65" s="29"/>
      <c r="E65" s="29"/>
      <c r="F65" s="29"/>
      <c r="G65" s="282"/>
      <c r="H65" s="29"/>
      <c r="I65" s="29"/>
      <c r="J65" s="29"/>
      <c r="K65" s="29"/>
      <c r="L65" s="29"/>
    </row>
    <row r="66" spans="2:12">
      <c r="B66" s="17" t="s">
        <v>74</v>
      </c>
      <c r="C66" s="30"/>
      <c r="D66" s="30"/>
      <c r="E66" s="30"/>
      <c r="F66" s="30"/>
      <c r="G66" s="282"/>
      <c r="H66" s="30"/>
      <c r="I66" s="30"/>
      <c r="J66" s="30"/>
      <c r="K66" s="30"/>
      <c r="L66" s="30"/>
    </row>
    <row r="68" spans="2:12">
      <c r="I68" s="146"/>
    </row>
    <row r="69" spans="2:12">
      <c r="C69" s="146"/>
      <c r="D69" s="146"/>
      <c r="E69" s="146"/>
      <c r="F69" s="146"/>
      <c r="G69" s="146"/>
    </row>
    <row r="70" spans="2:12">
      <c r="D70" s="146"/>
      <c r="E70" s="146"/>
      <c r="F70" s="146"/>
      <c r="G70" s="146"/>
    </row>
  </sheetData>
  <mergeCells count="1">
    <mergeCell ref="B2:B4"/>
  </mergeCells>
  <conditionalFormatting sqref="C56:L56">
    <cfRule type="containsText" dxfId="37" priority="1" operator="containsText" text="Equilibré">
      <formula>NOT(ISERROR(SEARCH("Equilibré",C56)))</formula>
    </cfRule>
    <cfRule type="containsText" dxfId="36" priority="2" operator="containsText" text="Erreur">
      <formula>NOT(ISERROR(SEARCH("Erreur",C56)))</formula>
    </cfRule>
    <cfRule type="containsText" dxfId="35" priority="3" operator="containsText" text="Validé">
      <formula>NOT(ISERROR(SEARCH("Validé",C56)))</formula>
    </cfRule>
    <cfRule type="containsText" dxfId="34" priority="4" operator="containsText" text="Erreur">
      <formula>NOT(ISERROR(SEARCH("Erreur",C56)))</formula>
    </cfRule>
    <cfRule type="colorScale" priority="5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7">
    <tabColor theme="7"/>
  </sheetPr>
  <dimension ref="A1"/>
  <sheetViews>
    <sheetView workbookViewId="0">
      <selection activeCell="J21" sqref="J21"/>
    </sheetView>
  </sheetViews>
  <sheetFormatPr baseColWidth="10" defaultColWidth="10.7109375" defaultRowHeight="15"/>
  <cols>
    <col min="1" max="16384" width="10.7109375" style="66"/>
  </cols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4EAC7-D440-064B-9E7B-F582596D1785}">
  <sheetPr codeName="Feuil52">
    <tabColor theme="9" tint="0.79998168889431442"/>
  </sheetPr>
  <dimension ref="A1:CT152"/>
  <sheetViews>
    <sheetView showGridLines="0" zoomScale="85" zoomScaleNormal="85" workbookViewId="0">
      <pane xSplit="2" ySplit="6" topLeftCell="C7" activePane="bottomRight" state="frozen"/>
      <selection pane="topRight" activeCell="C1" sqref="C1"/>
      <selection pane="bottomLeft" activeCell="A5" sqref="A5"/>
      <selection pane="bottomRight" activeCell="I10" sqref="I10"/>
    </sheetView>
  </sheetViews>
  <sheetFormatPr baseColWidth="10" defaultColWidth="10.7109375" defaultRowHeight="15" outlineLevelRow="1" outlineLevelCol="1"/>
  <cols>
    <col min="1" max="1" width="2.7109375" style="32" customWidth="1"/>
    <col min="2" max="2" width="29.85546875" style="32" customWidth="1"/>
    <col min="3" max="7" width="15.7109375" style="32" customWidth="1" outlineLevel="1"/>
    <col min="8" max="8" width="15.7109375" style="32" customWidth="1"/>
    <col min="9" max="14" width="15.7109375" style="32" customWidth="1" outlineLevel="1"/>
    <col min="15" max="15" width="15.7109375" style="32" customWidth="1"/>
    <col min="16" max="21" width="15.7109375" style="32" customWidth="1" outlineLevel="1"/>
    <col min="22" max="22" width="15.7109375" style="32" customWidth="1"/>
    <col min="23" max="28" width="15.7109375" style="32" customWidth="1" outlineLevel="1"/>
    <col min="29" max="29" width="15.7109375" style="32" customWidth="1"/>
    <col min="30" max="35" width="15.7109375" style="32" customWidth="1" outlineLevel="1"/>
    <col min="36" max="37" width="15.7109375" style="32" customWidth="1"/>
    <col min="38" max="45" width="15.7109375" style="32" customWidth="1" outlineLevel="1"/>
    <col min="46" max="46" width="15.7109375" style="32" customWidth="1"/>
    <col min="47" max="54" width="15.7109375" style="32" customWidth="1" outlineLevel="1"/>
    <col min="55" max="55" width="15.7109375" style="32" customWidth="1"/>
    <col min="56" max="63" width="15.7109375" style="32" customWidth="1" outlineLevel="1"/>
    <col min="64" max="64" width="15.7109375" style="32" customWidth="1"/>
    <col min="65" max="72" width="15.7109375" style="32" customWidth="1" outlineLevel="1"/>
    <col min="73" max="73" width="15.7109375" style="32" customWidth="1"/>
    <col min="74" max="16384" width="10.7109375" style="32"/>
  </cols>
  <sheetData>
    <row r="1" spans="1:98" ht="11.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</row>
    <row r="2" spans="1:98" ht="15.75">
      <c r="A2" s="83"/>
      <c r="B2" s="84" t="s">
        <v>0</v>
      </c>
      <c r="C2" s="84"/>
      <c r="D2" s="84"/>
      <c r="E2" s="84"/>
      <c r="F2" s="84"/>
      <c r="G2" s="84"/>
      <c r="H2" s="84"/>
      <c r="I2" s="245"/>
      <c r="J2" s="84"/>
      <c r="K2" s="84"/>
      <c r="L2" s="84"/>
      <c r="M2" s="84"/>
      <c r="N2" s="84"/>
      <c r="O2" s="84"/>
      <c r="P2" s="245"/>
      <c r="Q2" s="84"/>
      <c r="R2" s="84"/>
      <c r="S2" s="84"/>
      <c r="T2" s="84"/>
      <c r="U2" s="84"/>
      <c r="V2" s="84"/>
      <c r="W2" s="245"/>
      <c r="X2" s="84"/>
      <c r="Y2" s="84"/>
      <c r="Z2" s="84"/>
      <c r="AA2" s="84"/>
      <c r="AB2" s="84"/>
      <c r="AC2" s="84"/>
      <c r="AD2" s="245"/>
      <c r="AE2" s="84"/>
      <c r="AF2" s="84"/>
      <c r="AG2" s="84"/>
      <c r="AH2" s="84"/>
      <c r="AI2" s="84"/>
      <c r="AJ2" s="84"/>
      <c r="AK2" s="245"/>
      <c r="AL2" s="245"/>
      <c r="AM2" s="84"/>
      <c r="AN2" s="84"/>
      <c r="AO2" s="84"/>
      <c r="AP2" s="84"/>
      <c r="AQ2" s="84"/>
      <c r="AR2" s="84"/>
      <c r="AS2" s="84"/>
      <c r="AT2" s="84"/>
      <c r="AU2" s="245"/>
      <c r="AV2" s="84"/>
      <c r="AW2" s="84"/>
      <c r="AX2" s="84"/>
      <c r="AY2" s="84"/>
      <c r="AZ2" s="84"/>
      <c r="BA2" s="84"/>
      <c r="BB2" s="84"/>
      <c r="BC2" s="84"/>
      <c r="BD2" s="245"/>
      <c r="BE2" s="84"/>
      <c r="BF2" s="84"/>
      <c r="BG2" s="84"/>
      <c r="BH2" s="84"/>
      <c r="BI2" s="84"/>
      <c r="BJ2" s="84"/>
      <c r="BK2" s="84"/>
      <c r="BL2" s="84"/>
      <c r="BM2" s="245"/>
      <c r="BN2" s="84"/>
      <c r="BO2" s="84"/>
      <c r="BP2" s="84"/>
      <c r="BQ2" s="84"/>
      <c r="BR2" s="84"/>
      <c r="BS2" s="84"/>
      <c r="BT2" s="84"/>
      <c r="BU2" s="247" t="s">
        <v>662</v>
      </c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</row>
    <row r="3" spans="1:98" customFormat="1" ht="15.75">
      <c r="A3" s="179"/>
      <c r="B3" s="180"/>
      <c r="C3" s="181" t="s">
        <v>261</v>
      </c>
      <c r="D3" s="181" t="s">
        <v>261</v>
      </c>
      <c r="E3" s="181" t="s">
        <v>261</v>
      </c>
      <c r="F3" s="181" t="s">
        <v>261</v>
      </c>
      <c r="G3" s="181" t="s">
        <v>261</v>
      </c>
      <c r="H3" s="181" t="s">
        <v>261</v>
      </c>
      <c r="I3" s="246"/>
      <c r="J3" s="181" t="s">
        <v>261</v>
      </c>
      <c r="K3" s="181" t="s">
        <v>261</v>
      </c>
      <c r="L3" s="181" t="s">
        <v>261</v>
      </c>
      <c r="M3" s="181" t="s">
        <v>261</v>
      </c>
      <c r="N3" s="181" t="s">
        <v>261</v>
      </c>
      <c r="O3" s="181" t="s">
        <v>261</v>
      </c>
      <c r="P3" s="246"/>
      <c r="Q3" s="181" t="s">
        <v>261</v>
      </c>
      <c r="R3" s="181" t="s">
        <v>261</v>
      </c>
      <c r="S3" s="181" t="s">
        <v>261</v>
      </c>
      <c r="T3" s="181" t="s">
        <v>261</v>
      </c>
      <c r="U3" s="181" t="s">
        <v>261</v>
      </c>
      <c r="V3" s="181" t="s">
        <v>261</v>
      </c>
      <c r="W3" s="246"/>
      <c r="X3" s="181" t="s">
        <v>261</v>
      </c>
      <c r="Y3" s="181" t="s">
        <v>261</v>
      </c>
      <c r="Z3" s="181" t="s">
        <v>261</v>
      </c>
      <c r="AA3" s="181" t="s">
        <v>261</v>
      </c>
      <c r="AB3" s="181" t="s">
        <v>261</v>
      </c>
      <c r="AC3" s="181" t="s">
        <v>261</v>
      </c>
      <c r="AD3" s="246"/>
      <c r="AE3" s="181" t="s">
        <v>261</v>
      </c>
      <c r="AF3" s="181" t="s">
        <v>261</v>
      </c>
      <c r="AG3" s="181" t="s">
        <v>261</v>
      </c>
      <c r="AH3" s="181" t="s">
        <v>261</v>
      </c>
      <c r="AI3" s="181" t="s">
        <v>261</v>
      </c>
      <c r="AJ3" s="181" t="s">
        <v>261</v>
      </c>
      <c r="AK3" s="246"/>
      <c r="AL3" s="246"/>
      <c r="AM3" s="181" t="s">
        <v>893</v>
      </c>
      <c r="AN3" s="181" t="s">
        <v>893</v>
      </c>
      <c r="AO3" s="181" t="s">
        <v>893</v>
      </c>
      <c r="AP3" s="181" t="s">
        <v>893</v>
      </c>
      <c r="AQ3" s="181" t="s">
        <v>893</v>
      </c>
      <c r="AR3" s="181" t="s">
        <v>893</v>
      </c>
      <c r="AS3" s="181" t="s">
        <v>893</v>
      </c>
      <c r="AT3" s="181" t="s">
        <v>893</v>
      </c>
      <c r="AU3" s="246"/>
      <c r="AV3" s="181" t="s">
        <v>893</v>
      </c>
      <c r="AW3" s="181" t="s">
        <v>893</v>
      </c>
      <c r="AX3" s="181" t="s">
        <v>893</v>
      </c>
      <c r="AY3" s="181" t="s">
        <v>893</v>
      </c>
      <c r="AZ3" s="181" t="s">
        <v>893</v>
      </c>
      <c r="BA3" s="181" t="s">
        <v>893</v>
      </c>
      <c r="BB3" s="181" t="s">
        <v>893</v>
      </c>
      <c r="BC3" s="181" t="s">
        <v>893</v>
      </c>
      <c r="BD3" s="246"/>
      <c r="BE3" s="181" t="s">
        <v>893</v>
      </c>
      <c r="BF3" s="181" t="s">
        <v>893</v>
      </c>
      <c r="BG3" s="181" t="s">
        <v>893</v>
      </c>
      <c r="BH3" s="181" t="s">
        <v>893</v>
      </c>
      <c r="BI3" s="181" t="s">
        <v>893</v>
      </c>
      <c r="BJ3" s="181" t="s">
        <v>893</v>
      </c>
      <c r="BK3" s="181" t="s">
        <v>893</v>
      </c>
      <c r="BL3" s="181" t="s">
        <v>893</v>
      </c>
      <c r="BM3" s="246"/>
      <c r="BN3" s="181" t="s">
        <v>893</v>
      </c>
      <c r="BO3" s="181" t="s">
        <v>893</v>
      </c>
      <c r="BP3" s="181" t="s">
        <v>893</v>
      </c>
      <c r="BQ3" s="181" t="s">
        <v>893</v>
      </c>
      <c r="BR3" s="181" t="s">
        <v>893</v>
      </c>
      <c r="BS3" s="181" t="s">
        <v>893</v>
      </c>
      <c r="BT3" s="181" t="s">
        <v>893</v>
      </c>
      <c r="BU3" s="181" t="s">
        <v>893</v>
      </c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</row>
    <row r="4" spans="1:98" customFormat="1" ht="15.75">
      <c r="A4" s="179"/>
      <c r="B4" s="180"/>
      <c r="C4" s="249" t="s">
        <v>664</v>
      </c>
      <c r="D4" s="249" t="s">
        <v>894</v>
      </c>
      <c r="E4" s="249" t="s">
        <v>274</v>
      </c>
      <c r="F4" s="249" t="s">
        <v>665</v>
      </c>
      <c r="G4" s="249" t="s">
        <v>723</v>
      </c>
      <c r="H4" s="249" t="s">
        <v>662</v>
      </c>
      <c r="I4" s="246"/>
      <c r="J4" s="249" t="s">
        <v>664</v>
      </c>
      <c r="K4" s="249" t="s">
        <v>894</v>
      </c>
      <c r="L4" s="249" t="s">
        <v>274</v>
      </c>
      <c r="M4" s="249" t="s">
        <v>665</v>
      </c>
      <c r="N4" s="249" t="s">
        <v>723</v>
      </c>
      <c r="O4" s="249" t="s">
        <v>662</v>
      </c>
      <c r="P4" s="246"/>
      <c r="Q4" s="249" t="s">
        <v>664</v>
      </c>
      <c r="R4" s="249" t="s">
        <v>894</v>
      </c>
      <c r="S4" s="249" t="s">
        <v>274</v>
      </c>
      <c r="T4" s="249" t="s">
        <v>665</v>
      </c>
      <c r="U4" s="249" t="s">
        <v>723</v>
      </c>
      <c r="V4" s="249" t="s">
        <v>662</v>
      </c>
      <c r="W4" s="246"/>
      <c r="X4" s="249" t="s">
        <v>664</v>
      </c>
      <c r="Y4" s="249" t="s">
        <v>894</v>
      </c>
      <c r="Z4" s="249" t="s">
        <v>274</v>
      </c>
      <c r="AA4" s="249" t="s">
        <v>665</v>
      </c>
      <c r="AB4" s="249" t="s">
        <v>723</v>
      </c>
      <c r="AC4" s="249" t="s">
        <v>662</v>
      </c>
      <c r="AD4" s="246"/>
      <c r="AE4" s="249" t="s">
        <v>664</v>
      </c>
      <c r="AF4" s="249" t="s">
        <v>894</v>
      </c>
      <c r="AG4" s="249" t="s">
        <v>274</v>
      </c>
      <c r="AH4" s="249" t="s">
        <v>665</v>
      </c>
      <c r="AI4" s="249" t="s">
        <v>723</v>
      </c>
      <c r="AJ4" s="249" t="s">
        <v>662</v>
      </c>
      <c r="AK4" s="307"/>
      <c r="AL4" s="307"/>
      <c r="AM4" s="249" t="s">
        <v>664</v>
      </c>
      <c r="AN4" s="249" t="s">
        <v>894</v>
      </c>
      <c r="AO4" s="249" t="s">
        <v>274</v>
      </c>
      <c r="AP4" s="249" t="s">
        <v>830</v>
      </c>
      <c r="AQ4" s="249" t="s">
        <v>665</v>
      </c>
      <c r="AR4" s="249" t="s">
        <v>723</v>
      </c>
      <c r="AS4" s="249" t="s">
        <v>922</v>
      </c>
      <c r="AT4" s="249" t="s">
        <v>662</v>
      </c>
      <c r="AU4" s="246"/>
      <c r="AV4" s="249" t="s">
        <v>664</v>
      </c>
      <c r="AW4" s="249" t="s">
        <v>894</v>
      </c>
      <c r="AX4" s="249" t="s">
        <v>274</v>
      </c>
      <c r="AY4" s="249" t="s">
        <v>830</v>
      </c>
      <c r="AZ4" s="249" t="s">
        <v>665</v>
      </c>
      <c r="BA4" s="249" t="s">
        <v>723</v>
      </c>
      <c r="BB4" s="249" t="s">
        <v>922</v>
      </c>
      <c r="BC4" s="249" t="s">
        <v>662</v>
      </c>
      <c r="BD4" s="246"/>
      <c r="BE4" s="249" t="s">
        <v>664</v>
      </c>
      <c r="BF4" s="249" t="s">
        <v>894</v>
      </c>
      <c r="BG4" s="249" t="s">
        <v>274</v>
      </c>
      <c r="BH4" s="249" t="s">
        <v>830</v>
      </c>
      <c r="BI4" s="249" t="s">
        <v>665</v>
      </c>
      <c r="BJ4" s="249" t="s">
        <v>723</v>
      </c>
      <c r="BK4" s="249" t="s">
        <v>922</v>
      </c>
      <c r="BL4" s="249" t="s">
        <v>662</v>
      </c>
      <c r="BM4" s="246"/>
      <c r="BN4" s="249" t="s">
        <v>664</v>
      </c>
      <c r="BO4" s="249" t="s">
        <v>894</v>
      </c>
      <c r="BP4" s="249" t="s">
        <v>274</v>
      </c>
      <c r="BQ4" s="249" t="s">
        <v>830</v>
      </c>
      <c r="BR4" s="249" t="s">
        <v>665</v>
      </c>
      <c r="BS4" s="249" t="s">
        <v>723</v>
      </c>
      <c r="BT4" s="249" t="s">
        <v>922</v>
      </c>
      <c r="BU4" s="249" t="s">
        <v>662</v>
      </c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</row>
    <row r="5" spans="1:98" ht="15.75">
      <c r="A5" s="83"/>
      <c r="B5" s="85"/>
      <c r="C5" s="250">
        <v>44074</v>
      </c>
      <c r="D5" s="250">
        <v>44074</v>
      </c>
      <c r="E5" s="250">
        <v>44074</v>
      </c>
      <c r="F5" s="250">
        <v>44196</v>
      </c>
      <c r="G5" s="250">
        <v>44196</v>
      </c>
      <c r="H5" s="250">
        <v>44074</v>
      </c>
      <c r="I5" s="54"/>
      <c r="J5" s="250">
        <v>44439</v>
      </c>
      <c r="K5" s="250">
        <v>44439</v>
      </c>
      <c r="L5" s="250">
        <v>44439</v>
      </c>
      <c r="M5" s="250">
        <v>44561</v>
      </c>
      <c r="N5" s="250">
        <v>44561</v>
      </c>
      <c r="O5" s="250">
        <v>44439</v>
      </c>
      <c r="P5" s="54"/>
      <c r="Q5" s="250">
        <v>44804</v>
      </c>
      <c r="R5" s="250">
        <v>44804</v>
      </c>
      <c r="S5" s="250">
        <v>44804</v>
      </c>
      <c r="T5" s="250">
        <v>44926</v>
      </c>
      <c r="U5" s="250">
        <v>44926</v>
      </c>
      <c r="V5" s="250">
        <v>44804</v>
      </c>
      <c r="W5" s="54"/>
      <c r="X5" s="250">
        <v>45169</v>
      </c>
      <c r="Y5" s="250">
        <v>45169</v>
      </c>
      <c r="Z5" s="250">
        <v>45169</v>
      </c>
      <c r="AA5" s="250">
        <v>45291</v>
      </c>
      <c r="AB5" s="250">
        <v>45291</v>
      </c>
      <c r="AC5" s="250">
        <v>45169</v>
      </c>
      <c r="AD5" s="54"/>
      <c r="AE5" s="250">
        <v>45535</v>
      </c>
      <c r="AF5" s="250">
        <v>45535</v>
      </c>
      <c r="AG5" s="250">
        <v>45535</v>
      </c>
      <c r="AH5" s="250">
        <v>45657</v>
      </c>
      <c r="AI5" s="250">
        <v>45657</v>
      </c>
      <c r="AJ5" s="250">
        <v>45535</v>
      </c>
      <c r="AK5" s="250"/>
      <c r="AL5" s="54"/>
      <c r="AM5" s="250">
        <v>45900</v>
      </c>
      <c r="AN5" s="250">
        <v>45900</v>
      </c>
      <c r="AO5" s="250">
        <v>45900</v>
      </c>
      <c r="AP5" s="250">
        <v>45900</v>
      </c>
      <c r="AQ5" s="250">
        <v>46022</v>
      </c>
      <c r="AR5" s="250">
        <v>46022</v>
      </c>
      <c r="AS5" s="250">
        <v>46022</v>
      </c>
      <c r="AT5" s="250">
        <v>45900</v>
      </c>
      <c r="AU5" s="119"/>
      <c r="AV5" s="250">
        <v>46265</v>
      </c>
      <c r="AW5" s="250">
        <v>46265</v>
      </c>
      <c r="AX5" s="250">
        <v>46265</v>
      </c>
      <c r="AY5" s="250">
        <v>46265</v>
      </c>
      <c r="AZ5" s="311">
        <v>46387</v>
      </c>
      <c r="BA5" s="311">
        <v>46387</v>
      </c>
      <c r="BB5" s="250">
        <v>46387</v>
      </c>
      <c r="BC5" s="250">
        <v>46265</v>
      </c>
      <c r="BD5" s="119"/>
      <c r="BE5" s="250">
        <v>46630</v>
      </c>
      <c r="BF5" s="250">
        <v>46630</v>
      </c>
      <c r="BG5" s="250">
        <v>46630</v>
      </c>
      <c r="BH5" s="250">
        <v>46630</v>
      </c>
      <c r="BI5" s="311">
        <v>46752</v>
      </c>
      <c r="BJ5" s="311">
        <v>46752</v>
      </c>
      <c r="BK5" s="250">
        <v>46752</v>
      </c>
      <c r="BL5" s="250">
        <v>46630</v>
      </c>
      <c r="BM5" s="119"/>
      <c r="BN5" s="250">
        <v>46996</v>
      </c>
      <c r="BO5" s="250">
        <v>46996</v>
      </c>
      <c r="BP5" s="250">
        <v>46996</v>
      </c>
      <c r="BQ5" s="250">
        <v>46996</v>
      </c>
      <c r="BR5" s="311">
        <v>47118</v>
      </c>
      <c r="BS5" s="311">
        <v>47118</v>
      </c>
      <c r="BT5" s="250">
        <v>47118</v>
      </c>
      <c r="BU5" s="250">
        <v>46996</v>
      </c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</row>
    <row r="6" spans="1:98" ht="15.75">
      <c r="A6" s="83"/>
      <c r="B6" s="86" t="s">
        <v>114</v>
      </c>
      <c r="C6" s="87" t="s">
        <v>3</v>
      </c>
      <c r="D6" s="87" t="s">
        <v>3</v>
      </c>
      <c r="E6" s="87" t="s">
        <v>3</v>
      </c>
      <c r="F6" s="87" t="s">
        <v>3</v>
      </c>
      <c r="G6" s="87" t="s">
        <v>3</v>
      </c>
      <c r="H6" s="87" t="s">
        <v>3</v>
      </c>
      <c r="I6" s="274"/>
      <c r="J6" s="87" t="s">
        <v>3</v>
      </c>
      <c r="K6" s="87" t="s">
        <v>3</v>
      </c>
      <c r="L6" s="87" t="s">
        <v>3</v>
      </c>
      <c r="M6" s="87" t="s">
        <v>3</v>
      </c>
      <c r="N6" s="87" t="s">
        <v>3</v>
      </c>
      <c r="O6" s="87" t="s">
        <v>3</v>
      </c>
      <c r="P6" s="87"/>
      <c r="Q6" s="87" t="s">
        <v>3</v>
      </c>
      <c r="R6" s="87" t="s">
        <v>663</v>
      </c>
      <c r="S6" s="87" t="s">
        <v>3</v>
      </c>
      <c r="T6" s="87" t="s">
        <v>3</v>
      </c>
      <c r="U6" s="87" t="s">
        <v>3</v>
      </c>
      <c r="V6" s="87" t="s">
        <v>3</v>
      </c>
      <c r="W6" s="274"/>
      <c r="X6" s="87" t="s">
        <v>3</v>
      </c>
      <c r="Y6" s="87" t="s">
        <v>3</v>
      </c>
      <c r="Z6" s="87" t="s">
        <v>3</v>
      </c>
      <c r="AA6" s="87" t="s">
        <v>3</v>
      </c>
      <c r="AB6" s="87" t="s">
        <v>3</v>
      </c>
      <c r="AC6" s="87" t="s">
        <v>3</v>
      </c>
      <c r="AD6" s="274"/>
      <c r="AE6" s="87" t="s">
        <v>3</v>
      </c>
      <c r="AF6" s="87" t="s">
        <v>3</v>
      </c>
      <c r="AG6" s="87" t="s">
        <v>3</v>
      </c>
      <c r="AH6" s="87" t="s">
        <v>3</v>
      </c>
      <c r="AI6" s="87" t="s">
        <v>3</v>
      </c>
      <c r="AJ6" s="87" t="s">
        <v>3</v>
      </c>
      <c r="AK6" s="274"/>
      <c r="AL6" s="274"/>
      <c r="AM6" s="87" t="s">
        <v>3</v>
      </c>
      <c r="AN6" s="87" t="s">
        <v>3</v>
      </c>
      <c r="AO6" s="87" t="s">
        <v>3</v>
      </c>
      <c r="AP6" s="87" t="s">
        <v>3</v>
      </c>
      <c r="AQ6" s="87" t="s">
        <v>3</v>
      </c>
      <c r="AR6" s="87" t="s">
        <v>3</v>
      </c>
      <c r="AS6" s="87" t="s">
        <v>3</v>
      </c>
      <c r="AT6" s="87" t="s">
        <v>3</v>
      </c>
      <c r="AU6" s="274"/>
      <c r="AV6" s="87" t="s">
        <v>3</v>
      </c>
      <c r="AW6" s="87" t="s">
        <v>3</v>
      </c>
      <c r="AX6" s="87" t="s">
        <v>3</v>
      </c>
      <c r="AY6" s="87" t="s">
        <v>3</v>
      </c>
      <c r="AZ6" s="87" t="s">
        <v>3</v>
      </c>
      <c r="BA6" s="87" t="s">
        <v>3</v>
      </c>
      <c r="BB6" s="87" t="s">
        <v>3</v>
      </c>
      <c r="BC6" s="87" t="s">
        <v>3</v>
      </c>
      <c r="BD6" s="274"/>
      <c r="BE6" s="87" t="s">
        <v>3</v>
      </c>
      <c r="BF6" s="87" t="s">
        <v>3</v>
      </c>
      <c r="BG6" s="87" t="s">
        <v>3</v>
      </c>
      <c r="BH6" s="87" t="s">
        <v>3</v>
      </c>
      <c r="BI6" s="87" t="s">
        <v>3</v>
      </c>
      <c r="BJ6" s="87" t="s">
        <v>3</v>
      </c>
      <c r="BK6" s="87" t="s">
        <v>3</v>
      </c>
      <c r="BL6" s="87" t="s">
        <v>3</v>
      </c>
      <c r="BM6" s="274"/>
      <c r="BN6" s="87" t="s">
        <v>3</v>
      </c>
      <c r="BO6" s="87" t="s">
        <v>3</v>
      </c>
      <c r="BP6" s="87" t="s">
        <v>3</v>
      </c>
      <c r="BQ6" s="87" t="s">
        <v>3</v>
      </c>
      <c r="BR6" s="87" t="s">
        <v>3</v>
      </c>
      <c r="BS6" s="87" t="s">
        <v>3</v>
      </c>
      <c r="BT6" s="87" t="s">
        <v>3</v>
      </c>
      <c r="BU6" s="87" t="s">
        <v>3</v>
      </c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</row>
    <row r="7" spans="1:98" ht="15.75">
      <c r="A7" s="83"/>
      <c r="B7" s="83" t="s">
        <v>164</v>
      </c>
      <c r="C7" s="88">
        <f>'Probois 43 - P&amp;L'!C6</f>
        <v>2632196</v>
      </c>
      <c r="D7" s="88"/>
      <c r="E7" s="88">
        <f>'BSB - P&amp;L'!C6</f>
        <v>0</v>
      </c>
      <c r="F7" s="88">
        <f>'SC des SUCS - P&amp;L'!C6</f>
        <v>0</v>
      </c>
      <c r="G7" s="88"/>
      <c r="H7" s="88">
        <f>SUM(C7:G7)</f>
        <v>2632196</v>
      </c>
      <c r="I7" s="88"/>
      <c r="J7" s="88">
        <f>'Probois 43 - P&amp;L'!D6</f>
        <v>2613013</v>
      </c>
      <c r="K7" s="88">
        <f>'SAS EMB - P&amp;L'!C6</f>
        <v>0</v>
      </c>
      <c r="L7" s="88">
        <f>'BSB - P&amp;L'!D6</f>
        <v>0</v>
      </c>
      <c r="M7" s="88">
        <f>'SC des SUCS - P&amp;L'!D6</f>
        <v>0</v>
      </c>
      <c r="N7" s="88">
        <f>'SCI - P&amp;L'!D6</f>
        <v>0</v>
      </c>
      <c r="O7" s="88">
        <f>SUM(J7:N7)</f>
        <v>2613013</v>
      </c>
      <c r="P7" s="88"/>
      <c r="Q7" s="88">
        <f>'Probois 43 - P&amp;L'!E6</f>
        <v>3325091</v>
      </c>
      <c r="R7" s="88">
        <f>'SAS EMB - P&amp;L'!D6</f>
        <v>0</v>
      </c>
      <c r="S7" s="88">
        <f>'BSB - P&amp;L'!E6</f>
        <v>0</v>
      </c>
      <c r="T7" s="88">
        <f>'SC des SUCS - P&amp;L'!E6</f>
        <v>0</v>
      </c>
      <c r="U7" s="88">
        <f>'SCI - P&amp;L'!E6</f>
        <v>0</v>
      </c>
      <c r="V7" s="88">
        <f>SUM(Q7:U7)</f>
        <v>3325091</v>
      </c>
      <c r="W7" s="88"/>
      <c r="X7" s="88">
        <f>'Probois 43 - P&amp;L'!F6</f>
        <v>4817825</v>
      </c>
      <c r="Y7" s="88">
        <f>'SAS EMB - P&amp;L'!E6</f>
        <v>0</v>
      </c>
      <c r="Z7" s="88">
        <f>'BSB - P&amp;L'!F6</f>
        <v>0</v>
      </c>
      <c r="AA7" s="88">
        <f>'SC des SUCS - P&amp;L'!F6</f>
        <v>0</v>
      </c>
      <c r="AB7" s="88">
        <f>'SCI - P&amp;L'!F6</f>
        <v>0</v>
      </c>
      <c r="AC7" s="88">
        <f>SUM(X7:AB7)</f>
        <v>4817825</v>
      </c>
      <c r="AD7" s="88"/>
      <c r="AE7" s="88">
        <f>'Probois 43 - P&amp;L'!G6</f>
        <v>3489034</v>
      </c>
      <c r="AF7" s="88">
        <f>'SAS EMB - P&amp;L'!F6</f>
        <v>0</v>
      </c>
      <c r="AG7" s="88">
        <f>'BSB - P&amp;L'!G6</f>
        <v>0</v>
      </c>
      <c r="AH7" s="88">
        <f>'SC des SUCS - P&amp;L (2)'!H6</f>
        <v>0</v>
      </c>
      <c r="AI7" s="88">
        <f>'SCI - P&amp;L (2)'!H6</f>
        <v>0</v>
      </c>
      <c r="AJ7" s="88">
        <f>SUM(AE7:AI7)</f>
        <v>3489034</v>
      </c>
      <c r="AK7" s="88"/>
      <c r="AL7" s="88"/>
      <c r="AM7" s="88">
        <f>'Probois 43 - P&amp;L (2)'!I6</f>
        <v>3710725</v>
      </c>
      <c r="AN7" s="88">
        <f>'SAS EMB - P&amp;L (2)'!H6</f>
        <v>0</v>
      </c>
      <c r="AO7" s="88">
        <f>'BSB - P&amp;L (2)'!I6</f>
        <v>0</v>
      </c>
      <c r="AP7" s="88"/>
      <c r="AQ7" s="88">
        <v>0</v>
      </c>
      <c r="AR7" s="88">
        <v>0</v>
      </c>
      <c r="AS7" s="88"/>
      <c r="AT7" s="88">
        <f>SUM(AM7:AS7)</f>
        <v>3710725</v>
      </c>
      <c r="AU7" s="88"/>
      <c r="AV7" s="88">
        <f>'Probois 43 - P&amp;L (2)'!J6</f>
        <v>3896261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f>'Antreuil - P&amp;L (2)'!J6</f>
        <v>0</v>
      </c>
      <c r="BC7" s="88">
        <f>SUM(AV7:BB7)</f>
        <v>3896261</v>
      </c>
      <c r="BD7" s="88"/>
      <c r="BE7" s="88">
        <f>'Probois 43 - P&amp;L (2)'!K6</f>
        <v>4091074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f>'Antreuil - P&amp;L (2)'!K6</f>
        <v>0</v>
      </c>
      <c r="BL7" s="88">
        <f>SUM(BE7:BK7)</f>
        <v>4091074</v>
      </c>
      <c r="BM7" s="88"/>
      <c r="BN7" s="88">
        <f>'Probois 43 - P&amp;L (2)'!L6</f>
        <v>4295628</v>
      </c>
      <c r="BO7" s="88">
        <v>0</v>
      </c>
      <c r="BP7" s="88">
        <v>0</v>
      </c>
      <c r="BQ7" s="88">
        <v>0</v>
      </c>
      <c r="BR7" s="88">
        <v>0</v>
      </c>
      <c r="BS7" s="88">
        <v>0</v>
      </c>
      <c r="BT7" s="88"/>
      <c r="BU7" s="88">
        <f>SUM(BN7:BT7)</f>
        <v>4295628</v>
      </c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</row>
    <row r="8" spans="1:98" ht="15.75">
      <c r="A8" s="83"/>
      <c r="B8" s="83" t="s">
        <v>165</v>
      </c>
      <c r="C8" s="88">
        <f>'Probois 43 - P&amp;L'!C21</f>
        <v>15369</v>
      </c>
      <c r="D8" s="88"/>
      <c r="E8" s="88">
        <f>'BSB - P&amp;L'!C7</f>
        <v>816810</v>
      </c>
      <c r="F8" s="88">
        <f>'SC des SUCS - P&amp;L'!C7</f>
        <v>0</v>
      </c>
      <c r="G8" s="88"/>
      <c r="H8" s="88">
        <f t="shared" ref="H8:H56" si="0">SUM(C8:G8)</f>
        <v>832179</v>
      </c>
      <c r="I8" s="88"/>
      <c r="J8" s="88">
        <f>'Probois 43 - P&amp;L'!D21</f>
        <v>26807</v>
      </c>
      <c r="K8" s="88">
        <f>'SAS EMB - P&amp;L'!C7</f>
        <v>996898</v>
      </c>
      <c r="L8" s="88">
        <f>'BSB - P&amp;L'!D7</f>
        <v>846066</v>
      </c>
      <c r="M8" s="88">
        <f>'SC des SUCS - P&amp;L'!D7</f>
        <v>0</v>
      </c>
      <c r="N8" s="88">
        <f>'SCI - P&amp;L'!D7</f>
        <v>0</v>
      </c>
      <c r="O8" s="88">
        <f t="shared" ref="O8:O56" si="1">SUM(J8:N8)</f>
        <v>1869771</v>
      </c>
      <c r="P8" s="88"/>
      <c r="Q8" s="88">
        <f>'Probois 43 - P&amp;L'!E21</f>
        <v>54512</v>
      </c>
      <c r="R8" s="88">
        <f>'SAS EMB - P&amp;L'!D7</f>
        <v>1711729</v>
      </c>
      <c r="S8" s="88">
        <f>'BSB - P&amp;L'!E7</f>
        <v>1683182</v>
      </c>
      <c r="T8" s="88">
        <f>'SC des SUCS - P&amp;L'!E7</f>
        <v>0</v>
      </c>
      <c r="U8" s="88">
        <f>'SCI - P&amp;L'!E7</f>
        <v>0</v>
      </c>
      <c r="V8" s="88">
        <f t="shared" ref="V8:V56" si="2">SUM(Q8:U8)</f>
        <v>3449423</v>
      </c>
      <c r="W8" s="88"/>
      <c r="X8" s="88">
        <f>'Probois 43 - P&amp;L'!F21</f>
        <v>64868</v>
      </c>
      <c r="Y8" s="88">
        <f>'SAS EMB - P&amp;L'!E7</f>
        <v>1322204</v>
      </c>
      <c r="Z8" s="88">
        <f>'BSB - P&amp;L'!F7</f>
        <v>1886603</v>
      </c>
      <c r="AA8" s="88">
        <f>'SC des SUCS - P&amp;L'!F7</f>
        <v>0</v>
      </c>
      <c r="AB8" s="88">
        <f>'SCI - P&amp;L'!F7</f>
        <v>0</v>
      </c>
      <c r="AC8" s="88">
        <f t="shared" ref="AC8:AC56" si="3">SUM(X8:AB8)</f>
        <v>3273675</v>
      </c>
      <c r="AD8" s="88"/>
      <c r="AE8" s="88">
        <f>'Probois 43 - P&amp;L'!G21</f>
        <v>112646</v>
      </c>
      <c r="AF8" s="88">
        <f>'SAS EMB - P&amp;L'!F7</f>
        <v>1330518</v>
      </c>
      <c r="AG8" s="88">
        <f>'BSB - P&amp;L'!G7</f>
        <v>2103918</v>
      </c>
      <c r="AH8" s="88">
        <f>'SC des SUCS - P&amp;L (2)'!H7</f>
        <v>0</v>
      </c>
      <c r="AI8" s="88">
        <f>'SCI - P&amp;L (2)'!H7</f>
        <v>0</v>
      </c>
      <c r="AJ8" s="88">
        <f t="shared" ref="AJ8:AJ13" si="4">SUM(AE8:AI8)</f>
        <v>3547082</v>
      </c>
      <c r="AK8" s="88"/>
      <c r="AL8" s="88"/>
      <c r="AM8" s="88">
        <f>'Probois 43 - P&amp;L (2)'!I21</f>
        <v>0</v>
      </c>
      <c r="AN8" s="88">
        <f>'SAS EMB - P&amp;L (2)'!H7</f>
        <v>1363715</v>
      </c>
      <c r="AO8" s="88">
        <f>'BSB - P&amp;L (2)'!I7</f>
        <v>2117163</v>
      </c>
      <c r="AP8" s="88"/>
      <c r="AQ8" s="88">
        <v>0</v>
      </c>
      <c r="AR8" s="88">
        <v>0</v>
      </c>
      <c r="AS8" s="88"/>
      <c r="AT8" s="88">
        <f t="shared" ref="AT8:AT13" si="5">SUM(AM8:AS8)</f>
        <v>3480878</v>
      </c>
      <c r="AU8" s="88"/>
      <c r="AV8" s="88">
        <v>0</v>
      </c>
      <c r="AW8" s="88">
        <f>'SAS EMB - P&amp;L (2)'!I7</f>
        <v>1390989</v>
      </c>
      <c r="AX8" s="88">
        <f>'BSB - P&amp;L (2)'!J7</f>
        <v>2328879</v>
      </c>
      <c r="AY8" s="88">
        <f>'Profilyss - P&amp;L (2)'!I7</f>
        <v>1435000</v>
      </c>
      <c r="AZ8" s="88">
        <v>0</v>
      </c>
      <c r="BA8" s="88">
        <v>0</v>
      </c>
      <c r="BB8" s="88">
        <f>'Antreuil - P&amp;L (2)'!J7</f>
        <v>0</v>
      </c>
      <c r="BC8" s="88">
        <f t="shared" ref="BC8:BC13" si="6">SUM(AV8:BB8)</f>
        <v>5154868</v>
      </c>
      <c r="BD8" s="88"/>
      <c r="BE8" s="88">
        <v>0</v>
      </c>
      <c r="BF8" s="88">
        <f>'SAS EMB - P&amp;L (2)'!J7</f>
        <v>1418809</v>
      </c>
      <c r="BG8" s="88">
        <f>'BSB - P&amp;L (2)'!K7</f>
        <v>2445323</v>
      </c>
      <c r="BH8" s="88">
        <f>'Profilyss - P&amp;L (2)'!J7</f>
        <v>2150000</v>
      </c>
      <c r="BI8" s="88">
        <v>0</v>
      </c>
      <c r="BJ8" s="88">
        <v>0</v>
      </c>
      <c r="BK8" s="88">
        <f>'Antreuil - P&amp;L (2)'!K7</f>
        <v>0</v>
      </c>
      <c r="BL8" s="88">
        <f t="shared" ref="BL8:BL13" si="7">SUM(BE8:BK8)</f>
        <v>6014132</v>
      </c>
      <c r="BM8" s="88"/>
      <c r="BN8" s="88">
        <v>0</v>
      </c>
      <c r="BO8" s="88">
        <f>'SAS EMB - P&amp;L (2)'!K7</f>
        <v>1447185</v>
      </c>
      <c r="BP8" s="88">
        <f>'BSB - P&amp;L (2)'!L7</f>
        <v>2567589</v>
      </c>
      <c r="BQ8" s="88">
        <f>'Profilyss - P&amp;L (2)'!K7</f>
        <v>3150000</v>
      </c>
      <c r="BR8" s="88">
        <v>0</v>
      </c>
      <c r="BS8" s="88">
        <v>0</v>
      </c>
      <c r="BT8" s="88"/>
      <c r="BU8" s="88">
        <f t="shared" ref="BU8:BU13" si="8">SUM(BN8:BT8)</f>
        <v>7164774</v>
      </c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</row>
    <row r="9" spans="1:98" ht="15.75">
      <c r="A9" s="83"/>
      <c r="B9" s="83" t="s">
        <v>166</v>
      </c>
      <c r="C9" s="88">
        <f>'Probois 43 - P&amp;L'!C32</f>
        <v>0</v>
      </c>
      <c r="D9" s="88"/>
      <c r="E9" s="88">
        <f>'BSB - P&amp;L'!C51</f>
        <v>0</v>
      </c>
      <c r="F9" s="88">
        <f>'SC des SUCS - P&amp;L'!C8</f>
        <v>0</v>
      </c>
      <c r="G9" s="88"/>
      <c r="H9" s="88">
        <f t="shared" si="0"/>
        <v>0</v>
      </c>
      <c r="I9" s="88"/>
      <c r="J9" s="88">
        <f>'Probois 43 - P&amp;L'!D32</f>
        <v>0</v>
      </c>
      <c r="K9" s="88">
        <f>'SAS EMB - P&amp;L'!C14</f>
        <v>0</v>
      </c>
      <c r="L9" s="88">
        <f>'BSB - P&amp;L'!D51</f>
        <v>0</v>
      </c>
      <c r="M9" s="88">
        <f>'SC des SUCS - P&amp;L'!D8</f>
        <v>0</v>
      </c>
      <c r="N9" s="88">
        <f>'SCI - P&amp;L'!D8</f>
        <v>24355</v>
      </c>
      <c r="O9" s="88">
        <f t="shared" si="1"/>
        <v>24355</v>
      </c>
      <c r="P9" s="88"/>
      <c r="Q9" s="88">
        <f>'Probois 43 - P&amp;L'!E32</f>
        <v>0</v>
      </c>
      <c r="R9" s="88">
        <f>'SAS EMB - P&amp;L'!D14</f>
        <v>0</v>
      </c>
      <c r="S9" s="88">
        <f>'BSB - P&amp;L'!E51</f>
        <v>0</v>
      </c>
      <c r="T9" s="88">
        <f>'SC des SUCS - P&amp;L'!E8</f>
        <v>0</v>
      </c>
      <c r="U9" s="88">
        <f>'SCI - P&amp;L'!E8</f>
        <v>25092</v>
      </c>
      <c r="V9" s="88">
        <f t="shared" si="2"/>
        <v>25092</v>
      </c>
      <c r="W9" s="88"/>
      <c r="X9" s="88">
        <f>'Probois 43 - P&amp;L'!F32</f>
        <v>0</v>
      </c>
      <c r="Y9" s="88">
        <f>'SAS EMB - P&amp;L'!E14</f>
        <v>0</v>
      </c>
      <c r="Z9" s="88">
        <f>'BSB - P&amp;L'!F51</f>
        <v>0</v>
      </c>
      <c r="AA9" s="88">
        <f>'SC des SUCS - P&amp;L'!F8</f>
        <v>90000</v>
      </c>
      <c r="AB9" s="88">
        <f>'SCI - P&amp;L'!F8</f>
        <v>29886</v>
      </c>
      <c r="AC9" s="88">
        <f t="shared" si="3"/>
        <v>119886</v>
      </c>
      <c r="AD9" s="88"/>
      <c r="AE9" s="88">
        <f>'Probois 43 - P&amp;L'!G32</f>
        <v>0</v>
      </c>
      <c r="AF9" s="88">
        <f>'SAS EMB - P&amp;L'!F14</f>
        <v>0</v>
      </c>
      <c r="AG9" s="88">
        <f>'BSB - P&amp;L'!G51</f>
        <v>0</v>
      </c>
      <c r="AH9" s="88">
        <f>'SC des SUCS - P&amp;L (2)'!H8</f>
        <v>211000</v>
      </c>
      <c r="AI9" s="88">
        <f>'SCI - P&amp;L (2)'!H8</f>
        <v>29886</v>
      </c>
      <c r="AJ9" s="88">
        <f t="shared" si="4"/>
        <v>240886</v>
      </c>
      <c r="AK9" s="88"/>
      <c r="AL9" s="88"/>
      <c r="AM9" s="88">
        <f>'Probois 43 - P&amp;L (2)'!I32</f>
        <v>0</v>
      </c>
      <c r="AN9" s="88">
        <v>0</v>
      </c>
      <c r="AO9" s="88">
        <v>0</v>
      </c>
      <c r="AP9" s="88"/>
      <c r="AQ9" s="88">
        <f>'SC des SUCS - P&amp;L (2)'!I8</f>
        <v>216000</v>
      </c>
      <c r="AR9" s="88">
        <f>'SCI - P&amp;L (2)'!I8</f>
        <v>29886</v>
      </c>
      <c r="AS9" s="88"/>
      <c r="AT9" s="88">
        <f t="shared" si="5"/>
        <v>245886</v>
      </c>
      <c r="AU9" s="88"/>
      <c r="AV9" s="88">
        <v>0</v>
      </c>
      <c r="AW9" s="88">
        <v>0</v>
      </c>
      <c r="AX9" s="88">
        <v>0</v>
      </c>
      <c r="AY9" s="88">
        <v>0</v>
      </c>
      <c r="AZ9" s="88">
        <f>'SC des SUCS - P&amp;L (2)'!J8</f>
        <v>216000</v>
      </c>
      <c r="BA9" s="88">
        <f>'SCI - P&amp;L (2)'!J8</f>
        <v>29886</v>
      </c>
      <c r="BB9" s="88">
        <f>'Antreuil - P&amp;L (2)'!J8</f>
        <v>280000</v>
      </c>
      <c r="BC9" s="88">
        <f t="shared" si="6"/>
        <v>525886</v>
      </c>
      <c r="BD9" s="88"/>
      <c r="BE9" s="88">
        <v>0</v>
      </c>
      <c r="BF9" s="88">
        <v>0</v>
      </c>
      <c r="BG9" s="88">
        <v>0</v>
      </c>
      <c r="BH9" s="88">
        <v>0</v>
      </c>
      <c r="BI9" s="88">
        <f>'SC des SUCS - P&amp;L (2)'!K8</f>
        <v>216000</v>
      </c>
      <c r="BJ9" s="88">
        <f>'SCI - P&amp;L (2)'!K8</f>
        <v>29886</v>
      </c>
      <c r="BK9" s="88">
        <f>'Antreuil - P&amp;L (2)'!K8</f>
        <v>280000</v>
      </c>
      <c r="BL9" s="88">
        <f t="shared" si="7"/>
        <v>525886</v>
      </c>
      <c r="BM9" s="88"/>
      <c r="BN9" s="88">
        <v>0</v>
      </c>
      <c r="BO9" s="88">
        <v>0</v>
      </c>
      <c r="BP9" s="88">
        <v>0</v>
      </c>
      <c r="BQ9" s="88">
        <v>0</v>
      </c>
      <c r="BR9" s="88">
        <f>'SC des SUCS - P&amp;L (2)'!L8</f>
        <v>216000</v>
      </c>
      <c r="BS9" s="88">
        <f>'SCI - P&amp;L (2)'!K8</f>
        <v>29886</v>
      </c>
      <c r="BT9" s="88">
        <f>'Antreuil - P&amp;L (2)'!L8</f>
        <v>280000</v>
      </c>
      <c r="BU9" s="88">
        <f t="shared" si="8"/>
        <v>525886</v>
      </c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</row>
    <row r="10" spans="1:98" ht="15.75">
      <c r="A10" s="83"/>
      <c r="B10" s="98" t="s">
        <v>7</v>
      </c>
      <c r="C10" s="99">
        <f t="shared" ref="C10:G10" si="9">C7+C9+C8</f>
        <v>2647565</v>
      </c>
      <c r="D10" s="99">
        <f t="shared" si="9"/>
        <v>0</v>
      </c>
      <c r="E10" s="99">
        <f t="shared" si="9"/>
        <v>816810</v>
      </c>
      <c r="F10" s="99">
        <f t="shared" si="9"/>
        <v>0</v>
      </c>
      <c r="G10" s="99">
        <f t="shared" si="9"/>
        <v>0</v>
      </c>
      <c r="H10" s="99">
        <f>SUM(C10:G10)</f>
        <v>3464375</v>
      </c>
      <c r="I10" s="275"/>
      <c r="J10" s="99">
        <f t="shared" ref="J10:N10" si="10">J7+J9+J8</f>
        <v>2639820</v>
      </c>
      <c r="K10" s="99">
        <f t="shared" si="10"/>
        <v>996898</v>
      </c>
      <c r="L10" s="99">
        <f t="shared" si="10"/>
        <v>846066</v>
      </c>
      <c r="M10" s="99">
        <f t="shared" si="10"/>
        <v>0</v>
      </c>
      <c r="N10" s="99">
        <f t="shared" si="10"/>
        <v>24355</v>
      </c>
      <c r="O10" s="99">
        <f t="shared" si="1"/>
        <v>4507139</v>
      </c>
      <c r="P10" s="99"/>
      <c r="Q10" s="99">
        <f t="shared" ref="Q10:U10" si="11">Q7+Q9+Q8</f>
        <v>3379603</v>
      </c>
      <c r="R10" s="99">
        <f t="shared" si="11"/>
        <v>1711729</v>
      </c>
      <c r="S10" s="99">
        <f t="shared" si="11"/>
        <v>1683182</v>
      </c>
      <c r="T10" s="99">
        <f t="shared" si="11"/>
        <v>0</v>
      </c>
      <c r="U10" s="99">
        <f t="shared" si="11"/>
        <v>25092</v>
      </c>
      <c r="V10" s="99">
        <f t="shared" si="2"/>
        <v>6799606</v>
      </c>
      <c r="W10" s="275"/>
      <c r="X10" s="99">
        <f t="shared" ref="X10:AB10" si="12">X7+X9+X8</f>
        <v>4882693</v>
      </c>
      <c r="Y10" s="99">
        <f t="shared" si="12"/>
        <v>1322204</v>
      </c>
      <c r="Z10" s="99">
        <f t="shared" si="12"/>
        <v>1886603</v>
      </c>
      <c r="AA10" s="99">
        <f t="shared" si="12"/>
        <v>90000</v>
      </c>
      <c r="AB10" s="99">
        <f t="shared" si="12"/>
        <v>29886</v>
      </c>
      <c r="AC10" s="99">
        <f t="shared" si="3"/>
        <v>8211386</v>
      </c>
      <c r="AD10" s="275"/>
      <c r="AE10" s="99">
        <f t="shared" ref="AE10:AI10" si="13">AE7+AE9+AE8</f>
        <v>3601680</v>
      </c>
      <c r="AF10" s="99">
        <f t="shared" si="13"/>
        <v>1330518</v>
      </c>
      <c r="AG10" s="99">
        <f t="shared" si="13"/>
        <v>2103918</v>
      </c>
      <c r="AH10" s="99">
        <f t="shared" si="13"/>
        <v>211000</v>
      </c>
      <c r="AI10" s="99">
        <f t="shared" si="13"/>
        <v>29886</v>
      </c>
      <c r="AJ10" s="99">
        <f t="shared" si="4"/>
        <v>7277002</v>
      </c>
      <c r="AK10" s="275"/>
      <c r="AL10" s="275"/>
      <c r="AM10" s="99">
        <f t="shared" ref="AM10:AS10" si="14">AM7+AM9+AM8</f>
        <v>3710725</v>
      </c>
      <c r="AN10" s="99">
        <f t="shared" si="14"/>
        <v>1363715</v>
      </c>
      <c r="AO10" s="99">
        <f t="shared" si="14"/>
        <v>2117163</v>
      </c>
      <c r="AP10" s="99">
        <f t="shared" ref="AP10" si="15">AP7+AP9+AP8</f>
        <v>0</v>
      </c>
      <c r="AQ10" s="99">
        <f t="shared" si="14"/>
        <v>216000</v>
      </c>
      <c r="AR10" s="99">
        <f t="shared" si="14"/>
        <v>29886</v>
      </c>
      <c r="AS10" s="99">
        <f t="shared" si="14"/>
        <v>0</v>
      </c>
      <c r="AT10" s="99">
        <f t="shared" si="5"/>
        <v>7437489</v>
      </c>
      <c r="AU10" s="275"/>
      <c r="AV10" s="99">
        <f t="shared" ref="AV10:BB10" si="16">AV7+AV9+AV8</f>
        <v>3896261</v>
      </c>
      <c r="AW10" s="99">
        <f t="shared" si="16"/>
        <v>1390989</v>
      </c>
      <c r="AX10" s="99">
        <f t="shared" si="16"/>
        <v>2328879</v>
      </c>
      <c r="AY10" s="99">
        <f t="shared" si="16"/>
        <v>1435000</v>
      </c>
      <c r="AZ10" s="99">
        <f t="shared" si="16"/>
        <v>216000</v>
      </c>
      <c r="BA10" s="99">
        <f t="shared" si="16"/>
        <v>29886</v>
      </c>
      <c r="BB10" s="99">
        <f t="shared" si="16"/>
        <v>280000</v>
      </c>
      <c r="BC10" s="99">
        <f t="shared" si="6"/>
        <v>9577015</v>
      </c>
      <c r="BD10" s="275"/>
      <c r="BE10" s="99">
        <f t="shared" ref="BE10:BK10" si="17">BE7+BE9+BE8</f>
        <v>4091074</v>
      </c>
      <c r="BF10" s="99">
        <f t="shared" si="17"/>
        <v>1418809</v>
      </c>
      <c r="BG10" s="99">
        <f t="shared" si="17"/>
        <v>2445323</v>
      </c>
      <c r="BH10" s="99">
        <f t="shared" si="17"/>
        <v>2150000</v>
      </c>
      <c r="BI10" s="99">
        <f t="shared" si="17"/>
        <v>216000</v>
      </c>
      <c r="BJ10" s="99">
        <f t="shared" si="17"/>
        <v>29886</v>
      </c>
      <c r="BK10" s="99">
        <f t="shared" si="17"/>
        <v>280000</v>
      </c>
      <c r="BL10" s="99">
        <f t="shared" si="7"/>
        <v>10631092</v>
      </c>
      <c r="BM10" s="275"/>
      <c r="BN10" s="99">
        <f t="shared" ref="BN10:BT10" si="18">BN7+BN9+BN8</f>
        <v>4295628</v>
      </c>
      <c r="BO10" s="99">
        <f t="shared" si="18"/>
        <v>1447185</v>
      </c>
      <c r="BP10" s="99">
        <f t="shared" si="18"/>
        <v>2567589</v>
      </c>
      <c r="BQ10" s="99">
        <f t="shared" si="18"/>
        <v>3150000</v>
      </c>
      <c r="BR10" s="99">
        <f t="shared" si="18"/>
        <v>216000</v>
      </c>
      <c r="BS10" s="99">
        <f t="shared" si="18"/>
        <v>29886</v>
      </c>
      <c r="BT10" s="99">
        <f t="shared" si="18"/>
        <v>280000</v>
      </c>
      <c r="BU10" s="99">
        <f t="shared" si="8"/>
        <v>11986288</v>
      </c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</row>
    <row r="11" spans="1:98" ht="15.75">
      <c r="A11" s="83"/>
      <c r="B11" s="97" t="s">
        <v>8</v>
      </c>
      <c r="C11" s="89">
        <f>'Probois 43 - P&amp;L'!C34</f>
        <v>0</v>
      </c>
      <c r="D11" s="89"/>
      <c r="E11" s="89">
        <f>'BSB - P&amp;L'!C53</f>
        <v>39885</v>
      </c>
      <c r="F11" s="89">
        <f>'SC des SUCS - P&amp;L'!C16</f>
        <v>0</v>
      </c>
      <c r="G11" s="89"/>
      <c r="H11" s="88">
        <f t="shared" si="0"/>
        <v>39885</v>
      </c>
      <c r="I11" s="89"/>
      <c r="J11" s="89">
        <f>'Probois 43 - P&amp;L'!D34</f>
        <v>0</v>
      </c>
      <c r="K11" s="89">
        <f>'SAS EMB - P&amp;L'!C16</f>
        <v>-12652</v>
      </c>
      <c r="L11" s="89">
        <f>'BSB - P&amp;L'!D53</f>
        <v>6671</v>
      </c>
      <c r="M11" s="89">
        <f>'SC des SUCS - P&amp;L'!D16</f>
        <v>0</v>
      </c>
      <c r="N11" s="89">
        <f>'SCI - P&amp;L'!D13</f>
        <v>0</v>
      </c>
      <c r="O11" s="88">
        <f t="shared" si="1"/>
        <v>-5981</v>
      </c>
      <c r="P11" s="89"/>
      <c r="Q11" s="89">
        <f>'Probois 43 - P&amp;L'!E34</f>
        <v>0</v>
      </c>
      <c r="R11" s="89">
        <f>'SAS EMB - P&amp;L'!D16</f>
        <v>14531</v>
      </c>
      <c r="S11" s="89">
        <f>'BSB - P&amp;L'!E53</f>
        <v>-70178</v>
      </c>
      <c r="T11" s="88">
        <f>'SC des SUCS - P&amp;L'!E10</f>
        <v>0</v>
      </c>
      <c r="U11" s="88">
        <f>'SCI - P&amp;L'!E13</f>
        <v>0</v>
      </c>
      <c r="V11" s="88">
        <f>SUM(Q11:U11)</f>
        <v>-55647</v>
      </c>
      <c r="W11" s="89"/>
      <c r="X11" s="89">
        <f>'Probois 43 - P&amp;L'!F34</f>
        <v>0</v>
      </c>
      <c r="Y11" s="89">
        <f>'SAS EMB - P&amp;L'!E16</f>
        <v>-25513</v>
      </c>
      <c r="Z11" s="89">
        <f>'BSB - P&amp;L'!F53</f>
        <v>72664</v>
      </c>
      <c r="AA11" s="89">
        <f>'SC des SUCS - P&amp;L'!F16</f>
        <v>0</v>
      </c>
      <c r="AB11" s="89">
        <f>'SCI - P&amp;L'!F13</f>
        <v>0</v>
      </c>
      <c r="AC11" s="88">
        <f t="shared" si="3"/>
        <v>47151</v>
      </c>
      <c r="AD11" s="89"/>
      <c r="AE11" s="89">
        <f>'Probois 43 - P&amp;L'!G34</f>
        <v>0</v>
      </c>
      <c r="AF11" s="89">
        <f>'SAS EMB - P&amp;L'!F16</f>
        <v>33092</v>
      </c>
      <c r="AG11" s="89">
        <f>'BSB - P&amp;L'!G53</f>
        <v>-48043</v>
      </c>
      <c r="AH11" s="89">
        <v>0</v>
      </c>
      <c r="AI11" s="88">
        <v>0</v>
      </c>
      <c r="AJ11" s="88">
        <f t="shared" si="4"/>
        <v>-14951</v>
      </c>
      <c r="AK11" s="88"/>
      <c r="AL11" s="89"/>
      <c r="AM11" s="89">
        <f>'Probois 43 - P&amp;L (2)'!I34</f>
        <v>0</v>
      </c>
      <c r="AN11" s="89">
        <v>0</v>
      </c>
      <c r="AO11" s="89">
        <v>0</v>
      </c>
      <c r="AP11" s="89"/>
      <c r="AQ11" s="89">
        <v>0</v>
      </c>
      <c r="AR11" s="88">
        <v>0</v>
      </c>
      <c r="AS11" s="89"/>
      <c r="AT11" s="88">
        <f t="shared" si="5"/>
        <v>0</v>
      </c>
      <c r="AU11" s="89"/>
      <c r="AV11" s="89">
        <v>0</v>
      </c>
      <c r="AW11" s="89">
        <v>0</v>
      </c>
      <c r="AX11" s="89">
        <v>0</v>
      </c>
      <c r="AY11" s="89">
        <v>0</v>
      </c>
      <c r="AZ11" s="89">
        <v>0</v>
      </c>
      <c r="BA11" s="88">
        <v>0</v>
      </c>
      <c r="BB11" s="89"/>
      <c r="BC11" s="88">
        <f t="shared" si="6"/>
        <v>0</v>
      </c>
      <c r="BD11" s="89"/>
      <c r="BE11" s="89">
        <v>0</v>
      </c>
      <c r="BF11" s="89">
        <v>0</v>
      </c>
      <c r="BG11" s="89">
        <v>0</v>
      </c>
      <c r="BH11" s="89">
        <v>0</v>
      </c>
      <c r="BI11" s="89">
        <v>0</v>
      </c>
      <c r="BJ11" s="88">
        <v>0</v>
      </c>
      <c r="BK11" s="89"/>
      <c r="BL11" s="88">
        <f t="shared" si="7"/>
        <v>0</v>
      </c>
      <c r="BM11" s="89"/>
      <c r="BN11" s="89">
        <v>0</v>
      </c>
      <c r="BO11" s="89">
        <v>0</v>
      </c>
      <c r="BP11" s="89">
        <v>0</v>
      </c>
      <c r="BQ11" s="89">
        <v>0</v>
      </c>
      <c r="BR11" s="89">
        <v>0</v>
      </c>
      <c r="BS11" s="88">
        <v>0</v>
      </c>
      <c r="BT11" s="89"/>
      <c r="BU11" s="88">
        <f t="shared" si="8"/>
        <v>0</v>
      </c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</row>
    <row r="12" spans="1:98" ht="15.75">
      <c r="A12" s="83"/>
      <c r="B12" s="97" t="s">
        <v>9</v>
      </c>
      <c r="C12" s="169">
        <f>'Probois 43 - P&amp;L'!C35</f>
        <v>0</v>
      </c>
      <c r="D12" s="169"/>
      <c r="E12" s="169">
        <f>'BSB - P&amp;L'!C56</f>
        <v>0</v>
      </c>
      <c r="F12" s="89">
        <f>'SC des SUCS - P&amp;L'!C17</f>
        <v>0</v>
      </c>
      <c r="G12" s="169"/>
      <c r="H12" s="88">
        <f t="shared" si="0"/>
        <v>0</v>
      </c>
      <c r="I12" s="169"/>
      <c r="J12" s="169">
        <f>'Probois 43 - P&amp;L'!D35</f>
        <v>0</v>
      </c>
      <c r="K12" s="169">
        <f>'SAS EMB - P&amp;L'!C19</f>
        <v>0</v>
      </c>
      <c r="L12" s="169">
        <f>'BSB - P&amp;L'!D56</f>
        <v>0</v>
      </c>
      <c r="M12" s="89">
        <f>'SC des SUCS - P&amp;L'!D17</f>
        <v>0</v>
      </c>
      <c r="N12" s="89">
        <f>'SCI - P&amp;L'!D14</f>
        <v>0</v>
      </c>
      <c r="O12" s="88">
        <f t="shared" si="1"/>
        <v>0</v>
      </c>
      <c r="P12" s="169"/>
      <c r="Q12" s="169">
        <f>'Probois 43 - P&amp;L'!E35</f>
        <v>0</v>
      </c>
      <c r="R12" s="169">
        <f>'SAS EMB - P&amp;L'!D19</f>
        <v>0</v>
      </c>
      <c r="S12" s="169">
        <f>'BSB - P&amp;L'!E56</f>
        <v>0</v>
      </c>
      <c r="T12" s="88">
        <f>'SC des SUCS - P&amp;L'!E11</f>
        <v>0</v>
      </c>
      <c r="U12" s="88">
        <f>'SCI - P&amp;L'!E14</f>
        <v>0</v>
      </c>
      <c r="V12" s="88">
        <f t="shared" si="2"/>
        <v>0</v>
      </c>
      <c r="W12" s="169"/>
      <c r="X12" s="169">
        <f>'Probois 43 - P&amp;L'!F35</f>
        <v>0</v>
      </c>
      <c r="Y12" s="169">
        <f>'SAS EMB - P&amp;L'!E19</f>
        <v>0</v>
      </c>
      <c r="Z12" s="169">
        <f>'BSB - P&amp;L'!F56</f>
        <v>0</v>
      </c>
      <c r="AA12" s="89">
        <f>'SC des SUCS - P&amp;L'!F17</f>
        <v>0</v>
      </c>
      <c r="AB12" s="89">
        <f>'SCI - P&amp;L'!F14</f>
        <v>0</v>
      </c>
      <c r="AC12" s="88">
        <f t="shared" si="3"/>
        <v>0</v>
      </c>
      <c r="AD12" s="169"/>
      <c r="AE12" s="169">
        <f>'Probois 43 - P&amp;L'!G35</f>
        <v>0</v>
      </c>
      <c r="AF12" s="169">
        <f>'SAS EMB - P&amp;L'!F19</f>
        <v>0</v>
      </c>
      <c r="AG12" s="169">
        <f>'BSB - P&amp;L'!G56</f>
        <v>0</v>
      </c>
      <c r="AH12" s="89">
        <v>0</v>
      </c>
      <c r="AI12" s="88">
        <v>0</v>
      </c>
      <c r="AJ12" s="88">
        <f t="shared" si="4"/>
        <v>0</v>
      </c>
      <c r="AK12" s="88"/>
      <c r="AL12" s="169"/>
      <c r="AM12" s="169">
        <f>'Probois 43 - P&amp;L (2)'!I35</f>
        <v>0</v>
      </c>
      <c r="AN12" s="169">
        <v>0</v>
      </c>
      <c r="AO12" s="169">
        <v>0</v>
      </c>
      <c r="AP12" s="169"/>
      <c r="AQ12" s="89">
        <v>0</v>
      </c>
      <c r="AR12" s="88">
        <v>0</v>
      </c>
      <c r="AS12" s="169"/>
      <c r="AT12" s="88">
        <f t="shared" si="5"/>
        <v>0</v>
      </c>
      <c r="AU12" s="169"/>
      <c r="AV12" s="169">
        <v>0</v>
      </c>
      <c r="AW12" s="169">
        <v>0</v>
      </c>
      <c r="AX12" s="169">
        <v>0</v>
      </c>
      <c r="AY12" s="169">
        <v>0</v>
      </c>
      <c r="AZ12" s="89">
        <v>0</v>
      </c>
      <c r="BA12" s="88">
        <v>0</v>
      </c>
      <c r="BB12" s="169"/>
      <c r="BC12" s="88">
        <f t="shared" si="6"/>
        <v>0</v>
      </c>
      <c r="BD12" s="169"/>
      <c r="BE12" s="169">
        <v>0</v>
      </c>
      <c r="BF12" s="169">
        <v>0</v>
      </c>
      <c r="BG12" s="169">
        <v>0</v>
      </c>
      <c r="BH12" s="169">
        <v>0</v>
      </c>
      <c r="BI12" s="89">
        <v>0</v>
      </c>
      <c r="BJ12" s="88">
        <v>0</v>
      </c>
      <c r="BK12" s="169"/>
      <c r="BL12" s="88">
        <f t="shared" si="7"/>
        <v>0</v>
      </c>
      <c r="BM12" s="169"/>
      <c r="BN12" s="169">
        <v>0</v>
      </c>
      <c r="BO12" s="169">
        <v>0</v>
      </c>
      <c r="BP12" s="169">
        <v>0</v>
      </c>
      <c r="BQ12" s="169">
        <v>0</v>
      </c>
      <c r="BR12" s="89">
        <v>0</v>
      </c>
      <c r="BS12" s="88">
        <v>0</v>
      </c>
      <c r="BT12" s="169"/>
      <c r="BU12" s="88">
        <f t="shared" si="8"/>
        <v>0</v>
      </c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</row>
    <row r="13" spans="1:98" ht="15.75">
      <c r="A13" s="83"/>
      <c r="B13" s="100" t="s">
        <v>14</v>
      </c>
      <c r="C13" s="99">
        <f t="shared" ref="C13:G13" si="19">C10+C11+C12</f>
        <v>2647565</v>
      </c>
      <c r="D13" s="99">
        <f t="shared" si="19"/>
        <v>0</v>
      </c>
      <c r="E13" s="99">
        <f t="shared" si="19"/>
        <v>856695</v>
      </c>
      <c r="F13" s="99">
        <f t="shared" si="19"/>
        <v>0</v>
      </c>
      <c r="G13" s="99">
        <f t="shared" si="19"/>
        <v>0</v>
      </c>
      <c r="H13" s="99">
        <f t="shared" si="0"/>
        <v>3504260</v>
      </c>
      <c r="I13" s="275"/>
      <c r="J13" s="99">
        <f t="shared" ref="J13:N13" si="20">J10+J11+J12</f>
        <v>2639820</v>
      </c>
      <c r="K13" s="99">
        <f t="shared" si="20"/>
        <v>984246</v>
      </c>
      <c r="L13" s="99">
        <f t="shared" si="20"/>
        <v>852737</v>
      </c>
      <c r="M13" s="99">
        <f t="shared" si="20"/>
        <v>0</v>
      </c>
      <c r="N13" s="99">
        <f t="shared" si="20"/>
        <v>24355</v>
      </c>
      <c r="O13" s="99">
        <f t="shared" si="1"/>
        <v>4501158</v>
      </c>
      <c r="P13" s="99"/>
      <c r="Q13" s="99">
        <f t="shared" ref="Q13:U13" si="21">Q10+Q11+Q12</f>
        <v>3379603</v>
      </c>
      <c r="R13" s="99">
        <f t="shared" si="21"/>
        <v>1726260</v>
      </c>
      <c r="S13" s="99">
        <f t="shared" si="21"/>
        <v>1613004</v>
      </c>
      <c r="T13" s="99">
        <f t="shared" si="21"/>
        <v>0</v>
      </c>
      <c r="U13" s="99">
        <f t="shared" si="21"/>
        <v>25092</v>
      </c>
      <c r="V13" s="99">
        <f t="shared" si="2"/>
        <v>6743959</v>
      </c>
      <c r="W13" s="275"/>
      <c r="X13" s="99">
        <f t="shared" ref="X13:AB13" si="22">X10+X11+X12</f>
        <v>4882693</v>
      </c>
      <c r="Y13" s="99">
        <f t="shared" si="22"/>
        <v>1296691</v>
      </c>
      <c r="Z13" s="99">
        <f t="shared" si="22"/>
        <v>1959267</v>
      </c>
      <c r="AA13" s="99">
        <f t="shared" si="22"/>
        <v>90000</v>
      </c>
      <c r="AB13" s="99">
        <f t="shared" si="22"/>
        <v>29886</v>
      </c>
      <c r="AC13" s="99">
        <f t="shared" si="3"/>
        <v>8258537</v>
      </c>
      <c r="AD13" s="275"/>
      <c r="AE13" s="99">
        <f t="shared" ref="AE13:AI13" si="23">AE10+AE11+AE12</f>
        <v>3601680</v>
      </c>
      <c r="AF13" s="99">
        <f t="shared" si="23"/>
        <v>1363610</v>
      </c>
      <c r="AG13" s="99">
        <f t="shared" si="23"/>
        <v>2055875</v>
      </c>
      <c r="AH13" s="99">
        <f t="shared" si="23"/>
        <v>211000</v>
      </c>
      <c r="AI13" s="99">
        <f t="shared" si="23"/>
        <v>29886</v>
      </c>
      <c r="AJ13" s="99">
        <f t="shared" si="4"/>
        <v>7262051</v>
      </c>
      <c r="AK13" s="275"/>
      <c r="AL13" s="275"/>
      <c r="AM13" s="99">
        <f t="shared" ref="AM13:AS13" si="24">AM10+AM11+AM12</f>
        <v>3710725</v>
      </c>
      <c r="AN13" s="99">
        <f t="shared" si="24"/>
        <v>1363715</v>
      </c>
      <c r="AO13" s="99">
        <f t="shared" si="24"/>
        <v>2117163</v>
      </c>
      <c r="AP13" s="99">
        <f t="shared" ref="AP13" si="25">AP10+AP11+AP12</f>
        <v>0</v>
      </c>
      <c r="AQ13" s="99">
        <f t="shared" si="24"/>
        <v>216000</v>
      </c>
      <c r="AR13" s="99">
        <f t="shared" si="24"/>
        <v>29886</v>
      </c>
      <c r="AS13" s="99">
        <f t="shared" si="24"/>
        <v>0</v>
      </c>
      <c r="AT13" s="99">
        <f t="shared" si="5"/>
        <v>7437489</v>
      </c>
      <c r="AU13" s="275"/>
      <c r="AV13" s="99">
        <f t="shared" ref="AV13:BB13" si="26">AV10+AV11+AV12</f>
        <v>3896261</v>
      </c>
      <c r="AW13" s="99">
        <f t="shared" si="26"/>
        <v>1390989</v>
      </c>
      <c r="AX13" s="99">
        <f t="shared" si="26"/>
        <v>2328879</v>
      </c>
      <c r="AY13" s="99">
        <f t="shared" si="26"/>
        <v>1435000</v>
      </c>
      <c r="AZ13" s="99">
        <f t="shared" si="26"/>
        <v>216000</v>
      </c>
      <c r="BA13" s="99">
        <f t="shared" si="26"/>
        <v>29886</v>
      </c>
      <c r="BB13" s="99">
        <f t="shared" si="26"/>
        <v>280000</v>
      </c>
      <c r="BC13" s="99">
        <f t="shared" si="6"/>
        <v>9577015</v>
      </c>
      <c r="BD13" s="275"/>
      <c r="BE13" s="99">
        <f t="shared" ref="BE13:BK13" si="27">BE10+BE11+BE12</f>
        <v>4091074</v>
      </c>
      <c r="BF13" s="99">
        <f t="shared" si="27"/>
        <v>1418809</v>
      </c>
      <c r="BG13" s="99">
        <f t="shared" si="27"/>
        <v>2445323</v>
      </c>
      <c r="BH13" s="99">
        <f t="shared" si="27"/>
        <v>2150000</v>
      </c>
      <c r="BI13" s="99">
        <f t="shared" si="27"/>
        <v>216000</v>
      </c>
      <c r="BJ13" s="99">
        <f t="shared" si="27"/>
        <v>29886</v>
      </c>
      <c r="BK13" s="99">
        <f t="shared" si="27"/>
        <v>280000</v>
      </c>
      <c r="BL13" s="99">
        <f t="shared" si="7"/>
        <v>10631092</v>
      </c>
      <c r="BM13" s="275"/>
      <c r="BN13" s="99">
        <f t="shared" ref="BN13:BT13" si="28">BN10+BN11+BN12</f>
        <v>4295628</v>
      </c>
      <c r="BO13" s="99">
        <f t="shared" si="28"/>
        <v>1447185</v>
      </c>
      <c r="BP13" s="99">
        <f t="shared" si="28"/>
        <v>2567589</v>
      </c>
      <c r="BQ13" s="99">
        <f t="shared" si="28"/>
        <v>3150000</v>
      </c>
      <c r="BR13" s="99">
        <f t="shared" si="28"/>
        <v>216000</v>
      </c>
      <c r="BS13" s="99">
        <f t="shared" si="28"/>
        <v>29886</v>
      </c>
      <c r="BT13" s="99">
        <f t="shared" si="28"/>
        <v>280000</v>
      </c>
      <c r="BU13" s="99">
        <f t="shared" si="8"/>
        <v>11986288</v>
      </c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</row>
    <row r="14" spans="1:98" ht="16.5" thickBot="1">
      <c r="A14" s="83"/>
      <c r="B14" s="101" t="s">
        <v>106</v>
      </c>
      <c r="C14" s="102">
        <f>C13/C13</f>
        <v>1</v>
      </c>
      <c r="D14" s="102" t="e">
        <f t="shared" ref="D14:AC14" si="29">D13/D13</f>
        <v>#DIV/0!</v>
      </c>
      <c r="E14" s="102">
        <f t="shared" si="29"/>
        <v>1</v>
      </c>
      <c r="F14" s="102" t="e">
        <f t="shared" si="29"/>
        <v>#DIV/0!</v>
      </c>
      <c r="G14" s="102" t="e">
        <f t="shared" si="29"/>
        <v>#DIV/0!</v>
      </c>
      <c r="H14" s="102">
        <f t="shared" si="29"/>
        <v>1</v>
      </c>
      <c r="I14" s="276"/>
      <c r="J14" s="102">
        <f t="shared" si="29"/>
        <v>1</v>
      </c>
      <c r="K14" s="102">
        <f t="shared" si="29"/>
        <v>1</v>
      </c>
      <c r="L14" s="102">
        <f t="shared" si="29"/>
        <v>1</v>
      </c>
      <c r="M14" s="102" t="e">
        <f t="shared" si="29"/>
        <v>#DIV/0!</v>
      </c>
      <c r="N14" s="102">
        <f t="shared" si="29"/>
        <v>1</v>
      </c>
      <c r="O14" s="102">
        <f t="shared" si="29"/>
        <v>1</v>
      </c>
      <c r="P14" s="102"/>
      <c r="Q14" s="102">
        <f t="shared" si="29"/>
        <v>1</v>
      </c>
      <c r="R14" s="102">
        <f t="shared" si="29"/>
        <v>1</v>
      </c>
      <c r="S14" s="102">
        <f t="shared" si="29"/>
        <v>1</v>
      </c>
      <c r="T14" s="102" t="e">
        <f t="shared" si="29"/>
        <v>#DIV/0!</v>
      </c>
      <c r="U14" s="102">
        <f t="shared" si="29"/>
        <v>1</v>
      </c>
      <c r="V14" s="102">
        <f t="shared" si="29"/>
        <v>1</v>
      </c>
      <c r="W14" s="276"/>
      <c r="X14" s="102">
        <f t="shared" si="29"/>
        <v>1</v>
      </c>
      <c r="Y14" s="102">
        <f t="shared" si="29"/>
        <v>1</v>
      </c>
      <c r="Z14" s="102">
        <f t="shared" si="29"/>
        <v>1</v>
      </c>
      <c r="AA14" s="102">
        <f t="shared" si="29"/>
        <v>1</v>
      </c>
      <c r="AB14" s="102">
        <f t="shared" si="29"/>
        <v>1</v>
      </c>
      <c r="AC14" s="102">
        <f t="shared" si="29"/>
        <v>1</v>
      </c>
      <c r="AD14" s="276"/>
      <c r="AE14" s="102">
        <f t="shared" ref="AE14:AJ14" si="30">AE13/AE13</f>
        <v>1</v>
      </c>
      <c r="AF14" s="102">
        <f t="shared" si="30"/>
        <v>1</v>
      </c>
      <c r="AG14" s="102">
        <f t="shared" si="30"/>
        <v>1</v>
      </c>
      <c r="AH14" s="102">
        <f t="shared" si="30"/>
        <v>1</v>
      </c>
      <c r="AI14" s="102">
        <f t="shared" si="30"/>
        <v>1</v>
      </c>
      <c r="AJ14" s="102">
        <f t="shared" si="30"/>
        <v>1</v>
      </c>
      <c r="AK14" s="276"/>
      <c r="AL14" s="276"/>
      <c r="AM14" s="102">
        <f t="shared" ref="AM14:AT14" si="31">AM13/AM13</f>
        <v>1</v>
      </c>
      <c r="AN14" s="102">
        <f t="shared" si="31"/>
        <v>1</v>
      </c>
      <c r="AO14" s="102">
        <f t="shared" si="31"/>
        <v>1</v>
      </c>
      <c r="AP14" s="102" t="e">
        <f t="shared" ref="AP14" si="32">AP13/AP13</f>
        <v>#DIV/0!</v>
      </c>
      <c r="AQ14" s="102">
        <f t="shared" si="31"/>
        <v>1</v>
      </c>
      <c r="AR14" s="102">
        <f t="shared" si="31"/>
        <v>1</v>
      </c>
      <c r="AS14" s="102" t="e">
        <f t="shared" si="31"/>
        <v>#DIV/0!</v>
      </c>
      <c r="AT14" s="102">
        <f t="shared" si="31"/>
        <v>1</v>
      </c>
      <c r="AU14" s="276"/>
      <c r="AV14" s="102">
        <f t="shared" ref="AV14:BC14" si="33">AV13/AV13</f>
        <v>1</v>
      </c>
      <c r="AW14" s="102">
        <f t="shared" si="33"/>
        <v>1</v>
      </c>
      <c r="AX14" s="102">
        <f t="shared" si="33"/>
        <v>1</v>
      </c>
      <c r="AY14" s="102">
        <f t="shared" si="33"/>
        <v>1</v>
      </c>
      <c r="AZ14" s="102">
        <f t="shared" si="33"/>
        <v>1</v>
      </c>
      <c r="BA14" s="102">
        <f t="shared" si="33"/>
        <v>1</v>
      </c>
      <c r="BB14" s="102">
        <f t="shared" si="33"/>
        <v>1</v>
      </c>
      <c r="BC14" s="102">
        <f t="shared" si="33"/>
        <v>1</v>
      </c>
      <c r="BD14" s="276"/>
      <c r="BE14" s="102">
        <f t="shared" ref="BE14:BL14" si="34">BE13/BE13</f>
        <v>1</v>
      </c>
      <c r="BF14" s="102">
        <f t="shared" si="34"/>
        <v>1</v>
      </c>
      <c r="BG14" s="102">
        <f t="shared" si="34"/>
        <v>1</v>
      </c>
      <c r="BH14" s="102">
        <f t="shared" si="34"/>
        <v>1</v>
      </c>
      <c r="BI14" s="102">
        <f t="shared" si="34"/>
        <v>1</v>
      </c>
      <c r="BJ14" s="102">
        <f t="shared" si="34"/>
        <v>1</v>
      </c>
      <c r="BK14" s="102">
        <f t="shared" si="34"/>
        <v>1</v>
      </c>
      <c r="BL14" s="102">
        <f t="shared" si="34"/>
        <v>1</v>
      </c>
      <c r="BM14" s="276"/>
      <c r="BN14" s="102">
        <f t="shared" ref="BN14:BU14" si="35">BN13/BN13</f>
        <v>1</v>
      </c>
      <c r="BO14" s="102">
        <f t="shared" si="35"/>
        <v>1</v>
      </c>
      <c r="BP14" s="102">
        <f t="shared" si="35"/>
        <v>1</v>
      </c>
      <c r="BQ14" s="102">
        <f t="shared" si="35"/>
        <v>1</v>
      </c>
      <c r="BR14" s="102">
        <f t="shared" si="35"/>
        <v>1</v>
      </c>
      <c r="BS14" s="102">
        <f t="shared" si="35"/>
        <v>1</v>
      </c>
      <c r="BT14" s="102">
        <f t="shared" si="35"/>
        <v>1</v>
      </c>
      <c r="BU14" s="102">
        <f t="shared" si="35"/>
        <v>1</v>
      </c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</row>
    <row r="15" spans="1:98" ht="15.75" collapsed="1">
      <c r="A15" s="83"/>
      <c r="B15" s="103" t="s">
        <v>167</v>
      </c>
      <c r="C15" s="89">
        <f>'Probois 43 - P&amp;L'!C38</f>
        <v>-2221830</v>
      </c>
      <c r="D15" s="89"/>
      <c r="E15" s="89">
        <f>'BSB - P&amp;L'!C59</f>
        <v>0</v>
      </c>
      <c r="F15" s="89">
        <f>'SC des SUCS - P&amp;L'!C20</f>
        <v>0</v>
      </c>
      <c r="G15" s="89"/>
      <c r="H15" s="88">
        <f t="shared" si="0"/>
        <v>-2221830</v>
      </c>
      <c r="I15" s="89"/>
      <c r="J15" s="89">
        <f>'Probois 43 - P&amp;L'!D38</f>
        <v>-2339794</v>
      </c>
      <c r="K15" s="89">
        <f>'SAS EMB - P&amp;L'!C22</f>
        <v>0</v>
      </c>
      <c r="L15" s="89">
        <f>'BSB - P&amp;L'!D59</f>
        <v>0</v>
      </c>
      <c r="M15" s="89">
        <f>'SC des SUCS - P&amp;L'!D20</f>
        <v>0</v>
      </c>
      <c r="N15" s="89">
        <f>'SCI - P&amp;L'!D17</f>
        <v>0</v>
      </c>
      <c r="O15" s="88">
        <f t="shared" si="1"/>
        <v>-2339794</v>
      </c>
      <c r="P15" s="89"/>
      <c r="Q15" s="89">
        <f>'Probois 43 - P&amp;L'!E38</f>
        <v>-2856195</v>
      </c>
      <c r="R15" s="89">
        <f>'SAS EMB - P&amp;L'!D22</f>
        <v>0</v>
      </c>
      <c r="S15" s="89">
        <f>'BSB - P&amp;L'!E59</f>
        <v>0</v>
      </c>
      <c r="T15" s="88">
        <f>'SC des SUCS - P&amp;L'!E14</f>
        <v>0</v>
      </c>
      <c r="U15" s="88">
        <f>'SCI - P&amp;L'!E17</f>
        <v>0</v>
      </c>
      <c r="V15" s="88">
        <f t="shared" si="2"/>
        <v>-2856195</v>
      </c>
      <c r="W15" s="89"/>
      <c r="X15" s="89">
        <f>'Probois 43 - P&amp;L'!F38</f>
        <v>-4124290</v>
      </c>
      <c r="Y15" s="89">
        <f>'SAS EMB - P&amp;L'!E22</f>
        <v>0</v>
      </c>
      <c r="Z15" s="89">
        <f>'BSB - P&amp;L'!F59</f>
        <v>0</v>
      </c>
      <c r="AA15" s="89">
        <f>'SC des SUCS - P&amp;L'!F20</f>
        <v>0</v>
      </c>
      <c r="AB15" s="89">
        <f>'SCI - P&amp;L'!F17</f>
        <v>0</v>
      </c>
      <c r="AC15" s="88">
        <f t="shared" si="3"/>
        <v>-4124290</v>
      </c>
      <c r="AD15" s="89"/>
      <c r="AE15" s="89">
        <f>'Probois 43 - P&amp;L'!G38</f>
        <v>-3047998</v>
      </c>
      <c r="AF15" s="89">
        <f>'SAS EMB - P&amp;L'!F22</f>
        <v>0</v>
      </c>
      <c r="AG15" s="89">
        <v>0</v>
      </c>
      <c r="AH15" s="89">
        <v>0</v>
      </c>
      <c r="AI15" s="89">
        <v>0</v>
      </c>
      <c r="AJ15" s="88">
        <f t="shared" ref="AJ15:AJ19" si="36">SUM(AE15:AI15)</f>
        <v>-3047998</v>
      </c>
      <c r="AK15" s="88"/>
      <c r="AL15" s="89"/>
      <c r="AM15" s="89">
        <f>'Probois 43 - P&amp;L (2)'!I38</f>
        <v>-3117009</v>
      </c>
      <c r="AN15" s="89">
        <v>0</v>
      </c>
      <c r="AO15" s="89">
        <v>0</v>
      </c>
      <c r="AP15" s="89"/>
      <c r="AQ15" s="89">
        <v>0</v>
      </c>
      <c r="AR15" s="89">
        <v>0</v>
      </c>
      <c r="AS15" s="89"/>
      <c r="AT15" s="88">
        <f t="shared" ref="AT15:AT19" si="37">SUM(AM15:AS15)</f>
        <v>-3117009</v>
      </c>
      <c r="AU15" s="89"/>
      <c r="AV15" s="89">
        <f>'Probois 43 - P&amp;L (2)'!J38</f>
        <v>-3272859.24</v>
      </c>
      <c r="AW15" s="89">
        <v>0</v>
      </c>
      <c r="AX15" s="89">
        <v>0</v>
      </c>
      <c r="AY15" s="89">
        <v>0</v>
      </c>
      <c r="AZ15" s="89">
        <v>0</v>
      </c>
      <c r="BA15" s="89">
        <v>0</v>
      </c>
      <c r="BB15" s="89"/>
      <c r="BC15" s="88">
        <f t="shared" ref="BC15:BC19" si="38">SUM(AV15:BB15)</f>
        <v>-3272859.24</v>
      </c>
      <c r="BD15" s="89"/>
      <c r="BE15" s="89">
        <f>'Probois 43 - P&amp;L (2)'!K38</f>
        <v>-3436502.16</v>
      </c>
      <c r="BF15" s="89">
        <v>0</v>
      </c>
      <c r="BG15" s="89">
        <v>0</v>
      </c>
      <c r="BH15" s="89">
        <v>0</v>
      </c>
      <c r="BI15" s="89">
        <v>0</v>
      </c>
      <c r="BJ15" s="89">
        <v>0</v>
      </c>
      <c r="BK15" s="89"/>
      <c r="BL15" s="88">
        <f t="shared" ref="BL15:BL19" si="39">SUM(BE15:BK15)</f>
        <v>-3436502.16</v>
      </c>
      <c r="BM15" s="89"/>
      <c r="BN15" s="89">
        <f>'Probois 43 - P&amp;L (2)'!L38</f>
        <v>-3608327.52</v>
      </c>
      <c r="BO15" s="89">
        <v>0</v>
      </c>
      <c r="BP15" s="89">
        <v>0</v>
      </c>
      <c r="BQ15" s="89">
        <v>0</v>
      </c>
      <c r="BR15" s="89">
        <v>0</v>
      </c>
      <c r="BS15" s="89">
        <v>0</v>
      </c>
      <c r="BT15" s="89"/>
      <c r="BU15" s="88">
        <f t="shared" ref="BU15:BU19" si="40">SUM(BN15:BT15)</f>
        <v>-3608327.52</v>
      </c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</row>
    <row r="16" spans="1:98" ht="15.75">
      <c r="A16" s="83"/>
      <c r="B16" s="103" t="s">
        <v>168</v>
      </c>
      <c r="C16" s="89">
        <f>'Probois 43 - P&amp;L'!C61</f>
        <v>-75593</v>
      </c>
      <c r="D16" s="89"/>
      <c r="E16" s="89">
        <f>'BSB - P&amp;L'!C60</f>
        <v>0</v>
      </c>
      <c r="F16" s="89">
        <f>'SC des SUCS - P&amp;L'!C21</f>
        <v>0</v>
      </c>
      <c r="G16" s="89"/>
      <c r="H16" s="88">
        <f t="shared" si="0"/>
        <v>-75593</v>
      </c>
      <c r="I16" s="89"/>
      <c r="J16" s="89">
        <f>'Probois 43 - P&amp;L'!D61</f>
        <v>54057</v>
      </c>
      <c r="K16" s="89">
        <f>'SAS EMB - P&amp;L'!C23</f>
        <v>0</v>
      </c>
      <c r="L16" s="89">
        <f>'BSB - P&amp;L'!D60</f>
        <v>0</v>
      </c>
      <c r="M16" s="89">
        <f>'SC des SUCS - P&amp;L'!D21</f>
        <v>0</v>
      </c>
      <c r="N16" s="89">
        <f>'SCI - P&amp;L'!D18</f>
        <v>0</v>
      </c>
      <c r="O16" s="88">
        <f t="shared" si="1"/>
        <v>54057</v>
      </c>
      <c r="P16" s="89"/>
      <c r="Q16" s="89">
        <f>'Probois 43 - P&amp;L'!E61</f>
        <v>53913</v>
      </c>
      <c r="R16" s="89">
        <f>'SAS EMB - P&amp;L'!D23</f>
        <v>0</v>
      </c>
      <c r="S16" s="89">
        <f>'BSB - P&amp;L'!E60</f>
        <v>0</v>
      </c>
      <c r="T16" s="88">
        <f>'SC des SUCS - P&amp;L'!E15</f>
        <v>0</v>
      </c>
      <c r="U16" s="88">
        <f>'SCI - P&amp;L'!E18</f>
        <v>0</v>
      </c>
      <c r="V16" s="88">
        <f t="shared" si="2"/>
        <v>53913</v>
      </c>
      <c r="W16" s="89"/>
      <c r="X16" s="89">
        <f>'Probois 43 - P&amp;L'!F61</f>
        <v>-141272</v>
      </c>
      <c r="Y16" s="89">
        <f>'SAS EMB - P&amp;L'!E23</f>
        <v>0</v>
      </c>
      <c r="Z16" s="89">
        <f>'BSB - P&amp;L'!F60</f>
        <v>0</v>
      </c>
      <c r="AA16" s="89">
        <f>'SC des SUCS - P&amp;L'!F21</f>
        <v>0</v>
      </c>
      <c r="AB16" s="89">
        <f>'SCI - P&amp;L'!F18</f>
        <v>0</v>
      </c>
      <c r="AC16" s="88">
        <f t="shared" si="3"/>
        <v>-141272</v>
      </c>
      <c r="AD16" s="89"/>
      <c r="AE16" s="89">
        <f>'Probois 43 - P&amp;L'!G61</f>
        <v>92791</v>
      </c>
      <c r="AF16" s="89">
        <f>'SAS EMB - P&amp;L'!F23</f>
        <v>0</v>
      </c>
      <c r="AG16" s="89">
        <v>0</v>
      </c>
      <c r="AH16" s="89">
        <v>0</v>
      </c>
      <c r="AI16" s="89">
        <v>0</v>
      </c>
      <c r="AJ16" s="88">
        <f t="shared" si="36"/>
        <v>92791</v>
      </c>
      <c r="AK16" s="88"/>
      <c r="AL16" s="89"/>
      <c r="AM16" s="89">
        <f>'Probois 43 - P&amp;L (2)'!I61</f>
        <v>0</v>
      </c>
      <c r="AN16" s="89">
        <v>0</v>
      </c>
      <c r="AO16" s="89">
        <v>0</v>
      </c>
      <c r="AP16" s="89"/>
      <c r="AQ16" s="89">
        <v>0</v>
      </c>
      <c r="AR16" s="89">
        <v>0</v>
      </c>
      <c r="AS16" s="89"/>
      <c r="AT16" s="88">
        <f t="shared" si="37"/>
        <v>0</v>
      </c>
      <c r="AU16" s="89"/>
      <c r="AV16" s="89">
        <v>0</v>
      </c>
      <c r="AW16" s="89">
        <v>0</v>
      </c>
      <c r="AX16" s="89">
        <v>0</v>
      </c>
      <c r="AY16" s="89">
        <v>0</v>
      </c>
      <c r="AZ16" s="89">
        <v>0</v>
      </c>
      <c r="BA16" s="89">
        <v>0</v>
      </c>
      <c r="BB16" s="89"/>
      <c r="BC16" s="88">
        <f t="shared" si="38"/>
        <v>0</v>
      </c>
      <c r="BD16" s="89"/>
      <c r="BE16" s="89">
        <v>0</v>
      </c>
      <c r="BF16" s="89">
        <v>0</v>
      </c>
      <c r="BG16" s="89">
        <v>0</v>
      </c>
      <c r="BH16" s="89">
        <v>0</v>
      </c>
      <c r="BI16" s="89">
        <v>0</v>
      </c>
      <c r="BJ16" s="89">
        <v>0</v>
      </c>
      <c r="BK16" s="89"/>
      <c r="BL16" s="88">
        <f t="shared" si="39"/>
        <v>0</v>
      </c>
      <c r="BM16" s="89"/>
      <c r="BN16" s="89">
        <v>0</v>
      </c>
      <c r="BO16" s="89">
        <v>0</v>
      </c>
      <c r="BP16" s="89">
        <v>0</v>
      </c>
      <c r="BQ16" s="89">
        <v>0</v>
      </c>
      <c r="BR16" s="89">
        <v>0</v>
      </c>
      <c r="BS16" s="89">
        <v>0</v>
      </c>
      <c r="BT16" s="89"/>
      <c r="BU16" s="88">
        <f t="shared" si="40"/>
        <v>0</v>
      </c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</row>
    <row r="17" spans="1:98" ht="15.75">
      <c r="A17" s="83"/>
      <c r="B17" s="83" t="s">
        <v>190</v>
      </c>
      <c r="C17" s="89">
        <f>'Probois 43 - P&amp;L'!C65</f>
        <v>0</v>
      </c>
      <c r="D17" s="89"/>
      <c r="E17" s="89">
        <f>'BSB - P&amp;L'!C61</f>
        <v>-528615</v>
      </c>
      <c r="F17" s="89">
        <f>'SC des SUCS - P&amp;L'!C22</f>
        <v>0</v>
      </c>
      <c r="G17" s="89"/>
      <c r="H17" s="88">
        <f t="shared" si="0"/>
        <v>-528615</v>
      </c>
      <c r="I17" s="89"/>
      <c r="J17" s="89">
        <f>'Probois 43 - P&amp;L'!D65</f>
        <v>0</v>
      </c>
      <c r="K17" s="89">
        <f>'SAS EMB - P&amp;L'!C24</f>
        <v>-241422</v>
      </c>
      <c r="L17" s="89">
        <f>'BSB - P&amp;L'!D61</f>
        <v>-549612</v>
      </c>
      <c r="M17" s="89">
        <f>'SC des SUCS - P&amp;L'!D22</f>
        <v>0</v>
      </c>
      <c r="N17" s="89">
        <f>'SCI - P&amp;L'!D19</f>
        <v>0</v>
      </c>
      <c r="O17" s="88">
        <f t="shared" si="1"/>
        <v>-791034</v>
      </c>
      <c r="P17" s="89"/>
      <c r="Q17" s="89">
        <f>'Probois 43 - P&amp;L'!E65</f>
        <v>0</v>
      </c>
      <c r="R17" s="89">
        <f>'SAS EMB - P&amp;L'!D24</f>
        <v>-539400</v>
      </c>
      <c r="S17" s="89">
        <f>'BSB - P&amp;L'!E61</f>
        <v>-1280501</v>
      </c>
      <c r="T17" s="88">
        <f>'SC des SUCS - P&amp;L'!E16</f>
        <v>0</v>
      </c>
      <c r="U17" s="88">
        <f>'SCI - P&amp;L'!E19</f>
        <v>0</v>
      </c>
      <c r="V17" s="88">
        <f t="shared" si="2"/>
        <v>-1819901</v>
      </c>
      <c r="W17" s="89"/>
      <c r="X17" s="89">
        <f>'Probois 43 - P&amp;L'!F65</f>
        <v>0</v>
      </c>
      <c r="Y17" s="89">
        <f>'SAS EMB - P&amp;L'!E24</f>
        <v>-355172</v>
      </c>
      <c r="Z17" s="89">
        <f>'BSB - P&amp;L'!F61</f>
        <v>-1317168</v>
      </c>
      <c r="AA17" s="89">
        <f>'SC des SUCS - P&amp;L'!F22</f>
        <v>0</v>
      </c>
      <c r="AB17" s="89">
        <f>'SCI - P&amp;L'!F19</f>
        <v>0</v>
      </c>
      <c r="AC17" s="88">
        <f t="shared" si="3"/>
        <v>-1672340</v>
      </c>
      <c r="AD17" s="89"/>
      <c r="AE17" s="89"/>
      <c r="AF17" s="89">
        <f>'SAS EMB - P&amp;L'!F24</f>
        <v>-459852</v>
      </c>
      <c r="AG17" s="89">
        <f>'BSB - P&amp;L'!G61</f>
        <v>-1345707</v>
      </c>
      <c r="AH17" s="89">
        <v>0</v>
      </c>
      <c r="AI17" s="89">
        <v>0</v>
      </c>
      <c r="AJ17" s="88">
        <f t="shared" si="36"/>
        <v>-1805559</v>
      </c>
      <c r="AK17" s="88"/>
      <c r="AL17" s="89"/>
      <c r="AM17" s="89">
        <v>0</v>
      </c>
      <c r="AN17" s="89">
        <f>'SAS EMB - P&amp;L (2)'!H24</f>
        <v>-422751.65</v>
      </c>
      <c r="AO17" s="89">
        <f>'BSB - P&amp;L (2)'!I61</f>
        <v>-1384418.9500000002</v>
      </c>
      <c r="AP17" s="89"/>
      <c r="AQ17" s="89">
        <v>0</v>
      </c>
      <c r="AR17" s="89">
        <v>0</v>
      </c>
      <c r="AS17" s="89"/>
      <c r="AT17" s="88">
        <f t="shared" si="37"/>
        <v>-1807170.6</v>
      </c>
      <c r="AU17" s="89"/>
      <c r="AV17" s="89">
        <v>0</v>
      </c>
      <c r="AW17" s="89">
        <f>'SAS EMB - P&amp;L (2)'!I24</f>
        <v>-431206.59000000008</v>
      </c>
      <c r="AX17" s="89">
        <f>'BSB - P&amp;L (2)'!J61</f>
        <v>-1565482.56</v>
      </c>
      <c r="AY17" s="89">
        <f>'Profilyss - P&amp;L (2)'!I33</f>
        <v>-933333.33333333337</v>
      </c>
      <c r="AZ17" s="89">
        <v>0</v>
      </c>
      <c r="BA17" s="89">
        <v>0</v>
      </c>
      <c r="BB17" s="89"/>
      <c r="BC17" s="88">
        <f t="shared" si="38"/>
        <v>-2930022.4833333334</v>
      </c>
      <c r="BD17" s="89"/>
      <c r="BE17" s="89">
        <v>0</v>
      </c>
      <c r="BF17" s="89">
        <f>'SAS EMB - P&amp;L (2)'!J24</f>
        <v>-439830.79000000004</v>
      </c>
      <c r="BG17" s="89">
        <f>'BSB - P&amp;L (2)'!K61</f>
        <v>-1590553.49</v>
      </c>
      <c r="BH17" s="89">
        <f>'Profilyss - P&amp;L (2)'!J33</f>
        <v>-1100000.0000000002</v>
      </c>
      <c r="BI17" s="89">
        <v>0</v>
      </c>
      <c r="BJ17" s="89">
        <v>0</v>
      </c>
      <c r="BK17" s="89"/>
      <c r="BL17" s="88">
        <f t="shared" si="39"/>
        <v>-3130384.2800000003</v>
      </c>
      <c r="BM17" s="89"/>
      <c r="BN17" s="89">
        <v>0</v>
      </c>
      <c r="BO17" s="89">
        <f>'SAS EMB - P&amp;L (2)'!K24</f>
        <v>-448627.35000000009</v>
      </c>
      <c r="BP17" s="89">
        <f>'BSB - P&amp;L (2)'!L61</f>
        <v>-1631905.18</v>
      </c>
      <c r="BQ17" s="89">
        <f>'Profilyss - P&amp;L (2)'!K33</f>
        <v>-1533333.3333333333</v>
      </c>
      <c r="BR17" s="89">
        <v>0</v>
      </c>
      <c r="BS17" s="89">
        <v>0</v>
      </c>
      <c r="BT17" s="89"/>
      <c r="BU17" s="88">
        <f t="shared" si="40"/>
        <v>-3613865.8633333333</v>
      </c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</row>
    <row r="18" spans="1:98" ht="15.75">
      <c r="A18" s="107"/>
      <c r="B18" s="108" t="s">
        <v>169</v>
      </c>
      <c r="C18" s="104">
        <f>'Probois 43 - P&amp;L'!C66</f>
        <v>0</v>
      </c>
      <c r="D18" s="104"/>
      <c r="E18" s="104">
        <f>'BSB - P&amp;L'!C73</f>
        <v>-36202</v>
      </c>
      <c r="F18" s="89">
        <f>'SC des SUCS - P&amp;L'!C23</f>
        <v>0</v>
      </c>
      <c r="G18" s="104"/>
      <c r="H18" s="88">
        <f t="shared" si="0"/>
        <v>-36202</v>
      </c>
      <c r="I18" s="104"/>
      <c r="J18" s="104">
        <f>'Probois 43 - P&amp;L'!D66</f>
        <v>0</v>
      </c>
      <c r="K18" s="104">
        <f>'SAS EMB - P&amp;L'!C32</f>
        <v>7817</v>
      </c>
      <c r="L18" s="104">
        <f>'BSB - P&amp;L'!D73</f>
        <v>51949</v>
      </c>
      <c r="M18" s="89">
        <f>'SC des SUCS - P&amp;L'!D23</f>
        <v>0</v>
      </c>
      <c r="N18" s="89">
        <f>'SCI - P&amp;L'!D20</f>
        <v>0</v>
      </c>
      <c r="O18" s="88">
        <f t="shared" si="1"/>
        <v>59766</v>
      </c>
      <c r="P18" s="104"/>
      <c r="Q18" s="104">
        <f>'Probois 43 - P&amp;L'!E66</f>
        <v>0</v>
      </c>
      <c r="R18" s="104">
        <f>'SAS EMB - P&amp;L'!D32</f>
        <v>34453</v>
      </c>
      <c r="S18" s="104">
        <f>'BSB - P&amp;L'!E73</f>
        <v>304214</v>
      </c>
      <c r="T18" s="88">
        <f>'SC des SUCS - P&amp;L'!E17</f>
        <v>0</v>
      </c>
      <c r="U18" s="88">
        <f>'SCI - P&amp;L'!E20</f>
        <v>0</v>
      </c>
      <c r="V18" s="88">
        <f t="shared" si="2"/>
        <v>338667</v>
      </c>
      <c r="W18" s="104"/>
      <c r="X18" s="104">
        <f>'Probois 43 - P&amp;L'!F66</f>
        <v>0</v>
      </c>
      <c r="Y18" s="104">
        <f>'SAS EMB - P&amp;L'!E32</f>
        <v>-81042</v>
      </c>
      <c r="Z18" s="104">
        <f>'BSB - P&amp;L'!F73</f>
        <v>-10155</v>
      </c>
      <c r="AA18" s="89">
        <f>'SC des SUCS - P&amp;L'!F23</f>
        <v>0</v>
      </c>
      <c r="AB18" s="89">
        <f>'SCI - P&amp;L'!F20</f>
        <v>0</v>
      </c>
      <c r="AC18" s="88">
        <f t="shared" si="3"/>
        <v>-91197</v>
      </c>
      <c r="AD18" s="104"/>
      <c r="AE18" s="104"/>
      <c r="AF18" s="104">
        <f>'SAS EMB - P&amp;L'!F32</f>
        <v>37284</v>
      </c>
      <c r="AG18" s="104">
        <f>'BSB - P&amp;L'!G73</f>
        <v>52512</v>
      </c>
      <c r="AH18" s="89">
        <v>0</v>
      </c>
      <c r="AI18" s="89">
        <v>0</v>
      </c>
      <c r="AJ18" s="88">
        <f t="shared" si="36"/>
        <v>89796</v>
      </c>
      <c r="AK18" s="88"/>
      <c r="AL18" s="104"/>
      <c r="AM18" s="104">
        <v>0</v>
      </c>
      <c r="AN18" s="104">
        <v>0</v>
      </c>
      <c r="AO18" s="104">
        <f>'BSB - P&amp;L (2)'!I73</f>
        <v>8263</v>
      </c>
      <c r="AP18" s="104"/>
      <c r="AQ18" s="89">
        <v>0</v>
      </c>
      <c r="AR18" s="89">
        <v>0</v>
      </c>
      <c r="AS18" s="104"/>
      <c r="AT18" s="88">
        <f t="shared" si="37"/>
        <v>8263</v>
      </c>
      <c r="AU18" s="104"/>
      <c r="AV18" s="104">
        <v>0</v>
      </c>
      <c r="AW18" s="104">
        <v>0</v>
      </c>
      <c r="AX18" s="104">
        <f>'BSB - P&amp;L (2)'!J73</f>
        <v>75000</v>
      </c>
      <c r="AY18" s="104">
        <f>'Profilyss - P&amp;L (2)'!I52</f>
        <v>233333.33333333334</v>
      </c>
      <c r="AZ18" s="89">
        <v>0</v>
      </c>
      <c r="BA18" s="89">
        <v>0</v>
      </c>
      <c r="BB18" s="104"/>
      <c r="BC18" s="88">
        <f t="shared" si="38"/>
        <v>308333.33333333337</v>
      </c>
      <c r="BD18" s="104"/>
      <c r="BE18" s="104">
        <v>0</v>
      </c>
      <c r="BF18" s="104">
        <v>0</v>
      </c>
      <c r="BG18" s="104">
        <f>'BSB - P&amp;L (2)'!K73</f>
        <v>50000</v>
      </c>
      <c r="BH18" s="104">
        <f>'Profilyss - P&amp;L (2)'!J52</f>
        <v>100000.00000000003</v>
      </c>
      <c r="BI18" s="89">
        <v>0</v>
      </c>
      <c r="BJ18" s="89">
        <v>0</v>
      </c>
      <c r="BK18" s="104"/>
      <c r="BL18" s="88">
        <f t="shared" si="39"/>
        <v>150000.00000000003</v>
      </c>
      <c r="BM18" s="104"/>
      <c r="BN18" s="104">
        <v>0</v>
      </c>
      <c r="BO18" s="104">
        <v>0</v>
      </c>
      <c r="BP18" s="104">
        <f>'BSB - P&amp;L (2)'!L73</f>
        <v>40000</v>
      </c>
      <c r="BQ18" s="104">
        <f>'Profilyss - P&amp;L (2)'!K52</f>
        <v>133333.33333333331</v>
      </c>
      <c r="BR18" s="89">
        <v>0</v>
      </c>
      <c r="BS18" s="89">
        <v>0</v>
      </c>
      <c r="BT18" s="104"/>
      <c r="BU18" s="88">
        <f t="shared" si="40"/>
        <v>173333.33333333331</v>
      </c>
      <c r="BV18" s="109"/>
      <c r="BW18" s="109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</row>
    <row r="19" spans="1:98" ht="15.75">
      <c r="A19" s="83"/>
      <c r="B19" s="100" t="s">
        <v>16</v>
      </c>
      <c r="C19" s="99">
        <f t="shared" ref="C19:G19" si="41">C13+C15+C16+C17+C18</f>
        <v>350142</v>
      </c>
      <c r="D19" s="99">
        <f t="shared" si="41"/>
        <v>0</v>
      </c>
      <c r="E19" s="99">
        <f t="shared" si="41"/>
        <v>291878</v>
      </c>
      <c r="F19" s="99">
        <f t="shared" si="41"/>
        <v>0</v>
      </c>
      <c r="G19" s="99">
        <f t="shared" si="41"/>
        <v>0</v>
      </c>
      <c r="H19" s="99">
        <f t="shared" si="0"/>
        <v>642020</v>
      </c>
      <c r="I19" s="275"/>
      <c r="J19" s="99">
        <f t="shared" ref="J19:N19" si="42">J13+J15+J16+J17+J18</f>
        <v>354083</v>
      </c>
      <c r="K19" s="99">
        <f t="shared" si="42"/>
        <v>750641</v>
      </c>
      <c r="L19" s="99">
        <f t="shared" si="42"/>
        <v>355074</v>
      </c>
      <c r="M19" s="99">
        <f t="shared" si="42"/>
        <v>0</v>
      </c>
      <c r="N19" s="99">
        <f t="shared" si="42"/>
        <v>24355</v>
      </c>
      <c r="O19" s="99">
        <f t="shared" si="1"/>
        <v>1484153</v>
      </c>
      <c r="P19" s="99"/>
      <c r="Q19" s="99">
        <f t="shared" ref="Q19:U19" si="43">Q13+Q15+Q16+Q17+Q18</f>
        <v>577321</v>
      </c>
      <c r="R19" s="99">
        <f t="shared" si="43"/>
        <v>1221313</v>
      </c>
      <c r="S19" s="99">
        <f t="shared" si="43"/>
        <v>636717</v>
      </c>
      <c r="T19" s="99">
        <f t="shared" si="43"/>
        <v>0</v>
      </c>
      <c r="U19" s="99">
        <f t="shared" si="43"/>
        <v>25092</v>
      </c>
      <c r="V19" s="99">
        <f t="shared" si="2"/>
        <v>2460443</v>
      </c>
      <c r="W19" s="275"/>
      <c r="X19" s="99">
        <f t="shared" ref="X19:AB19" si="44">X13+X15+X16+X17+X18</f>
        <v>617131</v>
      </c>
      <c r="Y19" s="99">
        <f t="shared" si="44"/>
        <v>860477</v>
      </c>
      <c r="Z19" s="99">
        <f t="shared" si="44"/>
        <v>631944</v>
      </c>
      <c r="AA19" s="99">
        <f t="shared" si="44"/>
        <v>90000</v>
      </c>
      <c r="AB19" s="99">
        <f t="shared" si="44"/>
        <v>29886</v>
      </c>
      <c r="AC19" s="99">
        <f t="shared" si="3"/>
        <v>2229438</v>
      </c>
      <c r="AD19" s="275"/>
      <c r="AE19" s="99">
        <f t="shared" ref="AE19:AI19" si="45">AE13+AE15+AE16+AE17+AE18</f>
        <v>646473</v>
      </c>
      <c r="AF19" s="99">
        <f t="shared" si="45"/>
        <v>941042</v>
      </c>
      <c r="AG19" s="99">
        <f t="shared" si="45"/>
        <v>762680</v>
      </c>
      <c r="AH19" s="99">
        <f t="shared" si="45"/>
        <v>211000</v>
      </c>
      <c r="AI19" s="99">
        <f t="shared" si="45"/>
        <v>29886</v>
      </c>
      <c r="AJ19" s="99">
        <f t="shared" si="36"/>
        <v>2591081</v>
      </c>
      <c r="AK19" s="275"/>
      <c r="AL19" s="275"/>
      <c r="AM19" s="99">
        <f t="shared" ref="AM19:AS19" si="46">AM13+AM15+AM16+AM17+AM18</f>
        <v>593716</v>
      </c>
      <c r="AN19" s="99">
        <f t="shared" si="46"/>
        <v>940963.35</v>
      </c>
      <c r="AO19" s="99">
        <f t="shared" si="46"/>
        <v>741007.04999999981</v>
      </c>
      <c r="AP19" s="99">
        <f t="shared" ref="AP19" si="47">AP13+AP15+AP16+AP17+AP18</f>
        <v>0</v>
      </c>
      <c r="AQ19" s="99">
        <f t="shared" si="46"/>
        <v>216000</v>
      </c>
      <c r="AR19" s="99">
        <f t="shared" si="46"/>
        <v>29886</v>
      </c>
      <c r="AS19" s="99">
        <f t="shared" si="46"/>
        <v>0</v>
      </c>
      <c r="AT19" s="99">
        <f t="shared" si="37"/>
        <v>2521572.4</v>
      </c>
      <c r="AU19" s="275"/>
      <c r="AV19" s="99">
        <f t="shared" ref="AV19:BB19" si="48">AV13+AV15+AV16+AV17+AV18</f>
        <v>623401.75999999978</v>
      </c>
      <c r="AW19" s="99">
        <f t="shared" si="48"/>
        <v>959782.40999999992</v>
      </c>
      <c r="AX19" s="99">
        <f t="shared" si="48"/>
        <v>838396.44</v>
      </c>
      <c r="AY19" s="99">
        <f t="shared" si="48"/>
        <v>735000</v>
      </c>
      <c r="AZ19" s="99">
        <f t="shared" si="48"/>
        <v>216000</v>
      </c>
      <c r="BA19" s="99">
        <f t="shared" si="48"/>
        <v>29886</v>
      </c>
      <c r="BB19" s="99">
        <f t="shared" si="48"/>
        <v>280000</v>
      </c>
      <c r="BC19" s="99">
        <f t="shared" si="38"/>
        <v>3682466.6099999994</v>
      </c>
      <c r="BD19" s="275"/>
      <c r="BE19" s="99">
        <f t="shared" ref="BE19:BK19" si="49">BE13+BE15+BE16+BE17+BE18</f>
        <v>654571.83999999985</v>
      </c>
      <c r="BF19" s="99">
        <f t="shared" si="49"/>
        <v>978978.21</v>
      </c>
      <c r="BG19" s="99">
        <f t="shared" si="49"/>
        <v>904769.51</v>
      </c>
      <c r="BH19" s="99">
        <f t="shared" si="49"/>
        <v>1149999.9999999998</v>
      </c>
      <c r="BI19" s="99">
        <f t="shared" si="49"/>
        <v>216000</v>
      </c>
      <c r="BJ19" s="99">
        <f t="shared" si="49"/>
        <v>29886</v>
      </c>
      <c r="BK19" s="99">
        <f t="shared" si="49"/>
        <v>280000</v>
      </c>
      <c r="BL19" s="99">
        <f t="shared" si="39"/>
        <v>4214205.5599999996</v>
      </c>
      <c r="BM19" s="275"/>
      <c r="BN19" s="99">
        <f t="shared" ref="BN19:BT19" si="50">BN13+BN15+BN16+BN17+BN18</f>
        <v>687300.48</v>
      </c>
      <c r="BO19" s="99">
        <f t="shared" si="50"/>
        <v>998557.64999999991</v>
      </c>
      <c r="BP19" s="99">
        <f t="shared" si="50"/>
        <v>975683.82000000007</v>
      </c>
      <c r="BQ19" s="99">
        <f t="shared" si="50"/>
        <v>1750000</v>
      </c>
      <c r="BR19" s="99">
        <f t="shared" si="50"/>
        <v>216000</v>
      </c>
      <c r="BS19" s="99">
        <f t="shared" si="50"/>
        <v>29886</v>
      </c>
      <c r="BT19" s="99">
        <f t="shared" si="50"/>
        <v>280000</v>
      </c>
      <c r="BU19" s="99">
        <f t="shared" si="40"/>
        <v>4937427.95</v>
      </c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</row>
    <row r="20" spans="1:98" ht="16.5" thickBot="1">
      <c r="A20" s="107"/>
      <c r="B20" s="101" t="s">
        <v>106</v>
      </c>
      <c r="C20" s="102">
        <f>C19/C13</f>
        <v>0.13225057741736274</v>
      </c>
      <c r="D20" s="102" t="e">
        <f t="shared" ref="D20:G20" si="51">D19/D13</f>
        <v>#DIV/0!</v>
      </c>
      <c r="E20" s="102">
        <f t="shared" si="51"/>
        <v>0.34070235031137103</v>
      </c>
      <c r="F20" s="102" t="e">
        <f t="shared" si="51"/>
        <v>#DIV/0!</v>
      </c>
      <c r="G20" s="102" t="e">
        <f t="shared" si="51"/>
        <v>#DIV/0!</v>
      </c>
      <c r="H20" s="102">
        <f>H19/H13</f>
        <v>0.18321129139961076</v>
      </c>
      <c r="I20" s="276"/>
      <c r="J20" s="102">
        <f t="shared" ref="J20:N20" si="52">J19/J13</f>
        <v>0.13413149381397216</v>
      </c>
      <c r="K20" s="102">
        <f t="shared" si="52"/>
        <v>0.76265588074526081</v>
      </c>
      <c r="L20" s="102">
        <f t="shared" si="52"/>
        <v>0.4163933311208497</v>
      </c>
      <c r="M20" s="102" t="e">
        <f t="shared" si="52"/>
        <v>#DIV/0!</v>
      </c>
      <c r="N20" s="102">
        <f t="shared" si="52"/>
        <v>1</v>
      </c>
      <c r="O20" s="102">
        <f>O19/O13</f>
        <v>0.32972692804829334</v>
      </c>
      <c r="P20" s="102"/>
      <c r="Q20" s="102">
        <f t="shared" ref="Q20:U20" si="53">Q19/Q13</f>
        <v>0.17082509395334303</v>
      </c>
      <c r="R20" s="102">
        <f t="shared" si="53"/>
        <v>0.70749076037213399</v>
      </c>
      <c r="S20" s="102">
        <f t="shared" si="53"/>
        <v>0.39473987665250676</v>
      </c>
      <c r="T20" s="102" t="e">
        <f t="shared" si="53"/>
        <v>#DIV/0!</v>
      </c>
      <c r="U20" s="102">
        <f t="shared" si="53"/>
        <v>1</v>
      </c>
      <c r="V20" s="102">
        <f>V19/V13</f>
        <v>0.36483658930903939</v>
      </c>
      <c r="W20" s="276"/>
      <c r="X20" s="102">
        <f t="shared" ref="X20:AB20" si="54">X19/X13</f>
        <v>0.12639152205555418</v>
      </c>
      <c r="Y20" s="102">
        <f t="shared" si="54"/>
        <v>0.66359448781552433</v>
      </c>
      <c r="Z20" s="102">
        <f t="shared" si="54"/>
        <v>0.32254103192673589</v>
      </c>
      <c r="AA20" s="102">
        <f t="shared" si="54"/>
        <v>1</v>
      </c>
      <c r="AB20" s="102">
        <f t="shared" si="54"/>
        <v>1</v>
      </c>
      <c r="AC20" s="102">
        <f>AC19/AC13</f>
        <v>0.26995556234718088</v>
      </c>
      <c r="AD20" s="276"/>
      <c r="AE20" s="102">
        <f t="shared" ref="AE20:AI20" si="55">AE19/AE13</f>
        <v>0.179492070367162</v>
      </c>
      <c r="AF20" s="102">
        <f t="shared" si="55"/>
        <v>0.69011080880897036</v>
      </c>
      <c r="AG20" s="102">
        <f t="shared" si="55"/>
        <v>0.37097586185930564</v>
      </c>
      <c r="AH20" s="102">
        <f t="shared" si="55"/>
        <v>1</v>
      </c>
      <c r="AI20" s="102">
        <f t="shared" si="55"/>
        <v>1</v>
      </c>
      <c r="AJ20" s="102">
        <f>AJ19/AJ13</f>
        <v>0.35679741164032036</v>
      </c>
      <c r="AK20" s="276"/>
      <c r="AL20" s="276"/>
      <c r="AM20" s="102">
        <f t="shared" ref="AM20:AS20" si="56">AM19/AM13</f>
        <v>0.16</v>
      </c>
      <c r="AN20" s="102">
        <f t="shared" si="56"/>
        <v>0.69</v>
      </c>
      <c r="AO20" s="102">
        <f t="shared" si="56"/>
        <v>0.34999999999999992</v>
      </c>
      <c r="AP20" s="102" t="e">
        <f t="shared" ref="AP20" si="57">AP19/AP13</f>
        <v>#DIV/0!</v>
      </c>
      <c r="AQ20" s="102">
        <f t="shared" si="56"/>
        <v>1</v>
      </c>
      <c r="AR20" s="102">
        <f t="shared" si="56"/>
        <v>1</v>
      </c>
      <c r="AS20" s="102" t="e">
        <f t="shared" si="56"/>
        <v>#DIV/0!</v>
      </c>
      <c r="AT20" s="102">
        <f>AT19/AT13</f>
        <v>0.33903544596839064</v>
      </c>
      <c r="AU20" s="276"/>
      <c r="AV20" s="102">
        <f t="shared" ref="AV20:BB20" si="58">AV19/AV13</f>
        <v>0.15999999999999995</v>
      </c>
      <c r="AW20" s="102">
        <f t="shared" si="58"/>
        <v>0.69</v>
      </c>
      <c r="AX20" s="102">
        <f t="shared" si="58"/>
        <v>0.36</v>
      </c>
      <c r="AY20" s="102">
        <f t="shared" si="58"/>
        <v>0.51219512195121952</v>
      </c>
      <c r="AZ20" s="102">
        <f t="shared" si="58"/>
        <v>1</v>
      </c>
      <c r="BA20" s="102">
        <f t="shared" si="58"/>
        <v>1</v>
      </c>
      <c r="BB20" s="102">
        <f t="shared" si="58"/>
        <v>1</v>
      </c>
      <c r="BC20" s="102">
        <f>BC19/BC13</f>
        <v>0.38451089509622771</v>
      </c>
      <c r="BD20" s="276"/>
      <c r="BE20" s="102">
        <f t="shared" ref="BE20:BK20" si="59">BE19/BE13</f>
        <v>0.15999999999999998</v>
      </c>
      <c r="BF20" s="102">
        <f t="shared" si="59"/>
        <v>0.69</v>
      </c>
      <c r="BG20" s="102">
        <f t="shared" si="59"/>
        <v>0.37</v>
      </c>
      <c r="BH20" s="102">
        <f t="shared" si="59"/>
        <v>0.5348837209302324</v>
      </c>
      <c r="BI20" s="102">
        <f t="shared" si="59"/>
        <v>1</v>
      </c>
      <c r="BJ20" s="102">
        <f t="shared" si="59"/>
        <v>1</v>
      </c>
      <c r="BK20" s="102">
        <f t="shared" si="59"/>
        <v>1</v>
      </c>
      <c r="BL20" s="102">
        <f>BL19/BL13</f>
        <v>0.39640382756540904</v>
      </c>
      <c r="BM20" s="276"/>
      <c r="BN20" s="102">
        <f t="shared" ref="BN20:BT20" si="60">BN19/BN13</f>
        <v>0.16</v>
      </c>
      <c r="BO20" s="102">
        <f t="shared" si="60"/>
        <v>0.69</v>
      </c>
      <c r="BP20" s="102">
        <f t="shared" si="60"/>
        <v>0.38</v>
      </c>
      <c r="BQ20" s="102">
        <f t="shared" si="60"/>
        <v>0.55555555555555558</v>
      </c>
      <c r="BR20" s="102">
        <f t="shared" si="60"/>
        <v>1</v>
      </c>
      <c r="BS20" s="102">
        <f t="shared" si="60"/>
        <v>1</v>
      </c>
      <c r="BT20" s="102">
        <f t="shared" si="60"/>
        <v>1</v>
      </c>
      <c r="BU20" s="102">
        <f>BU19/BU13</f>
        <v>0.41192301987070562</v>
      </c>
      <c r="BV20" s="109"/>
      <c r="BW20" s="109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</row>
    <row r="21" spans="1:98" ht="15.75">
      <c r="A21" s="107"/>
      <c r="B21" s="108" t="s">
        <v>170</v>
      </c>
      <c r="C21" s="104">
        <f t="shared" ref="C21:G21" si="61">C23+C24+C25+C26+C27+C28+C29+C30+C31+C34++C32+C33</f>
        <v>-130343</v>
      </c>
      <c r="D21" s="104">
        <f t="shared" si="61"/>
        <v>0</v>
      </c>
      <c r="E21" s="104">
        <f t="shared" si="61"/>
        <v>-95031</v>
      </c>
      <c r="F21" s="104">
        <f t="shared" si="61"/>
        <v>-2711</v>
      </c>
      <c r="G21" s="104">
        <f t="shared" si="61"/>
        <v>0</v>
      </c>
      <c r="H21" s="104">
        <f t="shared" si="0"/>
        <v>-228085</v>
      </c>
      <c r="I21" s="104"/>
      <c r="J21" s="104">
        <f t="shared" ref="J21:N21" si="62">J23+J24+J25+J26+J27+J28+J29+J30+J31+J34++J32+J33</f>
        <v>-120600</v>
      </c>
      <c r="K21" s="104">
        <f t="shared" si="62"/>
        <v>-274284</v>
      </c>
      <c r="L21" s="104">
        <f t="shared" si="62"/>
        <v>-164506</v>
      </c>
      <c r="M21" s="104">
        <f t="shared" si="62"/>
        <v>-3178</v>
      </c>
      <c r="N21" s="104">
        <f t="shared" si="62"/>
        <v>-3797</v>
      </c>
      <c r="O21" s="104">
        <f t="shared" si="1"/>
        <v>-566365</v>
      </c>
      <c r="P21" s="104"/>
      <c r="Q21" s="104">
        <f>Q23+Q24+Q25+Q26+Q27+Q28+Q29+Q30+Q31+Q34++Q32+Q33</f>
        <v>-167887</v>
      </c>
      <c r="R21" s="104">
        <f>R23+R24+R25+R26+R27+R28+R29+R30+R31+R34++R32+R33</f>
        <v>-515597</v>
      </c>
      <c r="S21" s="104">
        <f>S23+S24+S25+S26+S27+S28+S29+S30+S31+S34++S32+S33</f>
        <v>-308420</v>
      </c>
      <c r="T21" s="104">
        <f t="shared" ref="T21:U21" si="63">T23+T24+T25+T26+T27+T28+T29+T30+T31+T33+T34+T32</f>
        <v>-5320</v>
      </c>
      <c r="U21" s="104">
        <f t="shared" si="63"/>
        <v>-2165</v>
      </c>
      <c r="V21" s="104">
        <f t="shared" si="2"/>
        <v>-999389</v>
      </c>
      <c r="W21" s="104"/>
      <c r="X21" s="104">
        <f t="shared" ref="X21:Z21" si="64">X23+X24+X25+X26+X27+X28+X29+X30+X31+X34++X32+X33</f>
        <v>-174039</v>
      </c>
      <c r="Y21" s="104">
        <f t="shared" si="64"/>
        <v>-274716</v>
      </c>
      <c r="Z21" s="104">
        <f t="shared" si="64"/>
        <v>-333452</v>
      </c>
      <c r="AA21" s="104">
        <f>AA23+AA24+AA25+AA26+AA27+AA28+AA29+AA30+AA31+AA34++AA32+AA33</f>
        <v>-15620</v>
      </c>
      <c r="AB21" s="104">
        <f>AB23+AB24+AB25+AB26+AB27+AB28+AB29+AB30+AB31+AB34++AB32+AB33</f>
        <v>-1007</v>
      </c>
      <c r="AC21" s="104">
        <f t="shared" si="3"/>
        <v>-798834</v>
      </c>
      <c r="AD21" s="104"/>
      <c r="AE21" s="104">
        <f t="shared" ref="AE21:AG21" si="65">AE23+AE24+AE25+AE26+AE27+AE28+AE29+AE30+AE31+AE34++AE32+AE33</f>
        <v>-255410</v>
      </c>
      <c r="AF21" s="104">
        <f t="shared" si="65"/>
        <v>-417308</v>
      </c>
      <c r="AG21" s="104">
        <f t="shared" si="65"/>
        <v>-443055</v>
      </c>
      <c r="AH21" s="104">
        <f>'SC des SUCS - P&amp;L (2)'!H26</f>
        <v>-25000</v>
      </c>
      <c r="AI21" s="104">
        <f>AI23+AI24+AI25+AI26+AI27+AI28+AI29+AI30+AI31+AI34++AI32+AI33</f>
        <v>-1007</v>
      </c>
      <c r="AJ21" s="104">
        <f>SUM(AE21:AI21)</f>
        <v>-1141780</v>
      </c>
      <c r="AK21" s="104"/>
      <c r="AL21" s="104"/>
      <c r="AM21" s="104">
        <f t="shared" ref="AM21:AO21" si="66">AM23+AM24+AM25+AM26+AM27+AM28+AM29+AM30+AM31+AM34++AM32+AM33</f>
        <v>-267500</v>
      </c>
      <c r="AN21" s="104">
        <f t="shared" si="66"/>
        <v>-422647</v>
      </c>
      <c r="AO21" s="104">
        <f t="shared" si="66"/>
        <v>-451000</v>
      </c>
      <c r="AP21" s="104">
        <f t="shared" ref="AP21" si="67">AP23+AP24+AP25+AP26+AP27+AP28+AP29+AP30+AP31+AP34++AP32+AP33</f>
        <v>0</v>
      </c>
      <c r="AQ21" s="104">
        <f>'SC des SUCS - P&amp;L (2)'!I26</f>
        <v>-25000</v>
      </c>
      <c r="AR21" s="104">
        <f>'SCI - P&amp;L (2)'!I23</f>
        <v>-1007</v>
      </c>
      <c r="AS21" s="104">
        <f t="shared" ref="AS21" si="68">AS23+AS24+AS25+AS26+AS27+AS28+AS29+AS30+AS31+AS34++AS32+AS33</f>
        <v>0</v>
      </c>
      <c r="AT21" s="104">
        <f t="shared" ref="AT21:AT34" si="69">SUM(AM21:AS21)</f>
        <v>-1167154</v>
      </c>
      <c r="AU21" s="104"/>
      <c r="AV21" s="104">
        <f t="shared" ref="AV21:AY21" si="70">AV23+AV24+AV25+AV26+AV27+AV28+AV29+AV30+AV31+AV34++AV32+AV33</f>
        <v>-277000</v>
      </c>
      <c r="AW21" s="104">
        <f t="shared" si="70"/>
        <v>-463732.71428571432</v>
      </c>
      <c r="AX21" s="104">
        <f t="shared" si="70"/>
        <v>-461000</v>
      </c>
      <c r="AY21" s="104">
        <f t="shared" si="70"/>
        <v>-626970.37037037034</v>
      </c>
      <c r="AZ21" s="104">
        <f>'SC des SUCS - P&amp;L (2)'!J26</f>
        <v>-25000</v>
      </c>
      <c r="BA21" s="104">
        <f>'SCI - P&amp;L (2)'!J23</f>
        <v>-1007</v>
      </c>
      <c r="BB21" s="104">
        <f t="shared" ref="BB21" si="71">BB23+BB24+BB25+BB26+BB27+BB28+BB29+BB30+BB31+BB34++BB32+BB33</f>
        <v>-4000</v>
      </c>
      <c r="BC21" s="104">
        <f t="shared" ref="BC21:BC34" si="72">SUM(AV21:BB21)</f>
        <v>-1858710.0846560847</v>
      </c>
      <c r="BD21" s="104"/>
      <c r="BE21" s="104">
        <f t="shared" ref="BE21:BH21" si="73">BE23+BE24+BE25+BE26+BE27+BE28+BE29+BE30+BE31+BE34++BE32+BE33</f>
        <v>-287500</v>
      </c>
      <c r="BF21" s="104">
        <f t="shared" si="73"/>
        <v>-464732.71428571432</v>
      </c>
      <c r="BG21" s="104">
        <f t="shared" si="73"/>
        <v>-474000</v>
      </c>
      <c r="BH21" s="104">
        <f t="shared" si="73"/>
        <v>-665735.0877192982</v>
      </c>
      <c r="BI21" s="104">
        <f>'SC des SUCS - P&amp;L (2)'!K26</f>
        <v>-25000</v>
      </c>
      <c r="BJ21" s="104">
        <f>'SCI - P&amp;L (2)'!K23</f>
        <v>-1007</v>
      </c>
      <c r="BK21" s="104">
        <f t="shared" ref="BK21" si="74">BK23+BK24+BK25+BK26+BK27+BK28+BK29+BK30+BK31+BK34++BK32+BK33</f>
        <v>-4000</v>
      </c>
      <c r="BL21" s="104">
        <f t="shared" ref="BL21:BL34" si="75">SUM(BE21:BK21)</f>
        <v>-1921974.8020050125</v>
      </c>
      <c r="BM21" s="104"/>
      <c r="BN21" s="104">
        <f t="shared" ref="BN21:BQ21" si="76">BN23+BN24+BN25+BN26+BN27+BN28+BN29+BN30+BN31+BN34++BN32+BN33</f>
        <v>-296000</v>
      </c>
      <c r="BO21" s="104">
        <f t="shared" si="76"/>
        <v>-465732.71428571432</v>
      </c>
      <c r="BP21" s="104">
        <f t="shared" si="76"/>
        <v>-487000</v>
      </c>
      <c r="BQ21" s="104">
        <f t="shared" si="76"/>
        <v>-737166.66666666663</v>
      </c>
      <c r="BR21" s="104">
        <f>'SC des SUCS - P&amp;L (2)'!L26</f>
        <v>-25000</v>
      </c>
      <c r="BS21" s="104">
        <f>'SCI - P&amp;L (2)'!L23</f>
        <v>-1007</v>
      </c>
      <c r="BT21" s="104">
        <f t="shared" ref="BT21" si="77">BT23+BT24+BT25+BT26+BT27+BT28+BT29+BT30+BT31+BT34++BT32+BT33</f>
        <v>-4000</v>
      </c>
      <c r="BU21" s="104">
        <f t="shared" ref="BU21:BU34" si="78">SUM(BN21:BT21)</f>
        <v>-2015906.3809523811</v>
      </c>
      <c r="BV21" s="109"/>
      <c r="BW21" s="109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</row>
    <row r="22" spans="1:98" outlineLevel="1"/>
    <row r="23" spans="1:98" s="92" customFormat="1" ht="12.75" outlineLevel="1">
      <c r="A23" s="90"/>
      <c r="B23" s="105" t="s">
        <v>171</v>
      </c>
      <c r="C23" s="91">
        <f>'Probois 43 - P&amp;L'!C71</f>
        <v>-18223</v>
      </c>
      <c r="D23" s="91"/>
      <c r="E23" s="91">
        <f>'BSB - P&amp;L'!C81</f>
        <v>-25151</v>
      </c>
      <c r="F23" s="91">
        <f>'SC des SUCS - P&amp;L'!C28</f>
        <v>0</v>
      </c>
      <c r="G23" s="91"/>
      <c r="H23" s="91">
        <f t="shared" si="0"/>
        <v>-43374</v>
      </c>
      <c r="I23" s="91"/>
      <c r="J23" s="91">
        <f>'Probois 43 - P&amp;L'!D71</f>
        <v>-17002</v>
      </c>
      <c r="K23" s="91">
        <f>'SAS EMB - P&amp;L'!C39</f>
        <v>-22103</v>
      </c>
      <c r="L23" s="91">
        <f>'BSB - P&amp;L'!D81</f>
        <v>-33201</v>
      </c>
      <c r="M23" s="91">
        <f>'SC des SUCS - P&amp;L'!D28</f>
        <v>0</v>
      </c>
      <c r="N23" s="91">
        <f>'SCI - P&amp;L'!D25</f>
        <v>0</v>
      </c>
      <c r="O23" s="91">
        <f t="shared" si="1"/>
        <v>-72306</v>
      </c>
      <c r="P23" s="91"/>
      <c r="Q23" s="91">
        <f>'Probois 43 - P&amp;L'!E71</f>
        <v>-26976</v>
      </c>
      <c r="R23" s="91">
        <f>'SAS EMB - P&amp;L'!D39</f>
        <v>-38878</v>
      </c>
      <c r="S23" s="91">
        <f>'BSB - P&amp;L'!E81</f>
        <v>-36612</v>
      </c>
      <c r="T23" s="91">
        <f>'SC des SUCS - P&amp;L'!E28</f>
        <v>0</v>
      </c>
      <c r="U23" s="91">
        <f>'SCI - P&amp;L'!E25</f>
        <v>0</v>
      </c>
      <c r="V23" s="91">
        <f t="shared" si="2"/>
        <v>-102466</v>
      </c>
      <c r="W23" s="91"/>
      <c r="X23" s="91">
        <f>'Probois 43 - P&amp;L'!F71</f>
        <v>-26010</v>
      </c>
      <c r="Y23" s="91">
        <f>'SAS EMB - P&amp;L'!E39</f>
        <v>-35157</v>
      </c>
      <c r="Z23" s="91">
        <f>'BSB - P&amp;L'!F81</f>
        <v>-41955</v>
      </c>
      <c r="AA23" s="91">
        <f>'SC des SUCS - P&amp;L'!F28</f>
        <v>0</v>
      </c>
      <c r="AB23" s="91">
        <f>'SCI - P&amp;L'!F25</f>
        <v>0</v>
      </c>
      <c r="AC23" s="91">
        <f t="shared" si="3"/>
        <v>-103122</v>
      </c>
      <c r="AD23" s="91"/>
      <c r="AE23" s="91">
        <f>'Probois 43 - P&amp;L'!G71</f>
        <v>-18508</v>
      </c>
      <c r="AF23" s="91">
        <f>'SAS EMB - P&amp;L'!F39</f>
        <v>-34279</v>
      </c>
      <c r="AG23" s="91">
        <f>'BSB - P&amp;L'!G81</f>
        <v>-54378</v>
      </c>
      <c r="AH23" s="91"/>
      <c r="AI23" s="91">
        <f>'SCI - P&amp;L (2)'!H25</f>
        <v>0</v>
      </c>
      <c r="AJ23" s="91">
        <f t="shared" ref="AJ23:AJ36" si="79">SUM(AE23:AI23)</f>
        <v>-107165</v>
      </c>
      <c r="AK23" s="91"/>
      <c r="AL23" s="91"/>
      <c r="AM23" s="91">
        <f>'Probois 43 - P&amp;L (2)'!I71</f>
        <v>-22000</v>
      </c>
      <c r="AN23" s="91">
        <f>'SAS EMB - P&amp;L (2)'!H39</f>
        <v>-35000</v>
      </c>
      <c r="AO23" s="91">
        <f>'BSB - P&amp;L (2)'!I81</f>
        <v>-55000</v>
      </c>
      <c r="AP23" s="91"/>
      <c r="AQ23" s="91"/>
      <c r="AR23" s="91"/>
      <c r="AS23" s="91"/>
      <c r="AT23" s="91">
        <f t="shared" si="69"/>
        <v>-112000</v>
      </c>
      <c r="AU23" s="91"/>
      <c r="AV23" s="91">
        <f>'Probois 43 - P&amp;L (2)'!J71</f>
        <v>-24000</v>
      </c>
      <c r="AW23" s="91">
        <f>'SAS EMB - P&amp;L (2)'!I39</f>
        <v>-36000</v>
      </c>
      <c r="AX23" s="91">
        <f>'BSB - P&amp;L (2)'!J81</f>
        <v>-60000</v>
      </c>
      <c r="AY23" s="91">
        <f>'Profilyss - P&amp;L (2)'!I58</f>
        <v>-148900</v>
      </c>
      <c r="AZ23" s="91"/>
      <c r="BA23" s="91"/>
      <c r="BB23" s="91"/>
      <c r="BC23" s="91">
        <f t="shared" si="72"/>
        <v>-268900</v>
      </c>
      <c r="BD23" s="91"/>
      <c r="BE23" s="91">
        <f>'Probois 43 - P&amp;L (2)'!K71</f>
        <v>-26000</v>
      </c>
      <c r="BF23" s="91">
        <f>'SAS EMB - P&amp;L (2)'!J39</f>
        <v>-37000</v>
      </c>
      <c r="BG23" s="91">
        <f>'BSB - P&amp;L (2)'!K81</f>
        <v>-65000</v>
      </c>
      <c r="BH23" s="91">
        <f>'Profilyss - P&amp;L (2)'!J58</f>
        <v>-199000</v>
      </c>
      <c r="BI23" s="91"/>
      <c r="BJ23" s="91"/>
      <c r="BK23" s="91"/>
      <c r="BL23" s="91">
        <f t="shared" si="75"/>
        <v>-327000</v>
      </c>
      <c r="BM23" s="91"/>
      <c r="BN23" s="91">
        <f>'Probois 43 - P&amp;L (2)'!L71</f>
        <v>-28000</v>
      </c>
      <c r="BO23" s="91">
        <f>'SAS EMB - P&amp;L (2)'!K39</f>
        <v>-38000</v>
      </c>
      <c r="BP23" s="91">
        <f>'BSB - P&amp;L (2)'!L81</f>
        <v>-70000</v>
      </c>
      <c r="BQ23" s="91">
        <f>'Profilyss - P&amp;L (2)'!K58</f>
        <v>-265800</v>
      </c>
      <c r="BR23" s="91"/>
      <c r="BS23" s="91"/>
      <c r="BT23" s="91"/>
      <c r="BU23" s="91">
        <f t="shared" si="78"/>
        <v>-401800</v>
      </c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</row>
    <row r="24" spans="1:98" s="92" customFormat="1" ht="12.75" outlineLevel="1">
      <c r="A24" s="90"/>
      <c r="B24" s="105" t="s">
        <v>172</v>
      </c>
      <c r="C24" s="91">
        <f>'Probois 43 - P&amp;L'!C82</f>
        <v>0</v>
      </c>
      <c r="D24" s="91"/>
      <c r="E24" s="91">
        <f>'BSB - P&amp;L'!C89</f>
        <v>0</v>
      </c>
      <c r="F24" s="91">
        <f>'SC des SUCS - P&amp;L'!C29</f>
        <v>0</v>
      </c>
      <c r="G24" s="91"/>
      <c r="H24" s="91">
        <f t="shared" si="0"/>
        <v>0</v>
      </c>
      <c r="I24" s="91"/>
      <c r="J24" s="91">
        <f>'Probois 43 - P&amp;L'!D82</f>
        <v>-1665</v>
      </c>
      <c r="K24" s="91">
        <f>'SAS EMB - P&amp;L'!C49</f>
        <v>-14567</v>
      </c>
      <c r="L24" s="91">
        <f>'BSB - P&amp;L'!D89</f>
        <v>0</v>
      </c>
      <c r="M24" s="91">
        <f>'SC des SUCS - P&amp;L'!D29</f>
        <v>0</v>
      </c>
      <c r="N24" s="91">
        <f>'SCI - P&amp;L'!D26</f>
        <v>0</v>
      </c>
      <c r="O24" s="91">
        <f t="shared" si="1"/>
        <v>-16232</v>
      </c>
      <c r="P24" s="91"/>
      <c r="Q24" s="91">
        <f>'Probois 43 - P&amp;L'!E82</f>
        <v>-1260</v>
      </c>
      <c r="R24" s="91">
        <f>'SAS EMB - P&amp;L'!D49</f>
        <v>-160057</v>
      </c>
      <c r="S24" s="91">
        <f>'BSB - P&amp;L'!E89</f>
        <v>0</v>
      </c>
      <c r="T24" s="91">
        <f>'SC des SUCS - P&amp;L'!E29</f>
        <v>0</v>
      </c>
      <c r="U24" s="91">
        <f>'SCI - P&amp;L'!E26</f>
        <v>0</v>
      </c>
      <c r="V24" s="91">
        <f t="shared" si="2"/>
        <v>-161317</v>
      </c>
      <c r="W24" s="91"/>
      <c r="X24" s="91">
        <f>'Probois 43 - P&amp;L'!F82</f>
        <v>0</v>
      </c>
      <c r="Y24" s="91">
        <f>'SAS EMB - P&amp;L'!E49</f>
        <v>-19599</v>
      </c>
      <c r="Z24" s="91">
        <f>'BSB - P&amp;L'!F89</f>
        <v>-1300</v>
      </c>
      <c r="AA24" s="91">
        <f>'SC des SUCS - P&amp;L'!F29</f>
        <v>0</v>
      </c>
      <c r="AB24" s="91">
        <f>'SCI - P&amp;L'!F26</f>
        <v>0</v>
      </c>
      <c r="AC24" s="91">
        <f t="shared" si="3"/>
        <v>-20899</v>
      </c>
      <c r="AD24" s="91"/>
      <c r="AE24" s="91">
        <f>'Probois 43 - P&amp;L'!G82</f>
        <v>-1650</v>
      </c>
      <c r="AF24" s="91">
        <f>'SAS EMB - P&amp;L'!F49</f>
        <v>-2629</v>
      </c>
      <c r="AG24" s="91">
        <f>'BSB - P&amp;L'!G89</f>
        <v>-1424</v>
      </c>
      <c r="AH24" s="91"/>
      <c r="AI24" s="91">
        <f>'SCI - P&amp;L (2)'!H26</f>
        <v>0</v>
      </c>
      <c r="AJ24" s="91">
        <f t="shared" si="79"/>
        <v>-5703</v>
      </c>
      <c r="AK24" s="91"/>
      <c r="AL24" s="91"/>
      <c r="AM24" s="91">
        <f>'Probois 43 - P&amp;L (2)'!I82</f>
        <v>-1600</v>
      </c>
      <c r="AN24" s="91">
        <f>'SAS EMB - P&amp;L (2)'!H49</f>
        <v>-3000</v>
      </c>
      <c r="AO24" s="91">
        <f>'BSB - P&amp;L (2)'!I89</f>
        <v>-1500</v>
      </c>
      <c r="AP24" s="91"/>
      <c r="AQ24" s="91"/>
      <c r="AR24" s="91"/>
      <c r="AS24" s="91"/>
      <c r="AT24" s="91">
        <f t="shared" si="69"/>
        <v>-6100</v>
      </c>
      <c r="AU24" s="91"/>
      <c r="AV24" s="91">
        <f>'Probois 43 - P&amp;L (2)'!J82</f>
        <v>-1600</v>
      </c>
      <c r="AW24" s="91">
        <f>'SAS EMB - P&amp;L (2)'!I49</f>
        <v>-4000</v>
      </c>
      <c r="AX24" s="91">
        <f>'BSB - P&amp;L (2)'!J89</f>
        <v>-1500</v>
      </c>
      <c r="AY24" s="91">
        <f>'Profilyss - P&amp;L (2)'!I67</f>
        <v>-20000</v>
      </c>
      <c r="AZ24" s="91"/>
      <c r="BA24" s="91"/>
      <c r="BB24" s="91"/>
      <c r="BC24" s="91">
        <f t="shared" si="72"/>
        <v>-27100</v>
      </c>
      <c r="BD24" s="91"/>
      <c r="BE24" s="91">
        <f>'Probois 43 - P&amp;L (2)'!K82</f>
        <v>-1600</v>
      </c>
      <c r="BF24" s="91">
        <f>'SAS EMB - P&amp;L (2)'!J49</f>
        <v>-4000</v>
      </c>
      <c r="BG24" s="91">
        <f>'BSB - P&amp;L (2)'!K89</f>
        <v>-1500</v>
      </c>
      <c r="BH24" s="91">
        <f>'Profilyss - P&amp;L (2)'!J67</f>
        <v>-5000</v>
      </c>
      <c r="BI24" s="91"/>
      <c r="BJ24" s="91"/>
      <c r="BK24" s="91"/>
      <c r="BL24" s="91">
        <f t="shared" si="75"/>
        <v>-12100</v>
      </c>
      <c r="BM24" s="91"/>
      <c r="BN24" s="91">
        <f>'Probois 43 - P&amp;L (2)'!L82</f>
        <v>-1600</v>
      </c>
      <c r="BO24" s="91">
        <f>'SAS EMB - P&amp;L (2)'!K49</f>
        <v>-4000</v>
      </c>
      <c r="BP24" s="91">
        <f>'BSB - P&amp;L (2)'!L89</f>
        <v>-1500</v>
      </c>
      <c r="BQ24" s="91">
        <f>'Profilyss - P&amp;L (2)'!K67</f>
        <v>-5000</v>
      </c>
      <c r="BR24" s="91"/>
      <c r="BS24" s="91"/>
      <c r="BT24" s="91"/>
      <c r="BU24" s="91">
        <f t="shared" si="78"/>
        <v>-12100</v>
      </c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</row>
    <row r="25" spans="1:98" s="92" customFormat="1" ht="12.75" outlineLevel="1">
      <c r="A25" s="90"/>
      <c r="B25" s="105" t="s">
        <v>173</v>
      </c>
      <c r="C25" s="91">
        <f>'Probois 43 - P&amp;L'!C85</f>
        <v>-31175</v>
      </c>
      <c r="D25" s="91"/>
      <c r="E25" s="91">
        <f>'BSB - P&amp;L'!C92</f>
        <v>-3523</v>
      </c>
      <c r="F25" s="91">
        <f>'SC des SUCS - P&amp;L'!C30</f>
        <v>0</v>
      </c>
      <c r="G25" s="91"/>
      <c r="H25" s="91">
        <f t="shared" si="0"/>
        <v>-34698</v>
      </c>
      <c r="I25" s="91"/>
      <c r="J25" s="91">
        <f>'Probois 43 - P&amp;L'!D85</f>
        <v>-26237</v>
      </c>
      <c r="K25" s="91">
        <f>'SAS EMB - P&amp;L'!C54</f>
        <v>-15096</v>
      </c>
      <c r="L25" s="91">
        <f>'BSB - P&amp;L'!D92</f>
        <v>-38926</v>
      </c>
      <c r="M25" s="91">
        <f>'SC des SUCS - P&amp;L'!D30</f>
        <v>0</v>
      </c>
      <c r="N25" s="91">
        <f>'SCI - P&amp;L'!D27</f>
        <v>0</v>
      </c>
      <c r="O25" s="91">
        <f t="shared" si="1"/>
        <v>-80259</v>
      </c>
      <c r="P25" s="91"/>
      <c r="Q25" s="91">
        <f>'Probois 43 - P&amp;L'!E85</f>
        <v>-25182</v>
      </c>
      <c r="R25" s="91">
        <f>'SAS EMB - P&amp;L'!D54</f>
        <v>-6679</v>
      </c>
      <c r="S25" s="91">
        <f>'BSB - P&amp;L'!E92</f>
        <v>-118988</v>
      </c>
      <c r="T25" s="91">
        <f>'SC des SUCS - P&amp;L'!E30</f>
        <v>0</v>
      </c>
      <c r="U25" s="91">
        <f>'SCI - P&amp;L'!E27</f>
        <v>0</v>
      </c>
      <c r="V25" s="91">
        <f t="shared" si="2"/>
        <v>-150849</v>
      </c>
      <c r="W25" s="91"/>
      <c r="X25" s="91">
        <f>'Probois 43 - P&amp;L'!F85</f>
        <v>-25248</v>
      </c>
      <c r="Y25" s="91">
        <f>'SAS EMB - P&amp;L'!E54</f>
        <v>-4766</v>
      </c>
      <c r="Z25" s="91">
        <f>'BSB - P&amp;L'!F92</f>
        <v>-122271</v>
      </c>
      <c r="AA25" s="91">
        <f>'SC des SUCS - P&amp;L'!F30</f>
        <v>0</v>
      </c>
      <c r="AB25" s="91">
        <f>'SCI - P&amp;L'!F27</f>
        <v>0</v>
      </c>
      <c r="AC25" s="91">
        <f t="shared" si="3"/>
        <v>-152285</v>
      </c>
      <c r="AD25" s="91"/>
      <c r="AE25" s="91">
        <f>'Probois 43 - P&amp;L'!G85</f>
        <v>-18969</v>
      </c>
      <c r="AF25" s="91">
        <f>'SAS EMB - P&amp;L'!F54</f>
        <v>-3535</v>
      </c>
      <c r="AG25" s="91">
        <f>'BSB - P&amp;L'!G92</f>
        <v>-121336</v>
      </c>
      <c r="AH25" s="91"/>
      <c r="AI25" s="91">
        <f>'SCI - P&amp;L (2)'!H27</f>
        <v>0</v>
      </c>
      <c r="AJ25" s="91">
        <f t="shared" si="79"/>
        <v>-143840</v>
      </c>
      <c r="AK25" s="91"/>
      <c r="AL25" s="91"/>
      <c r="AM25" s="91">
        <f>'Probois 43 - P&amp;L (2)'!I85</f>
        <v>-20000</v>
      </c>
      <c r="AN25" s="91">
        <f>'SAS EMB - P&amp;L (2)'!H54</f>
        <v>-5000</v>
      </c>
      <c r="AO25" s="91">
        <f>'BSB - P&amp;L (2)'!I92</f>
        <v>-122000</v>
      </c>
      <c r="AP25" s="91"/>
      <c r="AQ25" s="91"/>
      <c r="AR25" s="91"/>
      <c r="AS25" s="91"/>
      <c r="AT25" s="91">
        <f t="shared" si="69"/>
        <v>-147000</v>
      </c>
      <c r="AU25" s="91"/>
      <c r="AV25" s="91">
        <f>'Probois 43 - P&amp;L (2)'!J85</f>
        <v>-22000</v>
      </c>
      <c r="AW25" s="91">
        <f>'SAS EMB - P&amp;L (2)'!I54</f>
        <v>-5000</v>
      </c>
      <c r="AX25" s="91">
        <f>'BSB - P&amp;L (2)'!J92</f>
        <v>-122000</v>
      </c>
      <c r="AY25" s="91">
        <v>0</v>
      </c>
      <c r="AZ25" s="91"/>
      <c r="BA25" s="91"/>
      <c r="BB25" s="91"/>
      <c r="BC25" s="91">
        <f t="shared" si="72"/>
        <v>-149000</v>
      </c>
      <c r="BD25" s="91"/>
      <c r="BE25" s="91">
        <f>'Probois 43 - P&amp;L (2)'!K85</f>
        <v>-24000</v>
      </c>
      <c r="BF25" s="91">
        <f>'SAS EMB - P&amp;L (2)'!J54</f>
        <v>-5000</v>
      </c>
      <c r="BG25" s="91">
        <f>'BSB - P&amp;L (2)'!K92</f>
        <v>-122000</v>
      </c>
      <c r="BH25" s="91">
        <v>0</v>
      </c>
      <c r="BI25" s="91"/>
      <c r="BJ25" s="91"/>
      <c r="BK25" s="91"/>
      <c r="BL25" s="91">
        <f t="shared" si="75"/>
        <v>-151000</v>
      </c>
      <c r="BM25" s="91"/>
      <c r="BN25" s="91">
        <f>'Probois 43 - P&amp;L (2)'!L85</f>
        <v>-26000</v>
      </c>
      <c r="BO25" s="91">
        <f>'SAS EMB - P&amp;L (2)'!K54</f>
        <v>-5000</v>
      </c>
      <c r="BP25" s="91">
        <f>'BSB - P&amp;L (2)'!L92</f>
        <v>-122000</v>
      </c>
      <c r="BQ25" s="91">
        <v>0</v>
      </c>
      <c r="BR25" s="91"/>
      <c r="BS25" s="91"/>
      <c r="BT25" s="91"/>
      <c r="BU25" s="91">
        <f t="shared" si="78"/>
        <v>-153000</v>
      </c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</row>
    <row r="26" spans="1:98" s="92" customFormat="1" ht="12.75" outlineLevel="1">
      <c r="A26" s="90"/>
      <c r="B26" s="105" t="s">
        <v>174</v>
      </c>
      <c r="C26" s="91">
        <f>'Probois 43 - P&amp;L'!C92</f>
        <v>-15561</v>
      </c>
      <c r="D26" s="91"/>
      <c r="E26" s="91">
        <f>'BSB - P&amp;L'!C99</f>
        <v>-20129</v>
      </c>
      <c r="F26" s="91">
        <f>'SC des SUCS - P&amp;L'!C31</f>
        <v>0</v>
      </c>
      <c r="G26" s="91"/>
      <c r="H26" s="91">
        <f t="shared" si="0"/>
        <v>-35690</v>
      </c>
      <c r="I26" s="91"/>
      <c r="J26" s="91">
        <f>'Probois 43 - P&amp;L'!D92</f>
        <v>-15420</v>
      </c>
      <c r="K26" s="91">
        <f>'SAS EMB - P&amp;L'!C58</f>
        <v>-62456</v>
      </c>
      <c r="L26" s="91">
        <f>'BSB - P&amp;L'!D99</f>
        <v>-27038</v>
      </c>
      <c r="M26" s="91">
        <f>'SC des SUCS - P&amp;L'!D31</f>
        <v>0</v>
      </c>
      <c r="N26" s="91">
        <f>'SCI - P&amp;L'!D28</f>
        <v>0</v>
      </c>
      <c r="O26" s="91">
        <f t="shared" si="1"/>
        <v>-104914</v>
      </c>
      <c r="P26" s="91"/>
      <c r="Q26" s="91">
        <f>'Probois 43 - P&amp;L'!E92</f>
        <v>-15556</v>
      </c>
      <c r="R26" s="91">
        <f>'SAS EMB - P&amp;L'!D58</f>
        <v>-95625</v>
      </c>
      <c r="S26" s="91">
        <f>'BSB - P&amp;L'!E99</f>
        <v>-25098</v>
      </c>
      <c r="T26" s="91">
        <f>'SC des SUCS - P&amp;L'!E31</f>
        <v>0</v>
      </c>
      <c r="U26" s="91">
        <f>'SCI - P&amp;L'!E28</f>
        <v>0</v>
      </c>
      <c r="V26" s="91">
        <f t="shared" si="2"/>
        <v>-136279</v>
      </c>
      <c r="W26" s="91"/>
      <c r="X26" s="91">
        <f>'Probois 43 - P&amp;L'!F92</f>
        <v>-17356</v>
      </c>
      <c r="Y26" s="91">
        <f>'SAS EMB - P&amp;L'!E58</f>
        <v>-66626</v>
      </c>
      <c r="Z26" s="91">
        <f>'BSB - P&amp;L'!F99</f>
        <v>-28779</v>
      </c>
      <c r="AA26" s="91">
        <f>'SC des SUCS - P&amp;L'!F31</f>
        <v>0</v>
      </c>
      <c r="AB26" s="91">
        <f>'SCI - P&amp;L'!F28</f>
        <v>0</v>
      </c>
      <c r="AC26" s="91">
        <f t="shared" si="3"/>
        <v>-112761</v>
      </c>
      <c r="AD26" s="91"/>
      <c r="AE26" s="91">
        <f>'Probois 43 - P&amp;L'!G92</f>
        <v>-16421</v>
      </c>
      <c r="AF26" s="91">
        <f>'SAS EMB - P&amp;L'!F58</f>
        <v>-66647</v>
      </c>
      <c r="AG26" s="91">
        <f>'BSB - P&amp;L'!G99</f>
        <v>-31574</v>
      </c>
      <c r="AH26" s="91"/>
      <c r="AI26" s="91">
        <f>'SCI - P&amp;L (2)'!H28</f>
        <v>0</v>
      </c>
      <c r="AJ26" s="91">
        <f t="shared" si="79"/>
        <v>-114642</v>
      </c>
      <c r="AK26" s="91"/>
      <c r="AL26" s="91"/>
      <c r="AM26" s="91">
        <f>'Probois 43 - P&amp;L (2)'!I92</f>
        <v>-17000</v>
      </c>
      <c r="AN26" s="91">
        <f>'SAS EMB - P&amp;L (2)'!H58</f>
        <v>-66647</v>
      </c>
      <c r="AO26" s="91">
        <f>'BSB - P&amp;L (2)'!I99</f>
        <v>-32000</v>
      </c>
      <c r="AP26" s="91"/>
      <c r="AQ26" s="91"/>
      <c r="AR26" s="91"/>
      <c r="AS26" s="91"/>
      <c r="AT26" s="91">
        <f t="shared" si="69"/>
        <v>-115647</v>
      </c>
      <c r="AU26" s="91"/>
      <c r="AV26" s="91">
        <f>'Probois 43 - P&amp;L (2)'!J92</f>
        <v>-18000</v>
      </c>
      <c r="AW26" s="91">
        <f>'SAS EMB - P&amp;L (2)'!I58</f>
        <v>-102732.71428571429</v>
      </c>
      <c r="AX26" s="91">
        <f>'BSB - P&amp;L (2)'!J99</f>
        <v>-32000</v>
      </c>
      <c r="AY26" s="91">
        <f>'Profilyss - P&amp;L (2)'!I72</f>
        <v>-199000</v>
      </c>
      <c r="AZ26" s="91"/>
      <c r="BA26" s="91"/>
      <c r="BB26" s="91"/>
      <c r="BC26" s="91">
        <f t="shared" si="72"/>
        <v>-351732.71428571432</v>
      </c>
      <c r="BD26" s="91"/>
      <c r="BE26" s="91">
        <f>'Probois 43 - P&amp;L (2)'!K92</f>
        <v>-19000</v>
      </c>
      <c r="BF26" s="91">
        <f>'SAS EMB - P&amp;L (2)'!J58</f>
        <v>-102732.71428571429</v>
      </c>
      <c r="BG26" s="91">
        <f>'BSB - P&amp;L (2)'!K99</f>
        <v>-32000</v>
      </c>
      <c r="BH26" s="91">
        <f>'Profilyss - P&amp;L (2)'!J72</f>
        <v>-199000</v>
      </c>
      <c r="BI26" s="91"/>
      <c r="BJ26" s="91"/>
      <c r="BK26" s="91"/>
      <c r="BL26" s="91">
        <f t="shared" si="75"/>
        <v>-352732.71428571432</v>
      </c>
      <c r="BM26" s="91"/>
      <c r="BN26" s="91">
        <f>'Probois 43 - P&amp;L (2)'!L92</f>
        <v>-20000</v>
      </c>
      <c r="BO26" s="91">
        <f>'SAS EMB - P&amp;L (2)'!K58</f>
        <v>-102732.71428571429</v>
      </c>
      <c r="BP26" s="91">
        <f>'BSB - P&amp;L (2)'!L99</f>
        <v>-32000</v>
      </c>
      <c r="BQ26" s="91">
        <f>'Profilyss - P&amp;L (2)'!K72</f>
        <v>-199000</v>
      </c>
      <c r="BR26" s="91"/>
      <c r="BS26" s="91"/>
      <c r="BT26" s="91"/>
      <c r="BU26" s="91">
        <f t="shared" si="78"/>
        <v>-353732.71428571432</v>
      </c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</row>
    <row r="27" spans="1:98" s="92" customFormat="1" ht="12.75" outlineLevel="1">
      <c r="A27" s="90"/>
      <c r="B27" s="105" t="s">
        <v>175</v>
      </c>
      <c r="C27" s="91">
        <f>'Probois 43 - P&amp;L'!C99</f>
        <v>-11105</v>
      </c>
      <c r="D27" s="91"/>
      <c r="E27" s="91">
        <f>'BSB - P&amp;L'!C104</f>
        <v>-22328</v>
      </c>
      <c r="F27" s="91">
        <f>'SC des SUCS - P&amp;L'!C32</f>
        <v>0</v>
      </c>
      <c r="G27" s="91"/>
      <c r="H27" s="91">
        <f t="shared" si="0"/>
        <v>-33433</v>
      </c>
      <c r="I27" s="91"/>
      <c r="J27" s="91">
        <f>'Probois 43 - P&amp;L'!D99</f>
        <v>-12972</v>
      </c>
      <c r="K27" s="91">
        <f>'SAS EMB - P&amp;L'!C67</f>
        <v>-16573</v>
      </c>
      <c r="L27" s="91">
        <f>'BSB - P&amp;L'!D104</f>
        <v>-16532</v>
      </c>
      <c r="M27" s="91">
        <f>'SC des SUCS - P&amp;L'!D32</f>
        <v>0</v>
      </c>
      <c r="N27" s="91">
        <f>'SCI - P&amp;L'!D29</f>
        <v>0</v>
      </c>
      <c r="O27" s="91">
        <f t="shared" si="1"/>
        <v>-46077</v>
      </c>
      <c r="P27" s="91"/>
      <c r="Q27" s="91">
        <f>'Probois 43 - P&amp;L'!E99</f>
        <v>-20760</v>
      </c>
      <c r="R27" s="91">
        <f>'SAS EMB - P&amp;L'!D67</f>
        <v>-34325</v>
      </c>
      <c r="S27" s="91">
        <f>'BSB - P&amp;L'!E104</f>
        <v>-62037</v>
      </c>
      <c r="T27" s="91">
        <f>'SC des SUCS - P&amp;L'!E32</f>
        <v>0</v>
      </c>
      <c r="U27" s="91">
        <f>'SCI - P&amp;L'!E29</f>
        <v>0</v>
      </c>
      <c r="V27" s="91">
        <f t="shared" si="2"/>
        <v>-117122</v>
      </c>
      <c r="W27" s="91"/>
      <c r="X27" s="91">
        <f>'Probois 43 - P&amp;L'!F99</f>
        <v>-10654</v>
      </c>
      <c r="Y27" s="91">
        <f>'SAS EMB - P&amp;L'!E67</f>
        <v>-16844</v>
      </c>
      <c r="Z27" s="91">
        <f>'BSB - P&amp;L'!F104</f>
        <v>-50467</v>
      </c>
      <c r="AA27" s="91">
        <f>'SC des SUCS - P&amp;L'!F32</f>
        <v>0</v>
      </c>
      <c r="AB27" s="91">
        <f>'SCI - P&amp;L'!F29</f>
        <v>0</v>
      </c>
      <c r="AC27" s="91">
        <f t="shared" si="3"/>
        <v>-77965</v>
      </c>
      <c r="AD27" s="91"/>
      <c r="AE27" s="91">
        <f>'Probois 43 - P&amp;L'!G99</f>
        <v>-16879</v>
      </c>
      <c r="AF27" s="91">
        <f>'SAS EMB - P&amp;L'!F67</f>
        <v>-19221</v>
      </c>
      <c r="AG27" s="91">
        <f>'BSB - P&amp;L'!G104</f>
        <v>-36054</v>
      </c>
      <c r="AH27" s="91"/>
      <c r="AI27" s="91">
        <f>'SCI - P&amp;L (2)'!H29</f>
        <v>0</v>
      </c>
      <c r="AJ27" s="91">
        <f t="shared" si="79"/>
        <v>-72154</v>
      </c>
      <c r="AK27" s="91"/>
      <c r="AL27" s="91"/>
      <c r="AM27" s="91">
        <f>'Probois 43 - P&amp;L (2)'!I99</f>
        <v>-17000</v>
      </c>
      <c r="AN27" s="91">
        <f>'SAS EMB - P&amp;L (2)'!H67</f>
        <v>-20000</v>
      </c>
      <c r="AO27" s="91">
        <f>'BSB - P&amp;L (2)'!I104</f>
        <v>-40000</v>
      </c>
      <c r="AP27" s="91"/>
      <c r="AQ27" s="91"/>
      <c r="AR27" s="91"/>
      <c r="AS27" s="91"/>
      <c r="AT27" s="91">
        <f t="shared" si="69"/>
        <v>-77000</v>
      </c>
      <c r="AU27" s="91"/>
      <c r="AV27" s="91">
        <f>'Probois 43 - P&amp;L (2)'!J99</f>
        <v>-18000</v>
      </c>
      <c r="AW27" s="91">
        <f>'SAS EMB - P&amp;L (2)'!I67</f>
        <v>-20000</v>
      </c>
      <c r="AX27" s="91">
        <f>'BSB - P&amp;L (2)'!J104</f>
        <v>-42000</v>
      </c>
      <c r="AY27" s="91">
        <f>'Profilyss - P&amp;L (2)'!I76</f>
        <v>-104000</v>
      </c>
      <c r="AZ27" s="91"/>
      <c r="BA27" s="91"/>
      <c r="BB27" s="91"/>
      <c r="BC27" s="91">
        <f t="shared" si="72"/>
        <v>-184000</v>
      </c>
      <c r="BD27" s="91"/>
      <c r="BE27" s="91">
        <f>'Probois 43 - P&amp;L (2)'!K99</f>
        <v>-19000</v>
      </c>
      <c r="BF27" s="91">
        <f>'SAS EMB - P&amp;L (2)'!J67</f>
        <v>-20000</v>
      </c>
      <c r="BG27" s="91">
        <f>'BSB - P&amp;L (2)'!K104</f>
        <v>-45000</v>
      </c>
      <c r="BH27" s="91">
        <f>'Profilyss - P&amp;L (2)'!J76</f>
        <v>-104000</v>
      </c>
      <c r="BI27" s="91"/>
      <c r="BJ27" s="91"/>
      <c r="BK27" s="91"/>
      <c r="BL27" s="91">
        <f t="shared" si="75"/>
        <v>-188000</v>
      </c>
      <c r="BM27" s="91"/>
      <c r="BN27" s="91">
        <f>'Probois 43 - P&amp;L (2)'!L99</f>
        <v>-20000</v>
      </c>
      <c r="BO27" s="91">
        <f>'SAS EMB - P&amp;L (2)'!K67</f>
        <v>-20000</v>
      </c>
      <c r="BP27" s="91">
        <f>'BSB - P&amp;L (2)'!L104</f>
        <v>-47000</v>
      </c>
      <c r="BQ27" s="91">
        <f>'Profilyss - P&amp;L (2)'!K76</f>
        <v>-104000</v>
      </c>
      <c r="BR27" s="91"/>
      <c r="BS27" s="91"/>
      <c r="BT27" s="91"/>
      <c r="BU27" s="91">
        <f t="shared" si="78"/>
        <v>-191000</v>
      </c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</row>
    <row r="28" spans="1:98" s="92" customFormat="1" ht="12.75" outlineLevel="1">
      <c r="A28" s="90"/>
      <c r="B28" s="105" t="s">
        <v>176</v>
      </c>
      <c r="C28" s="91">
        <f>'Probois 43 - P&amp;L'!C109</f>
        <v>-11086</v>
      </c>
      <c r="D28" s="91"/>
      <c r="E28" s="91">
        <f>'BSB - P&amp;L'!C110</f>
        <v>-6409</v>
      </c>
      <c r="F28" s="91">
        <f>'SC des SUCS - P&amp;L'!C33</f>
        <v>0</v>
      </c>
      <c r="G28" s="91"/>
      <c r="H28" s="91">
        <f t="shared" si="0"/>
        <v>-17495</v>
      </c>
      <c r="I28" s="91"/>
      <c r="J28" s="91">
        <f>'Probois 43 - P&amp;L'!D109</f>
        <v>-10709</v>
      </c>
      <c r="K28" s="91">
        <f>'SAS EMB - P&amp;L'!C76</f>
        <v>-21555</v>
      </c>
      <c r="L28" s="91">
        <f>'BSB - P&amp;L'!D110</f>
        <v>-9033</v>
      </c>
      <c r="M28" s="91">
        <f>'SC des SUCS - P&amp;L'!D33</f>
        <v>0</v>
      </c>
      <c r="N28" s="91">
        <f>'SCI - P&amp;L'!D30</f>
        <v>0</v>
      </c>
      <c r="O28" s="91">
        <f t="shared" si="1"/>
        <v>-41297</v>
      </c>
      <c r="P28" s="91"/>
      <c r="Q28" s="91">
        <f>'Probois 43 - P&amp;L'!E109</f>
        <v>-12069</v>
      </c>
      <c r="R28" s="91">
        <f>'SAS EMB - P&amp;L'!D76</f>
        <v>-29974</v>
      </c>
      <c r="S28" s="91">
        <f>'BSB - P&amp;L'!E110</f>
        <v>-15485</v>
      </c>
      <c r="T28" s="91">
        <f>'SC des SUCS - P&amp;L'!E33</f>
        <v>-672</v>
      </c>
      <c r="U28" s="91">
        <f>'SCI - P&amp;L'!E30</f>
        <v>0</v>
      </c>
      <c r="V28" s="91">
        <f t="shared" si="2"/>
        <v>-58200</v>
      </c>
      <c r="W28" s="91"/>
      <c r="X28" s="91">
        <f>'Probois 43 - P&amp;L'!F109</f>
        <v>-12909</v>
      </c>
      <c r="Y28" s="91">
        <f>'SAS EMB - P&amp;L'!E76</f>
        <v>-25200</v>
      </c>
      <c r="Z28" s="91">
        <f>'BSB - P&amp;L'!F110</f>
        <v>-16866</v>
      </c>
      <c r="AA28" s="91">
        <f>'SC des SUCS - P&amp;L'!F33</f>
        <v>-1948</v>
      </c>
      <c r="AB28" s="91">
        <f>'SCI - P&amp;L'!F30</f>
        <v>0</v>
      </c>
      <c r="AC28" s="91">
        <f t="shared" si="3"/>
        <v>-56923</v>
      </c>
      <c r="AD28" s="91"/>
      <c r="AE28" s="91">
        <f>'Probois 43 - P&amp;L'!G109</f>
        <v>-12843</v>
      </c>
      <c r="AF28" s="91">
        <f>'SAS EMB - P&amp;L'!F76</f>
        <v>-25775</v>
      </c>
      <c r="AG28" s="91">
        <f>'BSB - P&amp;L'!G110</f>
        <v>-18315</v>
      </c>
      <c r="AH28" s="91"/>
      <c r="AI28" s="91">
        <f>'SCI - P&amp;L (2)'!H30</f>
        <v>0</v>
      </c>
      <c r="AJ28" s="91">
        <f t="shared" si="79"/>
        <v>-56933</v>
      </c>
      <c r="AK28" s="91"/>
      <c r="AL28" s="91"/>
      <c r="AM28" s="91">
        <f>'Probois 43 - P&amp;L (2)'!I109</f>
        <v>-13000</v>
      </c>
      <c r="AN28" s="91">
        <f>'SAS EMB - P&amp;L (2)'!H76</f>
        <v>-26000</v>
      </c>
      <c r="AO28" s="91">
        <f>'BSB - P&amp;L (2)'!I110</f>
        <v>-18000</v>
      </c>
      <c r="AP28" s="91"/>
      <c r="AQ28" s="91"/>
      <c r="AR28" s="91"/>
      <c r="AS28" s="91"/>
      <c r="AT28" s="91">
        <f t="shared" si="69"/>
        <v>-57000</v>
      </c>
      <c r="AU28" s="91"/>
      <c r="AV28" s="91">
        <f>'Probois 43 - P&amp;L (2)'!J109</f>
        <v>-13500</v>
      </c>
      <c r="AW28" s="91">
        <f>'SAS EMB - P&amp;L (2)'!I76</f>
        <v>-26000</v>
      </c>
      <c r="AX28" s="91">
        <f>'BSB - P&amp;L (2)'!J110</f>
        <v>-19000</v>
      </c>
      <c r="AY28" s="91">
        <f>'Profilyss - P&amp;L (2)'!I80</f>
        <v>-75000</v>
      </c>
      <c r="AZ28" s="91"/>
      <c r="BA28" s="91"/>
      <c r="BB28" s="91">
        <f>'Antreuil - P&amp;L (2)'!J31</f>
        <v>-2000</v>
      </c>
      <c r="BC28" s="91">
        <f t="shared" si="72"/>
        <v>-135500</v>
      </c>
      <c r="BD28" s="91"/>
      <c r="BE28" s="91">
        <f>'Probois 43 - P&amp;L (2)'!K109</f>
        <v>-14000</v>
      </c>
      <c r="BF28" s="91">
        <f>'SAS EMB - P&amp;L (2)'!J76</f>
        <v>-26000</v>
      </c>
      <c r="BG28" s="91">
        <f>'BSB - P&amp;L (2)'!K110</f>
        <v>-20000</v>
      </c>
      <c r="BH28" s="91">
        <f>'Profilyss - P&amp;L (2)'!J80</f>
        <v>-75000</v>
      </c>
      <c r="BI28" s="91"/>
      <c r="BJ28" s="91"/>
      <c r="BK28" s="91">
        <f>'Antreuil - P&amp;L (2)'!K31</f>
        <v>-2000</v>
      </c>
      <c r="BL28" s="91">
        <f t="shared" si="75"/>
        <v>-137000</v>
      </c>
      <c r="BM28" s="91"/>
      <c r="BN28" s="91">
        <f>'Probois 43 - P&amp;L (2)'!L109</f>
        <v>-14500</v>
      </c>
      <c r="BO28" s="91">
        <f>'SAS EMB - P&amp;L (2)'!K76</f>
        <v>-26000</v>
      </c>
      <c r="BP28" s="91">
        <f>'BSB - P&amp;L (2)'!L110</f>
        <v>-21000</v>
      </c>
      <c r="BQ28" s="91">
        <f>'Profilyss - P&amp;L (2)'!K80</f>
        <v>-75000</v>
      </c>
      <c r="BR28" s="91"/>
      <c r="BS28" s="91"/>
      <c r="BT28" s="91">
        <f>'Antreuil - P&amp;L (2)'!L31</f>
        <v>-2000</v>
      </c>
      <c r="BU28" s="91">
        <f t="shared" si="78"/>
        <v>-138500</v>
      </c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</row>
    <row r="29" spans="1:98" s="92" customFormat="1" ht="12.75" outlineLevel="1">
      <c r="A29" s="90"/>
      <c r="B29" s="105" t="s">
        <v>177</v>
      </c>
      <c r="C29" s="91">
        <f>'Probois 43 - P&amp;L'!C119</f>
        <v>-191</v>
      </c>
      <c r="D29" s="91"/>
      <c r="E29" s="91">
        <f>'BSB - P&amp;L'!C117</f>
        <v>0</v>
      </c>
      <c r="F29" s="91">
        <f>'SC des SUCS - P&amp;L'!C34</f>
        <v>0</v>
      </c>
      <c r="G29" s="91"/>
      <c r="H29" s="91">
        <f t="shared" si="0"/>
        <v>-191</v>
      </c>
      <c r="I29" s="91"/>
      <c r="J29" s="91">
        <f>'Probois 43 - P&amp;L'!D119</f>
        <v>-375</v>
      </c>
      <c r="K29" s="92">
        <v>0</v>
      </c>
      <c r="L29" s="91">
        <f>'BSB - P&amp;L'!D117</f>
        <v>0</v>
      </c>
      <c r="M29" s="91">
        <f>'SC des SUCS - P&amp;L'!D38</f>
        <v>0</v>
      </c>
      <c r="N29" s="91">
        <f>'SCI - P&amp;L'!D31</f>
        <v>0</v>
      </c>
      <c r="O29" s="91">
        <f t="shared" si="1"/>
        <v>-375</v>
      </c>
      <c r="P29" s="91"/>
      <c r="Q29" s="91">
        <f>'Probois 43 - P&amp;L'!E119</f>
        <v>-465</v>
      </c>
      <c r="R29" s="92">
        <v>0</v>
      </c>
      <c r="S29" s="91">
        <f>'BSB - P&amp;L'!E117</f>
        <v>-212</v>
      </c>
      <c r="T29" s="91">
        <f>'SC des SUCS - P&amp;L'!E38</f>
        <v>0</v>
      </c>
      <c r="U29" s="91">
        <f>'SCI - P&amp;L'!E31</f>
        <v>0</v>
      </c>
      <c r="V29" s="91">
        <f t="shared" si="2"/>
        <v>-677</v>
      </c>
      <c r="W29" s="91"/>
      <c r="X29" s="91">
        <f>'Probois 43 - P&amp;L'!F119</f>
        <v>-223</v>
      </c>
      <c r="Y29" s="92">
        <v>0</v>
      </c>
      <c r="Z29" s="91">
        <f>'BSB - P&amp;L'!F117</f>
        <v>0</v>
      </c>
      <c r="AA29" s="91">
        <f>'SC des SUCS - P&amp;L'!F38</f>
        <v>0</v>
      </c>
      <c r="AB29" s="91">
        <f>'SCI - P&amp;L'!F31</f>
        <v>0</v>
      </c>
      <c r="AC29" s="91">
        <f t="shared" si="3"/>
        <v>-223</v>
      </c>
      <c r="AD29" s="91"/>
      <c r="AE29" s="91">
        <f>'Probois 43 - P&amp;L'!G119</f>
        <v>-287</v>
      </c>
      <c r="AF29" s="92">
        <v>0</v>
      </c>
      <c r="AG29" s="91">
        <f>'BSB - P&amp;L'!G117</f>
        <v>0</v>
      </c>
      <c r="AH29" s="91"/>
      <c r="AI29" s="91">
        <f>'SCI - P&amp;L (2)'!H31</f>
        <v>0</v>
      </c>
      <c r="AJ29" s="91">
        <f t="shared" si="79"/>
        <v>-287</v>
      </c>
      <c r="AK29" s="91"/>
      <c r="AL29" s="91"/>
      <c r="AM29" s="91">
        <f>'Probois 43 - P&amp;L (2)'!I119</f>
        <v>-400</v>
      </c>
      <c r="AN29" s="92">
        <v>0</v>
      </c>
      <c r="AO29" s="91">
        <v>0</v>
      </c>
      <c r="AP29" s="91"/>
      <c r="AQ29" s="91"/>
      <c r="AR29" s="91"/>
      <c r="AS29" s="91"/>
      <c r="AT29" s="91">
        <f t="shared" si="69"/>
        <v>-400</v>
      </c>
      <c r="AU29" s="91"/>
      <c r="AV29" s="91">
        <f>'Probois 43 - P&amp;L (2)'!J119</f>
        <v>-400</v>
      </c>
      <c r="AW29" s="92">
        <v>0</v>
      </c>
      <c r="AX29" s="91">
        <v>0</v>
      </c>
      <c r="AY29" s="91">
        <v>0</v>
      </c>
      <c r="AZ29" s="91"/>
      <c r="BA29" s="91"/>
      <c r="BB29" s="91"/>
      <c r="BC29" s="91">
        <f t="shared" si="72"/>
        <v>-400</v>
      </c>
      <c r="BD29" s="91"/>
      <c r="BE29" s="91">
        <f>'Probois 43 - P&amp;L (2)'!K119</f>
        <v>-400</v>
      </c>
      <c r="BF29" s="92">
        <v>0</v>
      </c>
      <c r="BG29" s="91">
        <v>0</v>
      </c>
      <c r="BH29" s="91">
        <v>0</v>
      </c>
      <c r="BI29" s="91"/>
      <c r="BJ29" s="91"/>
      <c r="BK29" s="91"/>
      <c r="BL29" s="91">
        <f t="shared" si="75"/>
        <v>-400</v>
      </c>
      <c r="BM29" s="91"/>
      <c r="BN29" s="91">
        <f>'Probois 43 - P&amp;L (2)'!L119</f>
        <v>-400</v>
      </c>
      <c r="BO29" s="92">
        <v>0</v>
      </c>
      <c r="BP29" s="91">
        <v>0</v>
      </c>
      <c r="BQ29" s="91">
        <v>0</v>
      </c>
      <c r="BR29" s="91"/>
      <c r="BS29" s="91"/>
      <c r="BT29" s="91"/>
      <c r="BU29" s="91">
        <f t="shared" si="78"/>
        <v>-400</v>
      </c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</row>
    <row r="30" spans="1:98" s="92" customFormat="1" ht="12.75" outlineLevel="1">
      <c r="A30" s="90"/>
      <c r="B30" s="105" t="s">
        <v>143</v>
      </c>
      <c r="C30" s="91">
        <f>'Probois 43 - P&amp;L'!C122</f>
        <v>-15134</v>
      </c>
      <c r="D30" s="91"/>
      <c r="E30" s="91">
        <f>'BSB - P&amp;L'!C120</f>
        <v>-8273</v>
      </c>
      <c r="F30" s="91">
        <f>'SC des SUCS - P&amp;L'!C39</f>
        <v>-1822</v>
      </c>
      <c r="G30" s="91"/>
      <c r="H30" s="91">
        <f t="shared" si="0"/>
        <v>-25229</v>
      </c>
      <c r="I30" s="91"/>
      <c r="J30" s="91">
        <f>'Probois 43 - P&amp;L'!D122</f>
        <v>-10658</v>
      </c>
      <c r="K30" s="91">
        <f>'SAS EMB - P&amp;L'!C86</f>
        <v>-82959</v>
      </c>
      <c r="L30" s="91">
        <f>'BSB - P&amp;L'!D120</f>
        <v>-18253</v>
      </c>
      <c r="M30" s="91">
        <f>'SC des SUCS - P&amp;L'!D39</f>
        <v>-1850</v>
      </c>
      <c r="N30" s="91">
        <f>'SCI - P&amp;L'!D32</f>
        <v>-3490</v>
      </c>
      <c r="O30" s="91">
        <f t="shared" si="1"/>
        <v>-117210</v>
      </c>
      <c r="P30" s="91"/>
      <c r="Q30" s="91">
        <f>'Probois 43 - P&amp;L'!E122</f>
        <v>-25211</v>
      </c>
      <c r="R30" s="91">
        <f>'SAS EMB - P&amp;L'!D86</f>
        <v>-105518</v>
      </c>
      <c r="S30" s="91">
        <f>'BSB - P&amp;L'!E120</f>
        <v>-22402</v>
      </c>
      <c r="T30" s="91">
        <f>'SC des SUCS - P&amp;L'!E39</f>
        <v>-3088</v>
      </c>
      <c r="U30" s="91">
        <f>'SCI - P&amp;L'!E32</f>
        <v>-1917</v>
      </c>
      <c r="V30" s="91">
        <f t="shared" si="2"/>
        <v>-158136</v>
      </c>
      <c r="W30" s="91"/>
      <c r="X30" s="91">
        <f>'Probois 43 - P&amp;L'!F122</f>
        <v>-45616</v>
      </c>
      <c r="Y30" s="91">
        <f>'SAS EMB - P&amp;L'!E86</f>
        <v>-74332</v>
      </c>
      <c r="Z30" s="91">
        <f>'BSB - P&amp;L'!F120</f>
        <v>-36983</v>
      </c>
      <c r="AA30" s="91">
        <f>'SC des SUCS - P&amp;L'!F39</f>
        <v>-11058</v>
      </c>
      <c r="AB30" s="91">
        <f>'SCI - P&amp;L'!F32</f>
        <v>-687</v>
      </c>
      <c r="AC30" s="91">
        <f t="shared" si="3"/>
        <v>-168676</v>
      </c>
      <c r="AD30" s="91"/>
      <c r="AE30" s="91">
        <f>'Probois 43 - P&amp;L'!G122</f>
        <v>-142633</v>
      </c>
      <c r="AF30" s="91">
        <f>'SAS EMB - P&amp;L'!F86</f>
        <v>-232160</v>
      </c>
      <c r="AG30" s="91">
        <f>'BSB - P&amp;L'!G120</f>
        <v>-129980</v>
      </c>
      <c r="AH30" s="91"/>
      <c r="AI30" s="91">
        <f>'SCI - P&amp;L (2)'!H32</f>
        <v>-687</v>
      </c>
      <c r="AJ30" s="91">
        <f t="shared" si="79"/>
        <v>-505460</v>
      </c>
      <c r="AK30" s="91"/>
      <c r="AL30" s="91"/>
      <c r="AM30" s="91">
        <f>'Probois 43 - P&amp;L (2)'!I122</f>
        <v>-145000</v>
      </c>
      <c r="AN30" s="91">
        <f>'SAS EMB - P&amp;L (2)'!H86</f>
        <v>-230000</v>
      </c>
      <c r="AO30" s="91">
        <f>'BSB - P&amp;L (2)'!I120</f>
        <v>-130000</v>
      </c>
      <c r="AP30" s="91"/>
      <c r="AQ30" s="91"/>
      <c r="AR30" s="91"/>
      <c r="AS30" s="91"/>
      <c r="AT30" s="91">
        <f t="shared" si="69"/>
        <v>-505000</v>
      </c>
      <c r="AU30" s="91"/>
      <c r="AV30" s="91">
        <f>'Probois 43 - P&amp;L (2)'!J122</f>
        <v>-147000</v>
      </c>
      <c r="AW30" s="91">
        <f>'SAS EMB - P&amp;L (2)'!I86</f>
        <v>-233000</v>
      </c>
      <c r="AX30" s="91">
        <f>'BSB - P&amp;L (2)'!J120</f>
        <v>-130000</v>
      </c>
      <c r="AY30" s="91">
        <f>'Profilyss - P&amp;L (2)'!I84</f>
        <v>-58000</v>
      </c>
      <c r="AZ30" s="91"/>
      <c r="BA30" s="91"/>
      <c r="BB30" s="91">
        <f>'Antreuil - P&amp;L (2)'!J33</f>
        <v>-1000</v>
      </c>
      <c r="BC30" s="91">
        <f t="shared" si="72"/>
        <v>-569000</v>
      </c>
      <c r="BD30" s="91"/>
      <c r="BE30" s="91">
        <f>'Probois 43 - P&amp;L (2)'!K122</f>
        <v>-150000</v>
      </c>
      <c r="BF30" s="91">
        <f>'SAS EMB - P&amp;L (2)'!J86</f>
        <v>-233000</v>
      </c>
      <c r="BG30" s="91">
        <f>'BSB - P&amp;L (2)'!K120</f>
        <v>-132000</v>
      </c>
      <c r="BH30" s="91">
        <f>'Profilyss - P&amp;L (2)'!J84</f>
        <v>-58000</v>
      </c>
      <c r="BI30" s="91"/>
      <c r="BJ30" s="91"/>
      <c r="BK30" s="91">
        <f>'Antreuil - P&amp;L (2)'!K33</f>
        <v>-1000</v>
      </c>
      <c r="BL30" s="91">
        <f t="shared" si="75"/>
        <v>-574000</v>
      </c>
      <c r="BM30" s="91"/>
      <c r="BN30" s="91">
        <f>'Probois 43 - P&amp;L (2)'!L122</f>
        <v>-152000</v>
      </c>
      <c r="BO30" s="91">
        <f>'SAS EMB - P&amp;L (2)'!K86</f>
        <v>-233000</v>
      </c>
      <c r="BP30" s="91">
        <f>'BSB - P&amp;L (2)'!L120</f>
        <v>-135000</v>
      </c>
      <c r="BQ30" s="91">
        <f>'Profilyss - P&amp;L (2)'!K84</f>
        <v>-58000</v>
      </c>
      <c r="BR30" s="91"/>
      <c r="BS30" s="91"/>
      <c r="BT30" s="91">
        <f>'Antreuil - P&amp;L (2)'!L33</f>
        <v>-1000</v>
      </c>
      <c r="BU30" s="91">
        <f t="shared" si="78"/>
        <v>-579000</v>
      </c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</row>
    <row r="31" spans="1:98" s="92" customFormat="1" ht="12.75" outlineLevel="1">
      <c r="A31" s="90"/>
      <c r="B31" s="105" t="s">
        <v>178</v>
      </c>
      <c r="C31" s="91">
        <f>'Probois 43 - P&amp;L'!C137</f>
        <v>-875</v>
      </c>
      <c r="D31" s="91"/>
      <c r="E31" s="91">
        <f>'BSB - P&amp;L'!C134</f>
        <v>-384</v>
      </c>
      <c r="F31" s="91">
        <f>0</f>
        <v>0</v>
      </c>
      <c r="G31" s="91"/>
      <c r="H31" s="91">
        <f t="shared" si="0"/>
        <v>-1259</v>
      </c>
      <c r="I31" s="91"/>
      <c r="J31" s="91">
        <f>'Probois 43 - P&amp;L'!D137</f>
        <v>-754</v>
      </c>
      <c r="K31" s="91">
        <f>'SAS EMB - P&amp;L'!C100</f>
        <v>-4367</v>
      </c>
      <c r="L31" s="91">
        <f>'BSB - P&amp;L'!D134</f>
        <v>-475</v>
      </c>
      <c r="M31" s="91">
        <f>'SC des SUCS - P&amp;L'!D46</f>
        <v>0</v>
      </c>
      <c r="N31" s="91">
        <f>'SCI - P&amp;L'!D38</f>
        <v>0</v>
      </c>
      <c r="O31" s="91">
        <f t="shared" si="1"/>
        <v>-5596</v>
      </c>
      <c r="P31" s="91"/>
      <c r="Q31" s="91">
        <f>'Probois 43 - P&amp;L'!E137</f>
        <v>-1105</v>
      </c>
      <c r="R31" s="91">
        <f>'SAS EMB - P&amp;L'!D100</f>
        <v>-3758</v>
      </c>
      <c r="S31" s="91">
        <f>'BSB - P&amp;L'!E134</f>
        <v>-178</v>
      </c>
      <c r="T31" s="91">
        <f>'SC des SUCS - P&amp;L'!E46</f>
        <v>0</v>
      </c>
      <c r="U31" s="91">
        <f>'SCI - P&amp;L'!E38</f>
        <v>0</v>
      </c>
      <c r="V31" s="91">
        <f t="shared" si="2"/>
        <v>-5041</v>
      </c>
      <c r="W31" s="91"/>
      <c r="X31" s="91">
        <f>'Probois 43 - P&amp;L'!F137</f>
        <v>-4173</v>
      </c>
      <c r="Y31" s="91">
        <f>'SAS EMB - P&amp;L'!E100</f>
        <v>-3257</v>
      </c>
      <c r="Z31" s="91">
        <f>'BSB - P&amp;L'!F134</f>
        <v>-1480</v>
      </c>
      <c r="AA31" s="91">
        <f>'SC des SUCS - P&amp;L'!F46</f>
        <v>-459</v>
      </c>
      <c r="AB31" s="91">
        <f>'SCI - P&amp;L'!F38</f>
        <v>0</v>
      </c>
      <c r="AC31" s="91">
        <f t="shared" si="3"/>
        <v>-9369</v>
      </c>
      <c r="AD31" s="91"/>
      <c r="AE31" s="91">
        <f>'Probois 43 - P&amp;L'!G137</f>
        <v>-891</v>
      </c>
      <c r="AF31" s="91">
        <f>'SAS EMB - P&amp;L'!F100</f>
        <v>-1196</v>
      </c>
      <c r="AG31" s="91">
        <f>'BSB - P&amp;L'!G134</f>
        <v>-541</v>
      </c>
      <c r="AH31" s="91"/>
      <c r="AI31" s="91">
        <f>'SCI - P&amp;L (2)'!H38</f>
        <v>0</v>
      </c>
      <c r="AJ31" s="91">
        <f t="shared" si="79"/>
        <v>-2628</v>
      </c>
      <c r="AK31" s="91"/>
      <c r="AL31" s="91"/>
      <c r="AM31" s="91">
        <f>'Probois 43 - P&amp;L (2)'!I137</f>
        <v>-1500</v>
      </c>
      <c r="AN31" s="91">
        <f>'SAS EMB - P&amp;L (2)'!H100</f>
        <v>-3000</v>
      </c>
      <c r="AO31" s="91">
        <f>'BSB - P&amp;L (2)'!I134</f>
        <v>-1000</v>
      </c>
      <c r="AP31" s="91"/>
      <c r="AQ31" s="91"/>
      <c r="AR31" s="91"/>
      <c r="AS31" s="91"/>
      <c r="AT31" s="91">
        <f t="shared" si="69"/>
        <v>-5500</v>
      </c>
      <c r="AU31" s="91"/>
      <c r="AV31" s="91">
        <f>'Probois 43 - P&amp;L (2)'!J137</f>
        <v>-1500</v>
      </c>
      <c r="AW31" s="91">
        <f>'SAS EMB - P&amp;L (2)'!I100</f>
        <v>-3000</v>
      </c>
      <c r="AX31" s="91">
        <f>'BSB - P&amp;L (2)'!J134</f>
        <v>-1000</v>
      </c>
      <c r="AY31" s="91">
        <f>'Profilyss - P&amp;L (2)'!I89</f>
        <v>-2000</v>
      </c>
      <c r="AZ31" s="91"/>
      <c r="BA31" s="91"/>
      <c r="BB31" s="91"/>
      <c r="BC31" s="91">
        <f t="shared" si="72"/>
        <v>-7500</v>
      </c>
      <c r="BD31" s="91"/>
      <c r="BE31" s="91">
        <f>'Probois 43 - P&amp;L (2)'!K137</f>
        <v>-1500</v>
      </c>
      <c r="BF31" s="91">
        <f>'SAS EMB - P&amp;L (2)'!J100</f>
        <v>-3000</v>
      </c>
      <c r="BG31" s="91">
        <f>'BSB - P&amp;L (2)'!K134</f>
        <v>-1000</v>
      </c>
      <c r="BH31" s="91">
        <f>'Profilyss - P&amp;L (2)'!J89</f>
        <v>-2000</v>
      </c>
      <c r="BI31" s="91"/>
      <c r="BJ31" s="91"/>
      <c r="BK31" s="91"/>
      <c r="BL31" s="91">
        <f t="shared" si="75"/>
        <v>-7500</v>
      </c>
      <c r="BM31" s="91"/>
      <c r="BN31" s="91">
        <f>'Probois 43 - P&amp;L (2)'!L137</f>
        <v>-1500</v>
      </c>
      <c r="BO31" s="91">
        <f>'SAS EMB - P&amp;L (2)'!K100</f>
        <v>-3000</v>
      </c>
      <c r="BP31" s="91">
        <f>'BSB - P&amp;L (2)'!L134</f>
        <v>-1000</v>
      </c>
      <c r="BQ31" s="91">
        <f>'Profilyss - P&amp;L (2)'!K89</f>
        <v>-2000</v>
      </c>
      <c r="BR31" s="91"/>
      <c r="BS31" s="91"/>
      <c r="BT31" s="91"/>
      <c r="BU31" s="91">
        <f t="shared" si="78"/>
        <v>-7500</v>
      </c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</row>
    <row r="32" spans="1:98" s="92" customFormat="1" ht="12.75" outlineLevel="1">
      <c r="A32" s="90"/>
      <c r="B32" s="105" t="s">
        <v>590</v>
      </c>
      <c r="C32" s="92">
        <v>0</v>
      </c>
      <c r="D32" s="91"/>
      <c r="E32" s="91">
        <f>'BSB - P&amp;L'!C139</f>
        <v>0</v>
      </c>
      <c r="F32" s="91">
        <f>'SC des SUCS - P&amp;L'!C41</f>
        <v>0</v>
      </c>
      <c r="G32" s="91"/>
      <c r="H32" s="91">
        <f t="shared" si="0"/>
        <v>0</v>
      </c>
      <c r="I32" s="91"/>
      <c r="J32" s="92">
        <v>0</v>
      </c>
      <c r="K32" s="91">
        <f>'SAS EMB - P&amp;L'!C105</f>
        <v>-8940</v>
      </c>
      <c r="L32" s="91">
        <f>'BSB - P&amp;L'!D139</f>
        <v>-8800</v>
      </c>
      <c r="M32" s="91">
        <f>'SC des SUCS - P&amp;L'!D47</f>
        <v>0</v>
      </c>
      <c r="N32" s="91">
        <f>'SCI - P&amp;L'!D39</f>
        <v>0</v>
      </c>
      <c r="O32" s="91">
        <f t="shared" si="1"/>
        <v>-17740</v>
      </c>
      <c r="P32" s="91"/>
      <c r="Q32" s="92">
        <v>0</v>
      </c>
      <c r="R32" s="91">
        <f>'SAS EMB - P&amp;L'!D105</f>
        <v>-10568</v>
      </c>
      <c r="S32" s="91">
        <f>'BSB - P&amp;L'!E139</f>
        <v>-13736</v>
      </c>
      <c r="T32" s="91">
        <f>'SC des SUCS - P&amp;L'!E47</f>
        <v>0</v>
      </c>
      <c r="U32" s="91">
        <f>'SCI - P&amp;L'!E39</f>
        <v>0</v>
      </c>
      <c r="V32" s="91">
        <f t="shared" si="2"/>
        <v>-24304</v>
      </c>
      <c r="W32" s="91"/>
      <c r="X32" s="92">
        <v>0</v>
      </c>
      <c r="Y32" s="91">
        <f>'SAS EMB - P&amp;L'!E105</f>
        <v>-7957</v>
      </c>
      <c r="Z32" s="91">
        <f>'BSB - P&amp;L'!F139</f>
        <v>-17550</v>
      </c>
      <c r="AA32" s="91">
        <f>'SC des SUCS - P&amp;L'!F49</f>
        <v>0</v>
      </c>
      <c r="AB32" s="91">
        <f>'SCI - P&amp;L'!F39</f>
        <v>0</v>
      </c>
      <c r="AC32" s="91">
        <f t="shared" si="3"/>
        <v>-25507</v>
      </c>
      <c r="AD32" s="91"/>
      <c r="AE32" s="92">
        <v>0</v>
      </c>
      <c r="AF32" s="91">
        <f>'SAS EMB - P&amp;L'!F105</f>
        <v>-10084</v>
      </c>
      <c r="AG32" s="91">
        <f>'BSB - P&amp;L'!G139</f>
        <v>-31890</v>
      </c>
      <c r="AH32" s="91"/>
      <c r="AI32" s="91">
        <f>'SCI - P&amp;L (2)'!H39</f>
        <v>0</v>
      </c>
      <c r="AJ32" s="91">
        <f t="shared" si="79"/>
        <v>-41974</v>
      </c>
      <c r="AK32" s="91"/>
      <c r="AL32" s="91"/>
      <c r="AM32" s="92">
        <v>0</v>
      </c>
      <c r="AN32" s="91">
        <f>'SAS EMB - P&amp;L (2)'!H105</f>
        <v>-10000</v>
      </c>
      <c r="AO32" s="91">
        <f>'BSB - P&amp;L (2)'!I139</f>
        <v>-32000</v>
      </c>
      <c r="AP32" s="91"/>
      <c r="AQ32" s="91"/>
      <c r="AR32" s="91"/>
      <c r="AS32" s="91"/>
      <c r="AT32" s="91">
        <f t="shared" si="69"/>
        <v>-42000</v>
      </c>
      <c r="AU32" s="91"/>
      <c r="AV32" s="92">
        <v>0</v>
      </c>
      <c r="AW32" s="91">
        <f>'SAS EMB - P&amp;L (2)'!I105</f>
        <v>-10000</v>
      </c>
      <c r="AX32" s="91">
        <f>'BSB - P&amp;L (2)'!J139</f>
        <v>-34000</v>
      </c>
      <c r="AY32" s="91">
        <f>'Profilyss - P&amp;L (2)'!I93</f>
        <v>-10370.370370370369</v>
      </c>
      <c r="AZ32" s="91"/>
      <c r="BA32" s="91"/>
      <c r="BB32" s="91"/>
      <c r="BC32" s="91">
        <f t="shared" si="72"/>
        <v>-54370.370370370365</v>
      </c>
      <c r="BD32" s="91"/>
      <c r="BE32" s="92">
        <v>0</v>
      </c>
      <c r="BF32" s="91">
        <f>'SAS EMB - P&amp;L (2)'!J105</f>
        <v>-10000</v>
      </c>
      <c r="BG32" s="91">
        <f>'BSB - P&amp;L (2)'!K139</f>
        <v>-35000</v>
      </c>
      <c r="BH32" s="91">
        <f>'Profilyss - P&amp;L (2)'!J93</f>
        <v>-14035.087719298248</v>
      </c>
      <c r="BI32" s="91"/>
      <c r="BJ32" s="91"/>
      <c r="BK32" s="91"/>
      <c r="BL32" s="91">
        <f t="shared" si="75"/>
        <v>-59035.087719298244</v>
      </c>
      <c r="BM32" s="91"/>
      <c r="BN32" s="92">
        <v>0</v>
      </c>
      <c r="BO32" s="91">
        <f>'SAS EMB - P&amp;L (2)'!K105</f>
        <v>-10000</v>
      </c>
      <c r="BP32" s="91">
        <f>'BSB - P&amp;L (2)'!L139</f>
        <v>-36000</v>
      </c>
      <c r="BQ32" s="91">
        <f>'Profilyss - P&amp;L (2)'!K93</f>
        <v>-18666.666666666668</v>
      </c>
      <c r="BR32" s="91"/>
      <c r="BS32" s="91"/>
      <c r="BT32" s="91"/>
      <c r="BU32" s="91">
        <f t="shared" si="78"/>
        <v>-64666.666666666672</v>
      </c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</row>
    <row r="33" spans="1:98" s="92" customFormat="1" ht="12.75" outlineLevel="1">
      <c r="A33" s="90"/>
      <c r="B33" s="105" t="s">
        <v>179</v>
      </c>
      <c r="C33" s="91">
        <f>'Probois 43 - P&amp;L'!C144</f>
        <v>-9507</v>
      </c>
      <c r="D33" s="91"/>
      <c r="E33" s="91">
        <f>'BSB - P&amp;L'!C142</f>
        <v>-1939</v>
      </c>
      <c r="F33" s="91">
        <f>'SC des SUCS - P&amp;L'!C42</f>
        <v>0</v>
      </c>
      <c r="G33" s="91"/>
      <c r="H33" s="91">
        <f t="shared" si="0"/>
        <v>-11446</v>
      </c>
      <c r="I33" s="91"/>
      <c r="J33" s="91">
        <f>'Probois 43 - P&amp;L'!D144</f>
        <v>-4649</v>
      </c>
      <c r="K33" s="91">
        <f>'SAS EMB - P&amp;L'!C109</f>
        <v>-10922</v>
      </c>
      <c r="L33" s="91">
        <f>'BSB - P&amp;L'!D142</f>
        <v>-2980</v>
      </c>
      <c r="M33" s="91">
        <f>'SC des SUCS - P&amp;L'!D48</f>
        <v>0</v>
      </c>
      <c r="N33" s="91">
        <f>'SCI - P&amp;L'!D40</f>
        <v>0</v>
      </c>
      <c r="O33" s="91">
        <f t="shared" si="1"/>
        <v>-18551</v>
      </c>
      <c r="P33" s="91"/>
      <c r="Q33" s="91">
        <f>'Probois 43 - P&amp;L'!E144</f>
        <v>-7561</v>
      </c>
      <c r="R33" s="91">
        <f>'SAS EMB - P&amp;L'!D109</f>
        <v>-12500</v>
      </c>
      <c r="S33" s="91">
        <f>'BSB - P&amp;L'!E142</f>
        <v>-2019</v>
      </c>
      <c r="T33" s="91">
        <f>'SC des SUCS - P&amp;L'!E48</f>
        <v>0</v>
      </c>
      <c r="U33" s="91">
        <f>'SCI - P&amp;L'!E40</f>
        <v>0</v>
      </c>
      <c r="V33" s="91">
        <f t="shared" si="2"/>
        <v>-22080</v>
      </c>
      <c r="W33" s="91"/>
      <c r="X33" s="91">
        <f>'Probois 43 - P&amp;L'!F144</f>
        <v>-9979</v>
      </c>
      <c r="Y33" s="91">
        <f>'SAS EMB - P&amp;L'!E109</f>
        <v>-10964</v>
      </c>
      <c r="Z33" s="91">
        <f>'BSB - P&amp;L'!F142</f>
        <v>-2748</v>
      </c>
      <c r="AA33" s="91">
        <f>'SC des SUCS - P&amp;L'!F50</f>
        <v>0</v>
      </c>
      <c r="AB33" s="91">
        <f>'SCI - P&amp;L'!F40</f>
        <v>0</v>
      </c>
      <c r="AC33" s="91">
        <f t="shared" si="3"/>
        <v>-23691</v>
      </c>
      <c r="AD33" s="91"/>
      <c r="AE33" s="91">
        <f>'Probois 43 - P&amp;L'!G144</f>
        <v>-6442</v>
      </c>
      <c r="AF33" s="91">
        <f>'SAS EMB - P&amp;L'!F109</f>
        <v>-12140</v>
      </c>
      <c r="AG33" s="91">
        <f>'BSB - P&amp;L'!G142</f>
        <v>-999</v>
      </c>
      <c r="AH33" s="91"/>
      <c r="AI33" s="91">
        <f>'SCI - P&amp;L (2)'!H40</f>
        <v>0</v>
      </c>
      <c r="AJ33" s="91">
        <f t="shared" si="79"/>
        <v>-19581</v>
      </c>
      <c r="AK33" s="91"/>
      <c r="AL33" s="91"/>
      <c r="AM33" s="91">
        <f>'Probois 43 - P&amp;L (2)'!I144</f>
        <v>-8000</v>
      </c>
      <c r="AN33" s="91">
        <f>'SAS EMB - P&amp;L (2)'!H109</f>
        <v>-12000</v>
      </c>
      <c r="AO33" s="91">
        <f>'BSB - P&amp;L (2)'!I142</f>
        <v>-2500</v>
      </c>
      <c r="AP33" s="91"/>
      <c r="AQ33" s="91"/>
      <c r="AR33" s="91"/>
      <c r="AS33" s="91"/>
      <c r="AT33" s="91">
        <f t="shared" si="69"/>
        <v>-22500</v>
      </c>
      <c r="AU33" s="91"/>
      <c r="AV33" s="91">
        <f>'Probois 43 - P&amp;L (2)'!J144</f>
        <v>-9000</v>
      </c>
      <c r="AW33" s="91">
        <f>'SAS EMB - P&amp;L (2)'!I109</f>
        <v>-12000</v>
      </c>
      <c r="AX33" s="91">
        <f>'BSB - P&amp;L (2)'!J142</f>
        <v>-2500</v>
      </c>
      <c r="AY33" s="91">
        <f>'Profilyss - P&amp;L (2)'!I102</f>
        <v>0</v>
      </c>
      <c r="AZ33" s="91"/>
      <c r="BA33" s="91"/>
      <c r="BB33" s="91"/>
      <c r="BC33" s="91">
        <f t="shared" si="72"/>
        <v>-23500</v>
      </c>
      <c r="BD33" s="91"/>
      <c r="BE33" s="91">
        <f>'Probois 43 - P&amp;L (2)'!K144</f>
        <v>-10000</v>
      </c>
      <c r="BF33" s="91">
        <f>'SAS EMB - P&amp;L (2)'!J109</f>
        <v>-12000</v>
      </c>
      <c r="BG33" s="91">
        <f>'BSB - P&amp;L (2)'!K142</f>
        <v>-2500</v>
      </c>
      <c r="BH33" s="91">
        <v>0</v>
      </c>
      <c r="BI33" s="91"/>
      <c r="BJ33" s="91"/>
      <c r="BK33" s="91"/>
      <c r="BL33" s="91">
        <f t="shared" si="75"/>
        <v>-24500</v>
      </c>
      <c r="BM33" s="91"/>
      <c r="BN33" s="91">
        <f>'Probois 43 - P&amp;L (2)'!L144</f>
        <v>-10000</v>
      </c>
      <c r="BO33" s="91">
        <f>'SAS EMB - P&amp;L (2)'!K109</f>
        <v>-12000</v>
      </c>
      <c r="BP33" s="91">
        <f>'BSB - P&amp;L (2)'!L142</f>
        <v>-2500</v>
      </c>
      <c r="BQ33" s="91">
        <v>0</v>
      </c>
      <c r="BR33" s="91"/>
      <c r="BS33" s="91"/>
      <c r="BT33" s="91"/>
      <c r="BU33" s="91">
        <f t="shared" si="78"/>
        <v>-24500</v>
      </c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</row>
    <row r="34" spans="1:98" s="92" customFormat="1" ht="12.75" outlineLevel="1">
      <c r="A34" s="90"/>
      <c r="B34" s="105" t="s">
        <v>180</v>
      </c>
      <c r="C34" s="91">
        <f>'Probois 43 - P&amp;L'!C154</f>
        <v>-17486</v>
      </c>
      <c r="D34" s="91"/>
      <c r="E34" s="91">
        <f>'BSB - P&amp;L'!C146</f>
        <v>-6895</v>
      </c>
      <c r="F34" s="91">
        <f>'SC des SUCS - P&amp;L'!C51</f>
        <v>-889</v>
      </c>
      <c r="G34" s="91"/>
      <c r="H34" s="91">
        <f t="shared" si="0"/>
        <v>-25270</v>
      </c>
      <c r="I34" s="91"/>
      <c r="J34" s="91">
        <f>'Probois 43 - P&amp;L'!D154</f>
        <v>-20159</v>
      </c>
      <c r="K34" s="91">
        <f>'SAS EMB - P&amp;L'!C119</f>
        <v>-14746</v>
      </c>
      <c r="L34" s="91">
        <f>'BSB - P&amp;L'!D146</f>
        <v>-9268</v>
      </c>
      <c r="M34" s="91">
        <f>'SC des SUCS - P&amp;L'!D51</f>
        <v>-1328</v>
      </c>
      <c r="N34" s="91">
        <f>'SCI - P&amp;L'!D41</f>
        <v>-307</v>
      </c>
      <c r="O34" s="91">
        <f t="shared" si="1"/>
        <v>-45808</v>
      </c>
      <c r="P34" s="91"/>
      <c r="Q34" s="91">
        <f>'Probois 43 - P&amp;L'!E154</f>
        <v>-31742</v>
      </c>
      <c r="R34" s="91">
        <f>'SAS EMB - P&amp;L'!D119</f>
        <v>-17715</v>
      </c>
      <c r="S34" s="91">
        <f>'BSB - P&amp;L'!E146</f>
        <v>-11653</v>
      </c>
      <c r="T34" s="91">
        <f>'SC des SUCS - P&amp;L'!E51</f>
        <v>-1560</v>
      </c>
      <c r="U34" s="91">
        <f>'SCI - P&amp;L'!E41</f>
        <v>-248</v>
      </c>
      <c r="V34" s="91">
        <f t="shared" si="2"/>
        <v>-62918</v>
      </c>
      <c r="W34" s="91"/>
      <c r="X34" s="91">
        <f>'Probois 43 - P&amp;L'!F154</f>
        <v>-21871</v>
      </c>
      <c r="Y34" s="91">
        <f>'SAS EMB - P&amp;L'!E119</f>
        <v>-10014</v>
      </c>
      <c r="Z34" s="91">
        <f>'BSB - P&amp;L'!F146</f>
        <v>-13053</v>
      </c>
      <c r="AA34" s="91">
        <f>'SC des SUCS - P&amp;L'!F51</f>
        <v>-2155</v>
      </c>
      <c r="AB34" s="91">
        <f>'SCI - P&amp;L'!F41</f>
        <v>-320</v>
      </c>
      <c r="AC34" s="91">
        <f t="shared" si="3"/>
        <v>-47413</v>
      </c>
      <c r="AD34" s="91"/>
      <c r="AE34" s="91">
        <f>'Probois 43 - P&amp;L'!G154</f>
        <v>-19887</v>
      </c>
      <c r="AF34" s="91">
        <f>'SAS EMB - P&amp;L'!F119</f>
        <v>-9642</v>
      </c>
      <c r="AG34" s="91">
        <f>'BSB - P&amp;L'!G146</f>
        <v>-16564</v>
      </c>
      <c r="AH34" s="91"/>
      <c r="AI34" s="91">
        <f>'SCI - P&amp;L (2)'!H41</f>
        <v>-320</v>
      </c>
      <c r="AJ34" s="91">
        <f t="shared" si="79"/>
        <v>-46413</v>
      </c>
      <c r="AK34" s="91"/>
      <c r="AL34" s="91"/>
      <c r="AM34" s="91">
        <f>'Probois 43 - P&amp;L (2)'!I154</f>
        <v>-22000</v>
      </c>
      <c r="AN34" s="91">
        <f>'SAS EMB - P&amp;L (2)'!H119</f>
        <v>-12000</v>
      </c>
      <c r="AO34" s="91">
        <f>'BSB - P&amp;L (2)'!I146</f>
        <v>-17000</v>
      </c>
      <c r="AP34" s="91"/>
      <c r="AQ34" s="91"/>
      <c r="AR34" s="91"/>
      <c r="AS34" s="91"/>
      <c r="AT34" s="91">
        <f t="shared" si="69"/>
        <v>-51000</v>
      </c>
      <c r="AU34" s="91"/>
      <c r="AV34" s="91">
        <f>'Probois 43 - P&amp;L (2)'!J154</f>
        <v>-22000</v>
      </c>
      <c r="AW34" s="91">
        <f>'SAS EMB - P&amp;L (2)'!I119</f>
        <v>-12000</v>
      </c>
      <c r="AX34" s="91">
        <f>'BSB - P&amp;L (2)'!J146</f>
        <v>-17000</v>
      </c>
      <c r="AY34" s="91">
        <f>'Profilyss - P&amp;L (2)'!I104</f>
        <v>-9700</v>
      </c>
      <c r="AZ34" s="91"/>
      <c r="BA34" s="91"/>
      <c r="BB34" s="91">
        <f>'Antreuil - P&amp;L (2)'!J39</f>
        <v>-1000</v>
      </c>
      <c r="BC34" s="91">
        <f t="shared" si="72"/>
        <v>-61700</v>
      </c>
      <c r="BD34" s="91"/>
      <c r="BE34" s="91">
        <f>'Probois 43 - P&amp;L (2)'!K154</f>
        <v>-22000</v>
      </c>
      <c r="BF34" s="91">
        <f>'SAS EMB - P&amp;L (2)'!J119</f>
        <v>-12000</v>
      </c>
      <c r="BG34" s="91">
        <f>'BSB - P&amp;L (2)'!K146</f>
        <v>-18000</v>
      </c>
      <c r="BH34" s="91">
        <f>'Profilyss - P&amp;L (2)'!J104</f>
        <v>-9700</v>
      </c>
      <c r="BI34" s="91"/>
      <c r="BJ34" s="91"/>
      <c r="BK34" s="91">
        <f>'Antreuil - P&amp;L (2)'!K39</f>
        <v>-1000</v>
      </c>
      <c r="BL34" s="91">
        <f t="shared" si="75"/>
        <v>-62700</v>
      </c>
      <c r="BM34" s="91"/>
      <c r="BN34" s="91">
        <f>'Probois 43 - P&amp;L (2)'!L154</f>
        <v>-22000</v>
      </c>
      <c r="BO34" s="91">
        <f>'SAS EMB - P&amp;L (2)'!K119</f>
        <v>-12000</v>
      </c>
      <c r="BP34" s="91">
        <f>'BSB - P&amp;L (2)'!L146</f>
        <v>-19000</v>
      </c>
      <c r="BQ34" s="91">
        <f>'Profilyss - P&amp;L (2)'!K104</f>
        <v>-9700</v>
      </c>
      <c r="BR34" s="91"/>
      <c r="BS34" s="91"/>
      <c r="BT34" s="91">
        <f>'Antreuil - P&amp;L (2)'!L39</f>
        <v>-1000</v>
      </c>
      <c r="BU34" s="91">
        <f t="shared" si="78"/>
        <v>-63700</v>
      </c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</row>
    <row r="35" spans="1:98" ht="15.75" outlineLevel="1">
      <c r="A35" s="83"/>
      <c r="B35" s="243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</row>
    <row r="36" spans="1:98" ht="15.75">
      <c r="A36" s="83"/>
      <c r="B36" s="100" t="s">
        <v>181</v>
      </c>
      <c r="C36" s="110">
        <f t="shared" ref="C36:G36" si="80">C19+C21</f>
        <v>219799</v>
      </c>
      <c r="D36" s="110">
        <f t="shared" si="80"/>
        <v>0</v>
      </c>
      <c r="E36" s="110">
        <f t="shared" si="80"/>
        <v>196847</v>
      </c>
      <c r="F36" s="110">
        <f t="shared" si="80"/>
        <v>-2711</v>
      </c>
      <c r="G36" s="110">
        <f t="shared" si="80"/>
        <v>0</v>
      </c>
      <c r="H36" s="110">
        <f t="shared" si="0"/>
        <v>413935</v>
      </c>
      <c r="I36" s="277"/>
      <c r="J36" s="110">
        <f t="shared" ref="J36:N36" si="81">J19+J21</f>
        <v>233483</v>
      </c>
      <c r="K36" s="110">
        <f t="shared" si="81"/>
        <v>476357</v>
      </c>
      <c r="L36" s="110">
        <f t="shared" si="81"/>
        <v>190568</v>
      </c>
      <c r="M36" s="110">
        <f t="shared" si="81"/>
        <v>-3178</v>
      </c>
      <c r="N36" s="110">
        <f t="shared" si="81"/>
        <v>20558</v>
      </c>
      <c r="O36" s="110">
        <f t="shared" si="1"/>
        <v>917788</v>
      </c>
      <c r="P36" s="110"/>
      <c r="Q36" s="110">
        <f t="shared" ref="Q36:U36" si="82">Q19+Q21</f>
        <v>409434</v>
      </c>
      <c r="R36" s="110">
        <f t="shared" si="82"/>
        <v>705716</v>
      </c>
      <c r="S36" s="110">
        <f t="shared" si="82"/>
        <v>328297</v>
      </c>
      <c r="T36" s="110">
        <f t="shared" si="82"/>
        <v>-5320</v>
      </c>
      <c r="U36" s="110">
        <f t="shared" si="82"/>
        <v>22927</v>
      </c>
      <c r="V36" s="110">
        <f t="shared" si="2"/>
        <v>1461054</v>
      </c>
      <c r="W36" s="277"/>
      <c r="X36" s="110">
        <f>X19+X21</f>
        <v>443092</v>
      </c>
      <c r="Y36" s="110">
        <f>Y19+Y21</f>
        <v>585761</v>
      </c>
      <c r="Z36" s="110">
        <f>Z19+Z21</f>
        <v>298492</v>
      </c>
      <c r="AA36" s="110">
        <f>AA19+AA21</f>
        <v>74380</v>
      </c>
      <c r="AB36" s="110">
        <f>AB19+AB21</f>
        <v>28879</v>
      </c>
      <c r="AC36" s="110">
        <f t="shared" si="3"/>
        <v>1430604</v>
      </c>
      <c r="AD36" s="277"/>
      <c r="AE36" s="110">
        <f>AE19+AE21</f>
        <v>391063</v>
      </c>
      <c r="AF36" s="110">
        <f>AF19+AF21</f>
        <v>523734</v>
      </c>
      <c r="AG36" s="110">
        <f>AG19+AG21</f>
        <v>319625</v>
      </c>
      <c r="AH36" s="110">
        <f>AH19+AH21</f>
        <v>186000</v>
      </c>
      <c r="AI36" s="110">
        <f>AI19+AI21</f>
        <v>28879</v>
      </c>
      <c r="AJ36" s="110">
        <f t="shared" si="79"/>
        <v>1449301</v>
      </c>
      <c r="AK36" s="277"/>
      <c r="AL36" s="277"/>
      <c r="AM36" s="110">
        <f t="shared" ref="AM36:AR36" si="83">AM19+AM21</f>
        <v>326216</v>
      </c>
      <c r="AN36" s="110">
        <f t="shared" si="83"/>
        <v>518316.35</v>
      </c>
      <c r="AO36" s="110">
        <f t="shared" si="83"/>
        <v>290007.04999999981</v>
      </c>
      <c r="AP36" s="110">
        <f t="shared" si="83"/>
        <v>0</v>
      </c>
      <c r="AQ36" s="110">
        <f t="shared" si="83"/>
        <v>191000</v>
      </c>
      <c r="AR36" s="110">
        <f t="shared" si="83"/>
        <v>28879</v>
      </c>
      <c r="AS36" s="110">
        <f t="shared" ref="AS36" si="84">AS19+AS21</f>
        <v>0</v>
      </c>
      <c r="AT36" s="110">
        <f>SUM(AM36:AS36)</f>
        <v>1354418.4</v>
      </c>
      <c r="AU36" s="277"/>
      <c r="AV36" s="110">
        <f t="shared" ref="AV36:BB36" si="85">AV19+AV21</f>
        <v>346401.75999999978</v>
      </c>
      <c r="AW36" s="110">
        <f t="shared" si="85"/>
        <v>496049.6957142856</v>
      </c>
      <c r="AX36" s="110">
        <f t="shared" si="85"/>
        <v>377396.43999999994</v>
      </c>
      <c r="AY36" s="110">
        <f t="shared" si="85"/>
        <v>108029.62962962966</v>
      </c>
      <c r="AZ36" s="110">
        <f t="shared" si="85"/>
        <v>191000</v>
      </c>
      <c r="BA36" s="110">
        <f t="shared" si="85"/>
        <v>28879</v>
      </c>
      <c r="BB36" s="110">
        <f t="shared" si="85"/>
        <v>276000</v>
      </c>
      <c r="BC36" s="110">
        <f>SUM(AV36:BB36)</f>
        <v>1823756.525343915</v>
      </c>
      <c r="BD36" s="277"/>
      <c r="BE36" s="110">
        <f t="shared" ref="BE36:BK36" si="86">BE19+BE21</f>
        <v>367071.83999999985</v>
      </c>
      <c r="BF36" s="110">
        <f t="shared" si="86"/>
        <v>514245.49571428564</v>
      </c>
      <c r="BG36" s="110">
        <f t="shared" si="86"/>
        <v>430769.51</v>
      </c>
      <c r="BH36" s="110">
        <f t="shared" si="86"/>
        <v>484264.91228070157</v>
      </c>
      <c r="BI36" s="110">
        <f t="shared" si="86"/>
        <v>191000</v>
      </c>
      <c r="BJ36" s="110">
        <f t="shared" si="86"/>
        <v>28879</v>
      </c>
      <c r="BK36" s="110">
        <f t="shared" si="86"/>
        <v>276000</v>
      </c>
      <c r="BL36" s="110">
        <f>SUM(BE36:BK36)</f>
        <v>2292230.7579949871</v>
      </c>
      <c r="BM36" s="277"/>
      <c r="BN36" s="110">
        <f t="shared" ref="BN36:BT36" si="87">BN19+BN21</f>
        <v>391300.48</v>
      </c>
      <c r="BO36" s="110">
        <f t="shared" si="87"/>
        <v>532824.93571428559</v>
      </c>
      <c r="BP36" s="110">
        <f t="shared" si="87"/>
        <v>488683.82000000007</v>
      </c>
      <c r="BQ36" s="110">
        <f t="shared" si="87"/>
        <v>1012833.3333333334</v>
      </c>
      <c r="BR36" s="110">
        <f t="shared" si="87"/>
        <v>191000</v>
      </c>
      <c r="BS36" s="110">
        <f t="shared" si="87"/>
        <v>28879</v>
      </c>
      <c r="BT36" s="110">
        <f t="shared" si="87"/>
        <v>276000</v>
      </c>
      <c r="BU36" s="110">
        <f>SUM(BN36:BT36)</f>
        <v>2921521.5690476191</v>
      </c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</row>
    <row r="37" spans="1:98" ht="16.5" thickBot="1">
      <c r="A37" s="83"/>
      <c r="B37" s="101" t="s">
        <v>106</v>
      </c>
      <c r="C37" s="102">
        <f>C36/C13</f>
        <v>8.3019302642239196E-2</v>
      </c>
      <c r="D37" s="102" t="e">
        <f t="shared" ref="D37:G37" si="88">D36/D13</f>
        <v>#DIV/0!</v>
      </c>
      <c r="E37" s="102">
        <f t="shared" si="88"/>
        <v>0.22977489071373125</v>
      </c>
      <c r="F37" s="102" t="e">
        <f t="shared" si="88"/>
        <v>#DIV/0!</v>
      </c>
      <c r="G37" s="102" t="e">
        <f t="shared" si="88"/>
        <v>#DIV/0!</v>
      </c>
      <c r="H37" s="102">
        <f>H36/H13</f>
        <v>0.1181233698412789</v>
      </c>
      <c r="I37" s="276"/>
      <c r="J37" s="102">
        <f t="shared" ref="J37:N37" si="89">J36/J13</f>
        <v>8.8446560750354189E-2</v>
      </c>
      <c r="K37" s="102">
        <f t="shared" si="89"/>
        <v>0.48398164686470657</v>
      </c>
      <c r="L37" s="102">
        <f t="shared" si="89"/>
        <v>0.22347804774508437</v>
      </c>
      <c r="M37" s="102" t="e">
        <f t="shared" si="89"/>
        <v>#DIV/0!</v>
      </c>
      <c r="N37" s="102">
        <f t="shared" si="89"/>
        <v>0.84409772120714432</v>
      </c>
      <c r="O37" s="102">
        <f>O36/O13</f>
        <v>0.20390041851452448</v>
      </c>
      <c r="P37" s="102"/>
      <c r="Q37" s="102">
        <f t="shared" ref="Q37:U37" si="90">Q36/Q13</f>
        <v>0.12114854910473212</v>
      </c>
      <c r="R37" s="102">
        <f t="shared" si="90"/>
        <v>0.40881211405002721</v>
      </c>
      <c r="S37" s="102">
        <f t="shared" si="90"/>
        <v>0.20353142335666868</v>
      </c>
      <c r="T37" s="102" t="e">
        <f t="shared" si="90"/>
        <v>#DIV/0!</v>
      </c>
      <c r="U37" s="102">
        <f t="shared" si="90"/>
        <v>0.91371751952813651</v>
      </c>
      <c r="V37" s="102">
        <f>V36/V13</f>
        <v>0.21664633489023288</v>
      </c>
      <c r="W37" s="276"/>
      <c r="X37" s="102">
        <f t="shared" ref="X37:AB37" si="91">X36/X13</f>
        <v>9.0747462517098657E-2</v>
      </c>
      <c r="Y37" s="102">
        <f t="shared" si="91"/>
        <v>0.45173522450606968</v>
      </c>
      <c r="Z37" s="102">
        <f t="shared" si="91"/>
        <v>0.15234881208125284</v>
      </c>
      <c r="AA37" s="102">
        <f t="shared" si="91"/>
        <v>0.82644444444444443</v>
      </c>
      <c r="AB37" s="102">
        <f t="shared" si="91"/>
        <v>0.96630529344843741</v>
      </c>
      <c r="AC37" s="102">
        <f>AC36/AC13</f>
        <v>0.1732272919525577</v>
      </c>
      <c r="AD37" s="276"/>
      <c r="AE37" s="102">
        <f t="shared" ref="AE37:AI37" si="92">AE36/AE13</f>
        <v>0.10857794140512206</v>
      </c>
      <c r="AF37" s="102">
        <f t="shared" si="92"/>
        <v>0.38407902552782686</v>
      </c>
      <c r="AG37" s="102">
        <f t="shared" si="92"/>
        <v>0.15546908250744818</v>
      </c>
      <c r="AH37" s="102">
        <f t="shared" si="92"/>
        <v>0.88151658767772512</v>
      </c>
      <c r="AI37" s="102">
        <f t="shared" si="92"/>
        <v>0.96630529344843741</v>
      </c>
      <c r="AJ37" s="102">
        <f>AJ36/AJ13</f>
        <v>0.1995718564906801</v>
      </c>
      <c r="AK37" s="276"/>
      <c r="AL37" s="276"/>
      <c r="AM37" s="102">
        <f t="shared" ref="AM37:AS37" si="93">AM36/AM13</f>
        <v>8.7911661467772476E-2</v>
      </c>
      <c r="AN37" s="102">
        <f t="shared" si="93"/>
        <v>0.38007673890805627</v>
      </c>
      <c r="AO37" s="102">
        <f t="shared" si="93"/>
        <v>0.13697908474689943</v>
      </c>
      <c r="AP37" s="102" t="e">
        <f t="shared" ref="AP37" si="94">AP36/AP13</f>
        <v>#DIV/0!</v>
      </c>
      <c r="AQ37" s="102">
        <f t="shared" si="93"/>
        <v>0.8842592592592593</v>
      </c>
      <c r="AR37" s="102">
        <f t="shared" si="93"/>
        <v>0.96630529344843741</v>
      </c>
      <c r="AS37" s="102" t="e">
        <f t="shared" si="93"/>
        <v>#DIV/0!</v>
      </c>
      <c r="AT37" s="102">
        <f>AT36/AT13</f>
        <v>0.18210694496489338</v>
      </c>
      <c r="AU37" s="276"/>
      <c r="AV37" s="102">
        <f t="shared" ref="AV37:BB37" si="95">AV36/AV13</f>
        <v>8.8906200072325692E-2</v>
      </c>
      <c r="AW37" s="102">
        <f t="shared" si="95"/>
        <v>0.35661654816413763</v>
      </c>
      <c r="AX37" s="102">
        <f t="shared" si="95"/>
        <v>0.16205068618850527</v>
      </c>
      <c r="AY37" s="102">
        <f t="shared" si="95"/>
        <v>7.5281971867337746E-2</v>
      </c>
      <c r="AZ37" s="102">
        <f t="shared" si="95"/>
        <v>0.8842592592592593</v>
      </c>
      <c r="BA37" s="102">
        <f t="shared" si="95"/>
        <v>0.96630529344843741</v>
      </c>
      <c r="BB37" s="102">
        <f t="shared" si="95"/>
        <v>0.98571428571428577</v>
      </c>
      <c r="BC37" s="102">
        <f>BC36/BC13</f>
        <v>0.19043058044118288</v>
      </c>
      <c r="BD37" s="276"/>
      <c r="BE37" s="102">
        <f t="shared" ref="BE37:BK37" si="96">BE36/BE13</f>
        <v>8.9725055083335045E-2</v>
      </c>
      <c r="BF37" s="102">
        <f t="shared" si="96"/>
        <v>0.3624487127684457</v>
      </c>
      <c r="BG37" s="102">
        <f t="shared" si="96"/>
        <v>0.17616057674180466</v>
      </c>
      <c r="BH37" s="102">
        <f t="shared" si="96"/>
        <v>0.22523949408404725</v>
      </c>
      <c r="BI37" s="102">
        <f t="shared" si="96"/>
        <v>0.8842592592592593</v>
      </c>
      <c r="BJ37" s="102">
        <f t="shared" si="96"/>
        <v>0.96630529344843741</v>
      </c>
      <c r="BK37" s="102">
        <f t="shared" si="96"/>
        <v>0.98571428571428577</v>
      </c>
      <c r="BL37" s="102">
        <f>BL36/BL13</f>
        <v>0.21561573900357434</v>
      </c>
      <c r="BM37" s="276"/>
      <c r="BN37" s="102">
        <f t="shared" ref="BN37:BT37" si="97">BN36/BN13</f>
        <v>9.1092729631150546E-2</v>
      </c>
      <c r="BO37" s="102">
        <f t="shared" si="97"/>
        <v>0.36818025042706054</v>
      </c>
      <c r="BP37" s="102">
        <f t="shared" si="97"/>
        <v>0.19032789905237951</v>
      </c>
      <c r="BQ37" s="102">
        <f t="shared" si="97"/>
        <v>0.32153439153439156</v>
      </c>
      <c r="BR37" s="102">
        <f t="shared" si="97"/>
        <v>0.8842592592592593</v>
      </c>
      <c r="BS37" s="102">
        <f t="shared" si="97"/>
        <v>0.96630529344843741</v>
      </c>
      <c r="BT37" s="102">
        <f t="shared" si="97"/>
        <v>0.98571428571428577</v>
      </c>
      <c r="BU37" s="102">
        <f>BU36/BU13</f>
        <v>0.24373864277644747</v>
      </c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</row>
    <row r="38" spans="1:98" ht="15.75">
      <c r="A38" s="107"/>
      <c r="B38" s="83" t="s">
        <v>262</v>
      </c>
      <c r="C38" s="104">
        <f>'Probois 43 - P&amp;L'!C171</f>
        <v>1250</v>
      </c>
      <c r="D38" s="104"/>
      <c r="E38" s="104">
        <f>'BSB - P&amp;L'!C159</f>
        <v>0</v>
      </c>
      <c r="F38" s="104">
        <f>'SC des SUCS - P&amp;L'!C57</f>
        <v>0</v>
      </c>
      <c r="G38" s="104"/>
      <c r="H38" s="88">
        <f t="shared" si="0"/>
        <v>1250</v>
      </c>
      <c r="I38" s="104"/>
      <c r="J38" s="104">
        <f>'Probois 43 - P&amp;L'!D171</f>
        <v>0</v>
      </c>
      <c r="K38" s="104">
        <f>'SAS EMB - P&amp;L'!C131</f>
        <v>1250</v>
      </c>
      <c r="L38" s="104">
        <f>'BSB - P&amp;L'!D159</f>
        <v>18902</v>
      </c>
      <c r="M38" s="104">
        <f>'SC des SUCS - P&amp;L'!D57</f>
        <v>0</v>
      </c>
      <c r="N38" s="104">
        <f>'SCI - P&amp;L'!D47</f>
        <v>0</v>
      </c>
      <c r="O38" s="88">
        <f t="shared" si="1"/>
        <v>20152</v>
      </c>
      <c r="P38" s="104"/>
      <c r="Q38" s="104">
        <f>'Probois 43 - P&amp;L'!E171</f>
        <v>0</v>
      </c>
      <c r="R38" s="104">
        <f>'SAS EMB - P&amp;L'!D131</f>
        <v>0</v>
      </c>
      <c r="S38" s="104">
        <f>'BSB - P&amp;L'!E159</f>
        <v>9378</v>
      </c>
      <c r="T38" s="104">
        <f>'SC des SUCS - P&amp;L'!E57</f>
        <v>0</v>
      </c>
      <c r="U38" s="104">
        <f>'SCI - P&amp;L'!E47</f>
        <v>0</v>
      </c>
      <c r="V38" s="88">
        <f t="shared" si="2"/>
        <v>9378</v>
      </c>
      <c r="W38" s="104"/>
      <c r="X38" s="104">
        <f>'Probois 43 - P&amp;L'!F171</f>
        <v>855</v>
      </c>
      <c r="Y38" s="104">
        <f>'SAS EMB - P&amp;L'!E131</f>
        <v>0</v>
      </c>
      <c r="Z38" s="104">
        <f>'BSB - P&amp;L'!F159</f>
        <v>50923</v>
      </c>
      <c r="AA38" s="104">
        <f>'SC des SUCS - P&amp;L'!F57</f>
        <v>0</v>
      </c>
      <c r="AB38" s="104">
        <f>'SCI - P&amp;L'!F47</f>
        <v>0</v>
      </c>
      <c r="AC38" s="88">
        <f t="shared" si="3"/>
        <v>51778</v>
      </c>
      <c r="AD38" s="104"/>
      <c r="AE38" s="104">
        <f>'Probois 43 - P&amp;L'!G171</f>
        <v>0</v>
      </c>
      <c r="AF38" s="104">
        <f>'SAS EMB - P&amp;L'!F131</f>
        <v>0</v>
      </c>
      <c r="AG38" s="104">
        <f>'BSB - P&amp;L'!G159</f>
        <v>47154</v>
      </c>
      <c r="AH38" s="104">
        <f>'SC des SUCS - P&amp;L (2)'!H57</f>
        <v>0</v>
      </c>
      <c r="AI38" s="104">
        <f>'SCI - P&amp;L (2)'!H47</f>
        <v>0</v>
      </c>
      <c r="AJ38" s="88">
        <f t="shared" ref="AJ38:AJ42" si="98">SUM(AE38:AI38)</f>
        <v>47154</v>
      </c>
      <c r="AK38" s="88"/>
      <c r="AL38" s="104"/>
      <c r="AM38" s="104">
        <f>'Probois 43 - P&amp;L (2)'!I171</f>
        <v>0</v>
      </c>
      <c r="AN38" s="104">
        <f>'SAS EMB - P&amp;L (2)'!H131</f>
        <v>0</v>
      </c>
      <c r="AO38" s="104">
        <f>'BSB - P&amp;L (2)'!I159</f>
        <v>27144</v>
      </c>
      <c r="AP38" s="104"/>
      <c r="AQ38" s="104">
        <v>0</v>
      </c>
      <c r="AR38" s="104">
        <v>0</v>
      </c>
      <c r="AS38" s="104"/>
      <c r="AT38" s="88">
        <f t="shared" ref="AT38:AT42" si="99">SUM(AM38:AS38)</f>
        <v>27144</v>
      </c>
      <c r="AU38" s="104"/>
      <c r="AV38" s="104">
        <v>0</v>
      </c>
      <c r="AW38" s="104">
        <v>0</v>
      </c>
      <c r="AX38" s="104">
        <f>'BSB - P&amp;L (2)'!J159</f>
        <v>27144</v>
      </c>
      <c r="AY38" s="104">
        <v>0</v>
      </c>
      <c r="AZ38" s="104">
        <v>0</v>
      </c>
      <c r="BA38" s="104">
        <v>0</v>
      </c>
      <c r="BB38" s="104"/>
      <c r="BC38" s="88">
        <f t="shared" ref="BC38:BC42" si="100">SUM(AV38:BB38)</f>
        <v>27144</v>
      </c>
      <c r="BD38" s="104"/>
      <c r="BE38" s="104">
        <v>0</v>
      </c>
      <c r="BF38" s="104">
        <v>0</v>
      </c>
      <c r="BG38" s="104">
        <f>'BSB - P&amp;L (2)'!K159</f>
        <v>27144</v>
      </c>
      <c r="BH38" s="104">
        <v>0</v>
      </c>
      <c r="BI38" s="104">
        <v>0</v>
      </c>
      <c r="BJ38" s="104">
        <v>0</v>
      </c>
      <c r="BK38" s="104"/>
      <c r="BL38" s="88">
        <f t="shared" ref="BL38:BL42" si="101">SUM(BE38:BK38)</f>
        <v>27144</v>
      </c>
      <c r="BM38" s="104"/>
      <c r="BN38" s="104">
        <v>0</v>
      </c>
      <c r="BO38" s="104">
        <v>0</v>
      </c>
      <c r="BP38" s="104">
        <f>'BSB - P&amp;L (2)'!L159</f>
        <v>27144</v>
      </c>
      <c r="BQ38" s="104">
        <v>0</v>
      </c>
      <c r="BR38" s="104">
        <v>0</v>
      </c>
      <c r="BS38" s="104">
        <v>0</v>
      </c>
      <c r="BT38" s="104"/>
      <c r="BU38" s="88">
        <f t="shared" ref="BU38:BU42" si="102">SUM(BN38:BT38)</f>
        <v>27144</v>
      </c>
      <c r="BV38" s="109"/>
      <c r="BW38" s="109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</row>
    <row r="39" spans="1:98" ht="15.75">
      <c r="A39" s="107"/>
      <c r="B39" s="97" t="s">
        <v>22</v>
      </c>
      <c r="C39" s="104">
        <f>'Probois 43 - P&amp;L'!C174</f>
        <v>-8380</v>
      </c>
      <c r="D39" s="104"/>
      <c r="E39" s="104">
        <f>'BSB - P&amp;L'!C162</f>
        <v>-4125</v>
      </c>
      <c r="F39" s="104">
        <f>'SC des SUCS - P&amp;L'!C58</f>
        <v>0</v>
      </c>
      <c r="G39" s="104"/>
      <c r="H39" s="88">
        <f t="shared" si="0"/>
        <v>-12505</v>
      </c>
      <c r="I39" s="104"/>
      <c r="J39" s="104">
        <f>'Probois 43 - P&amp;L'!D174</f>
        <v>-5794</v>
      </c>
      <c r="K39" s="104">
        <f>'SAS EMB - P&amp;L'!C134</f>
        <v>-10004</v>
      </c>
      <c r="L39" s="104">
        <f>'BSB - P&amp;L'!D162</f>
        <v>-4475</v>
      </c>
      <c r="M39" s="104">
        <f>'SC des SUCS - P&amp;L'!D58</f>
        <v>0</v>
      </c>
      <c r="N39" s="104">
        <f>'SCI - P&amp;L'!D48</f>
        <v>-5163</v>
      </c>
      <c r="O39" s="88">
        <f t="shared" si="1"/>
        <v>-25436</v>
      </c>
      <c r="P39" s="104"/>
      <c r="Q39" s="104">
        <f>'Probois 43 - P&amp;L'!E174</f>
        <v>-4883</v>
      </c>
      <c r="R39" s="104">
        <f>'SAS EMB - P&amp;L'!D134</f>
        <v>-15082</v>
      </c>
      <c r="S39" s="104">
        <f>'BSB - P&amp;L'!E162</f>
        <v>-5351</v>
      </c>
      <c r="T39" s="104">
        <f>'SC des SUCS - P&amp;L'!E58</f>
        <v>0</v>
      </c>
      <c r="U39" s="104">
        <f>'SCI - P&amp;L'!E48</f>
        <v>-6932</v>
      </c>
      <c r="V39" s="88">
        <f t="shared" si="2"/>
        <v>-32248</v>
      </c>
      <c r="W39" s="104"/>
      <c r="X39" s="104">
        <f>'Probois 43 - P&amp;L'!F174</f>
        <v>-4519</v>
      </c>
      <c r="Y39" s="104">
        <f>'SAS EMB - P&amp;L'!E134</f>
        <v>-10508</v>
      </c>
      <c r="Z39" s="104">
        <f>'BSB - P&amp;L'!F162</f>
        <v>-4683</v>
      </c>
      <c r="AA39" s="104">
        <f>'SC des SUCS - P&amp;L'!F58</f>
        <v>-125</v>
      </c>
      <c r="AB39" s="104">
        <f>'SCI - P&amp;L'!F48</f>
        <v>-8137</v>
      </c>
      <c r="AC39" s="88">
        <f t="shared" si="3"/>
        <v>-27972</v>
      </c>
      <c r="AD39" s="104"/>
      <c r="AE39" s="104">
        <f>'Probois 43 - P&amp;L'!G174</f>
        <v>-4468</v>
      </c>
      <c r="AF39" s="104">
        <f>'SAS EMB - P&amp;L'!F134</f>
        <v>-8332</v>
      </c>
      <c r="AG39" s="104">
        <f>'BSB - P&amp;L'!G162</f>
        <v>-5030</v>
      </c>
      <c r="AH39" s="104">
        <f>'SC des SUCS - P&amp;L (2)'!H58</f>
        <v>-30</v>
      </c>
      <c r="AI39" s="104">
        <f>'SCI - P&amp;L (2)'!H48</f>
        <v>-8137</v>
      </c>
      <c r="AJ39" s="88">
        <f t="shared" si="98"/>
        <v>-25997</v>
      </c>
      <c r="AK39" s="88"/>
      <c r="AL39" s="104"/>
      <c r="AM39" s="104">
        <f>'Probois 43 - P&amp;L (2)'!I174</f>
        <v>-5000</v>
      </c>
      <c r="AN39" s="104">
        <f>'SAS EMB - P&amp;L (2)'!H134</f>
        <v>-10000</v>
      </c>
      <c r="AO39" s="104">
        <f>'BSB - P&amp;L (2)'!I162</f>
        <v>-5000</v>
      </c>
      <c r="AP39" s="104"/>
      <c r="AQ39" s="104">
        <f>'SC des SUCS - P&amp;L (2)'!I58</f>
        <v>-30</v>
      </c>
      <c r="AR39" s="104">
        <f>'SCI - P&amp;L (2)'!K48</f>
        <v>-8137</v>
      </c>
      <c r="AS39" s="104"/>
      <c r="AT39" s="88">
        <f t="shared" si="99"/>
        <v>-28167</v>
      </c>
      <c r="AU39" s="104"/>
      <c r="AV39" s="104">
        <f>'Probois 43 - P&amp;L (2)'!J174</f>
        <v>-5000</v>
      </c>
      <c r="AW39" s="104">
        <f>'SAS EMB - P&amp;L (2)'!I134</f>
        <v>-10000</v>
      </c>
      <c r="AX39" s="104">
        <f>'BSB - P&amp;L (2)'!J162</f>
        <v>-5000</v>
      </c>
      <c r="AY39" s="104">
        <f>'Profilyss - P&amp;L (2)'!I114</f>
        <v>-37690</v>
      </c>
      <c r="AZ39" s="104">
        <f>'SC des SUCS - P&amp;L (2)'!J58</f>
        <v>-30</v>
      </c>
      <c r="BA39" s="104">
        <f>'SCI - P&amp;L (2)'!J48</f>
        <v>-8137</v>
      </c>
      <c r="BB39" s="104">
        <f>'Antreuil - P&amp;L (2)'!J46</f>
        <v>-35000</v>
      </c>
      <c r="BC39" s="88">
        <f t="shared" si="100"/>
        <v>-100857</v>
      </c>
      <c r="BD39" s="104"/>
      <c r="BE39" s="104">
        <f>'Probois 43 - P&amp;L (2)'!K174</f>
        <v>-5000</v>
      </c>
      <c r="BF39" s="104">
        <f>'SAS EMB - P&amp;L (2)'!J134</f>
        <v>-10000</v>
      </c>
      <c r="BG39" s="104">
        <f>'BSB - P&amp;L (2)'!K162</f>
        <v>-6000</v>
      </c>
      <c r="BH39" s="104">
        <f>'Profilyss - P&amp;L (2)'!J114</f>
        <v>-37595</v>
      </c>
      <c r="BI39" s="104">
        <f>'SC des SUCS - P&amp;L (2)'!K58</f>
        <v>-30</v>
      </c>
      <c r="BJ39" s="104">
        <f>'SCI - P&amp;L (2)'!K48</f>
        <v>-8137</v>
      </c>
      <c r="BK39" s="104">
        <f>'Antreuil - P&amp;L (2)'!K46</f>
        <v>-35000</v>
      </c>
      <c r="BL39" s="88">
        <f t="shared" si="101"/>
        <v>-101762</v>
      </c>
      <c r="BM39" s="104"/>
      <c r="BN39" s="104">
        <f>'Probois 43 - P&amp;L (2)'!L174</f>
        <v>-5000</v>
      </c>
      <c r="BO39" s="104">
        <f>'SAS EMB - P&amp;L (2)'!K134</f>
        <v>-10000</v>
      </c>
      <c r="BP39" s="104">
        <f>'BSB - P&amp;L (2)'!L162</f>
        <v>-7000</v>
      </c>
      <c r="BQ39" s="104">
        <f>'Profilyss - P&amp;L (2)'!K114</f>
        <v>-37494</v>
      </c>
      <c r="BR39" s="104">
        <f>'SC des SUCS - P&amp;L (2)'!L58</f>
        <v>-30</v>
      </c>
      <c r="BS39" s="104">
        <f>'SCI - P&amp;L (2)'!L48</f>
        <v>-8137</v>
      </c>
      <c r="BT39" s="104">
        <f>'Antreuil - P&amp;L (2)'!L46</f>
        <v>-35000</v>
      </c>
      <c r="BU39" s="88">
        <f t="shared" si="102"/>
        <v>-102661</v>
      </c>
      <c r="BV39" s="109"/>
      <c r="BW39" s="109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</row>
    <row r="40" spans="1:98" ht="15.75">
      <c r="A40" s="107"/>
      <c r="B40" s="97" t="s">
        <v>21</v>
      </c>
      <c r="C40" s="104">
        <f>'Probois 43 - P&amp;L'!C182</f>
        <v>-170070</v>
      </c>
      <c r="D40" s="104"/>
      <c r="E40" s="104">
        <f>'BSB - P&amp;L'!C169</f>
        <v>-124554</v>
      </c>
      <c r="F40" s="104">
        <f>'SC des SUCS - P&amp;L'!C61</f>
        <v>0</v>
      </c>
      <c r="G40" s="104"/>
      <c r="H40" s="88">
        <f t="shared" si="0"/>
        <v>-294624</v>
      </c>
      <c r="I40" s="104"/>
      <c r="J40" s="104">
        <f>'Probois 43 - P&amp;L'!D182</f>
        <v>-184507</v>
      </c>
      <c r="K40" s="104">
        <f>'SAS EMB - P&amp;L'!C143</f>
        <v>-465881</v>
      </c>
      <c r="L40" s="104">
        <f>'BSB - P&amp;L'!D169</f>
        <v>-132099</v>
      </c>
      <c r="M40" s="104">
        <f>'SC des SUCS - P&amp;L'!D61</f>
        <v>0</v>
      </c>
      <c r="N40" s="104">
        <f>'SCI - P&amp;L'!D52</f>
        <v>0</v>
      </c>
      <c r="O40" s="88">
        <f t="shared" si="1"/>
        <v>-782487</v>
      </c>
      <c r="P40" s="104"/>
      <c r="Q40" s="104">
        <f>'Probois 43 - P&amp;L'!E182</f>
        <v>-252055</v>
      </c>
      <c r="R40" s="104">
        <f>'SAS EMB - P&amp;L'!D143</f>
        <v>-544706</v>
      </c>
      <c r="S40" s="104">
        <f>'BSB - P&amp;L'!E169</f>
        <v>-193760</v>
      </c>
      <c r="T40" s="104">
        <f>'SC des SUCS - P&amp;L'!E59</f>
        <v>0</v>
      </c>
      <c r="U40" s="104">
        <f>'SCI - P&amp;L'!E52</f>
        <v>0</v>
      </c>
      <c r="V40" s="88">
        <f t="shared" si="2"/>
        <v>-990521</v>
      </c>
      <c r="W40" s="104"/>
      <c r="X40" s="104">
        <f>'Probois 43 - P&amp;L'!F182</f>
        <v>-308330</v>
      </c>
      <c r="Y40" s="104">
        <f>'SAS EMB - P&amp;L'!E143</f>
        <v>-402576</v>
      </c>
      <c r="Z40" s="104">
        <f>'BSB - P&amp;L'!F169</f>
        <v>-194669</v>
      </c>
      <c r="AA40" s="104">
        <f>'SC des SUCS - P&amp;L'!F61</f>
        <v>-57589</v>
      </c>
      <c r="AB40" s="104">
        <f>'SCI - P&amp;L'!F52</f>
        <v>0</v>
      </c>
      <c r="AC40" s="88">
        <f t="shared" si="3"/>
        <v>-963164</v>
      </c>
      <c r="AD40" s="104"/>
      <c r="AE40" s="104">
        <f>'Probois 43 - P&amp;L'!G182</f>
        <v>-232797</v>
      </c>
      <c r="AF40" s="104">
        <f>'SAS EMB - P&amp;L'!F143</f>
        <v>-399167</v>
      </c>
      <c r="AG40" s="104">
        <f>'BSB - P&amp;L'!G169</f>
        <v>-191170</v>
      </c>
      <c r="AH40" s="104">
        <f>'SC des SUCS - P&amp;L (2)'!H61</f>
        <v>-142236</v>
      </c>
      <c r="AI40" s="104">
        <v>0</v>
      </c>
      <c r="AJ40" s="88">
        <f t="shared" si="98"/>
        <v>-965370</v>
      </c>
      <c r="AK40" s="88"/>
      <c r="AL40" s="104"/>
      <c r="AM40" s="104">
        <f>'Probois 43 - P&amp;L (2)'!I182</f>
        <v>-235000</v>
      </c>
      <c r="AN40" s="104">
        <f>'SAS EMB - P&amp;L (2)'!H143</f>
        <v>-410000</v>
      </c>
      <c r="AO40" s="104">
        <f>'BSB - P&amp;L (2)'!I169</f>
        <v>-204117</v>
      </c>
      <c r="AP40" s="104"/>
      <c r="AQ40" s="104">
        <f>'SC des SUCS - P&amp;L (2)'!I61</f>
        <v>-268616</v>
      </c>
      <c r="AR40" s="104">
        <v>0</v>
      </c>
      <c r="AS40" s="104"/>
      <c r="AT40" s="88">
        <f t="shared" si="99"/>
        <v>-1117733</v>
      </c>
      <c r="AU40" s="104"/>
      <c r="AV40" s="104">
        <f>'Probois 43 - P&amp;L (2)'!J182</f>
        <v>-237000</v>
      </c>
      <c r="AW40" s="104">
        <f>'SAS EMB - P&amp;L (2)'!I143</f>
        <v>-410000</v>
      </c>
      <c r="AX40" s="104">
        <f>'BSB - P&amp;L (2)'!J169</f>
        <v>-265117</v>
      </c>
      <c r="AY40" s="104">
        <f>'Profilyss - P&amp;L (2)'!I120</f>
        <v>-247001</v>
      </c>
      <c r="AZ40" s="104">
        <f>'SC des SUCS - P&amp;L (2)'!J61</f>
        <v>-268616</v>
      </c>
      <c r="BA40" s="104">
        <v>0</v>
      </c>
      <c r="BB40" s="104"/>
      <c r="BC40" s="88">
        <f t="shared" si="100"/>
        <v>-1427734</v>
      </c>
      <c r="BD40" s="104"/>
      <c r="BE40" s="104">
        <f>'Probois 43 - P&amp;L (2)'!K182</f>
        <v>-240000</v>
      </c>
      <c r="BF40" s="104">
        <f>'SAS EMB - P&amp;L (2)'!J143</f>
        <v>-410000</v>
      </c>
      <c r="BG40" s="104">
        <f>'BSB - P&amp;L (2)'!K169</f>
        <v>-265117</v>
      </c>
      <c r="BH40" s="104">
        <f>'Profilyss - P&amp;L (2)'!J120</f>
        <v>-251940</v>
      </c>
      <c r="BI40" s="104">
        <f>'SC des SUCS - P&amp;L (2)'!K61</f>
        <v>-268616</v>
      </c>
      <c r="BJ40" s="104">
        <v>0</v>
      </c>
      <c r="BK40" s="104"/>
      <c r="BL40" s="88">
        <f t="shared" si="101"/>
        <v>-1435673</v>
      </c>
      <c r="BM40" s="104"/>
      <c r="BN40" s="104">
        <f>'Probois 43 - P&amp;L (2)'!L182</f>
        <v>-243000</v>
      </c>
      <c r="BO40" s="104">
        <f>'SAS EMB - P&amp;L (2)'!K143</f>
        <v>-410000</v>
      </c>
      <c r="BP40" s="104">
        <f>'BSB - P&amp;L (2)'!L169</f>
        <v>-265117</v>
      </c>
      <c r="BQ40" s="104">
        <f>'Profilyss - P&amp;L (2)'!K120</f>
        <v>-256980</v>
      </c>
      <c r="BR40" s="104">
        <f>'SC des SUCS - P&amp;L (2)'!L61</f>
        <v>-268616</v>
      </c>
      <c r="BS40" s="104">
        <v>0</v>
      </c>
      <c r="BT40" s="104"/>
      <c r="BU40" s="88">
        <f t="shared" si="102"/>
        <v>-1443713</v>
      </c>
      <c r="BV40" s="109"/>
      <c r="BW40" s="109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</row>
    <row r="41" spans="1:98" ht="15.75">
      <c r="A41" s="83"/>
      <c r="B41" s="97" t="s">
        <v>20</v>
      </c>
      <c r="C41" s="89">
        <f>'Probois 43 - P&amp;L'!C217</f>
        <v>0</v>
      </c>
      <c r="D41" s="89"/>
      <c r="E41" s="89">
        <f>'BSB - P&amp;L'!C187</f>
        <v>0</v>
      </c>
      <c r="F41" s="89">
        <f>'SC des SUCS - P&amp;L'!C70</f>
        <v>0</v>
      </c>
      <c r="G41" s="89"/>
      <c r="H41" s="88">
        <f t="shared" si="0"/>
        <v>0</v>
      </c>
      <c r="I41" s="89"/>
      <c r="J41" s="89">
        <f>'Probois 43 - P&amp;L'!D217</f>
        <v>0</v>
      </c>
      <c r="K41" s="89">
        <f>'SAS EMB - P&amp;L'!C169</f>
        <v>0</v>
      </c>
      <c r="L41" s="89">
        <f>'BSB - P&amp;L'!D187</f>
        <v>0</v>
      </c>
      <c r="M41" s="89">
        <f>'SC des SUCS - P&amp;L'!D70</f>
        <v>0</v>
      </c>
      <c r="N41" s="89">
        <f>'SCI - P&amp;L'!D53</f>
        <v>0</v>
      </c>
      <c r="O41" s="88">
        <f t="shared" si="1"/>
        <v>0</v>
      </c>
      <c r="P41" s="89"/>
      <c r="Q41" s="89">
        <f>'Probois 43 - P&amp;L'!E217</f>
        <v>0</v>
      </c>
      <c r="R41" s="89">
        <f>'SAS EMB - P&amp;L'!D169</f>
        <v>0</v>
      </c>
      <c r="S41" s="89">
        <f>'BSB - P&amp;L'!E187</f>
        <v>0</v>
      </c>
      <c r="T41" s="104">
        <f>'SC des SUCS - P&amp;L'!E60</f>
        <v>0</v>
      </c>
      <c r="U41" s="89">
        <f>'SCI - P&amp;L'!E53</f>
        <v>0</v>
      </c>
      <c r="V41" s="88">
        <f t="shared" si="2"/>
        <v>0</v>
      </c>
      <c r="W41" s="89"/>
      <c r="X41" s="89"/>
      <c r="Y41" s="89"/>
      <c r="Z41" s="89"/>
      <c r="AA41" s="89">
        <f>'SC des SUCS - P&amp;L'!F70</f>
        <v>0</v>
      </c>
      <c r="AB41" s="104">
        <f>'SCI - P&amp;L'!F53</f>
        <v>0</v>
      </c>
      <c r="AC41" s="88">
        <f t="shared" si="3"/>
        <v>0</v>
      </c>
      <c r="AD41" s="89"/>
      <c r="AE41" s="89">
        <v>0</v>
      </c>
      <c r="AF41" s="89">
        <v>0</v>
      </c>
      <c r="AG41" s="89">
        <v>0</v>
      </c>
      <c r="AH41" s="89">
        <v>0</v>
      </c>
      <c r="AI41" s="104">
        <v>0</v>
      </c>
      <c r="AJ41" s="88">
        <f t="shared" si="98"/>
        <v>0</v>
      </c>
      <c r="AK41" s="88"/>
      <c r="AL41" s="89"/>
      <c r="AM41" s="89">
        <f>'Probois 43 - P&amp;L (2)'!I217</f>
        <v>0</v>
      </c>
      <c r="AN41" s="89">
        <v>0</v>
      </c>
      <c r="AO41" s="89">
        <v>0</v>
      </c>
      <c r="AP41" s="89"/>
      <c r="AQ41" s="89">
        <v>0</v>
      </c>
      <c r="AR41" s="104">
        <v>0</v>
      </c>
      <c r="AS41" s="89"/>
      <c r="AT41" s="88">
        <f t="shared" si="99"/>
        <v>0</v>
      </c>
      <c r="AU41" s="89"/>
      <c r="AV41" s="89">
        <v>0</v>
      </c>
      <c r="AW41" s="89"/>
      <c r="AX41" s="89">
        <v>0</v>
      </c>
      <c r="AY41" s="89">
        <v>0</v>
      </c>
      <c r="AZ41" s="89">
        <v>0</v>
      </c>
      <c r="BA41" s="104">
        <v>0</v>
      </c>
      <c r="BB41" s="89"/>
      <c r="BC41" s="88">
        <f t="shared" si="100"/>
        <v>0</v>
      </c>
      <c r="BD41" s="89"/>
      <c r="BE41" s="89">
        <v>0</v>
      </c>
      <c r="BF41" s="89">
        <v>0</v>
      </c>
      <c r="BG41" s="89">
        <v>0</v>
      </c>
      <c r="BH41" s="89">
        <v>0</v>
      </c>
      <c r="BI41" s="89">
        <v>0</v>
      </c>
      <c r="BJ41" s="104">
        <v>0</v>
      </c>
      <c r="BK41" s="89"/>
      <c r="BL41" s="88">
        <f t="shared" si="101"/>
        <v>0</v>
      </c>
      <c r="BM41" s="89"/>
      <c r="BN41" s="89">
        <v>0</v>
      </c>
      <c r="BO41" s="89">
        <v>0</v>
      </c>
      <c r="BP41" s="89">
        <v>0</v>
      </c>
      <c r="BQ41" s="89">
        <v>0</v>
      </c>
      <c r="BR41" s="89">
        <v>0</v>
      </c>
      <c r="BS41" s="104">
        <v>0</v>
      </c>
      <c r="BT41" s="89"/>
      <c r="BU41" s="88">
        <f t="shared" si="102"/>
        <v>0</v>
      </c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</row>
    <row r="42" spans="1:98" ht="15.75">
      <c r="A42" s="83"/>
      <c r="B42" s="100" t="s">
        <v>24</v>
      </c>
      <c r="C42" s="110">
        <f t="shared" ref="C42:G42" si="103">C36+C38+C39+C40+C41</f>
        <v>42599</v>
      </c>
      <c r="D42" s="110">
        <f t="shared" si="103"/>
        <v>0</v>
      </c>
      <c r="E42" s="110">
        <f t="shared" si="103"/>
        <v>68168</v>
      </c>
      <c r="F42" s="110">
        <f t="shared" si="103"/>
        <v>-2711</v>
      </c>
      <c r="G42" s="110">
        <f t="shared" si="103"/>
        <v>0</v>
      </c>
      <c r="H42" s="110">
        <f t="shared" si="0"/>
        <v>108056</v>
      </c>
      <c r="I42" s="277"/>
      <c r="J42" s="110">
        <f t="shared" ref="J42:N42" si="104">J36+J38+J39+J40+J41</f>
        <v>43182</v>
      </c>
      <c r="K42" s="110">
        <f t="shared" si="104"/>
        <v>1722</v>
      </c>
      <c r="L42" s="110">
        <f t="shared" si="104"/>
        <v>72896</v>
      </c>
      <c r="M42" s="110">
        <f t="shared" si="104"/>
        <v>-3178</v>
      </c>
      <c r="N42" s="110">
        <f t="shared" si="104"/>
        <v>15395</v>
      </c>
      <c r="O42" s="110">
        <f t="shared" si="1"/>
        <v>130017</v>
      </c>
      <c r="P42" s="110"/>
      <c r="Q42" s="110">
        <f t="shared" ref="Q42:U42" si="105">Q36+Q38+Q39+Q40+Q41</f>
        <v>152496</v>
      </c>
      <c r="R42" s="110">
        <f t="shared" si="105"/>
        <v>145928</v>
      </c>
      <c r="S42" s="110">
        <f t="shared" si="105"/>
        <v>138564</v>
      </c>
      <c r="T42" s="110">
        <f t="shared" si="105"/>
        <v>-5320</v>
      </c>
      <c r="U42" s="110">
        <f t="shared" si="105"/>
        <v>15995</v>
      </c>
      <c r="V42" s="110">
        <f t="shared" si="2"/>
        <v>447663</v>
      </c>
      <c r="W42" s="277"/>
      <c r="X42" s="110">
        <f>X36+X38+X39+X40+X41</f>
        <v>131098</v>
      </c>
      <c r="Y42" s="110">
        <f>Y36+Y38+Y39+Y40+Y41</f>
        <v>172677</v>
      </c>
      <c r="Z42" s="110">
        <f>Z36+Z38+Z39+Z40+Z41</f>
        <v>150063</v>
      </c>
      <c r="AA42" s="110">
        <f>AA36+AA38+AA39+AA40+AA41</f>
        <v>16666</v>
      </c>
      <c r="AB42" s="110">
        <f>AB36+AB38+AB39+AB40+AB41</f>
        <v>20742</v>
      </c>
      <c r="AC42" s="110">
        <f t="shared" si="3"/>
        <v>491246</v>
      </c>
      <c r="AD42" s="277"/>
      <c r="AE42" s="110">
        <f>AE36+AE38+AE39+AE40+AE41</f>
        <v>153798</v>
      </c>
      <c r="AF42" s="110">
        <f>AF36+AF38+AF39+AF40+AF41</f>
        <v>116235</v>
      </c>
      <c r="AG42" s="110">
        <f>AG36+AG38+AG39+AG40+AG41</f>
        <v>170579</v>
      </c>
      <c r="AH42" s="110">
        <f>AH36+AH38+AH39+AH40+AH41</f>
        <v>43734</v>
      </c>
      <c r="AI42" s="110">
        <f>AI36+AI38+AI39+AI40+AI41</f>
        <v>20742</v>
      </c>
      <c r="AJ42" s="110">
        <f t="shared" si="98"/>
        <v>505088</v>
      </c>
      <c r="AK42" s="277"/>
      <c r="AL42" s="277"/>
      <c r="AM42" s="110">
        <f t="shared" ref="AM42:AR42" si="106">AM36+AM38+AM39+AM40+AM41</f>
        <v>86216</v>
      </c>
      <c r="AN42" s="110">
        <f t="shared" si="106"/>
        <v>98316.349999999977</v>
      </c>
      <c r="AO42" s="110">
        <f t="shared" si="106"/>
        <v>108034.04999999981</v>
      </c>
      <c r="AP42" s="110">
        <f t="shared" si="106"/>
        <v>0</v>
      </c>
      <c r="AQ42" s="110">
        <f t="shared" si="106"/>
        <v>-77646</v>
      </c>
      <c r="AR42" s="110">
        <f t="shared" si="106"/>
        <v>20742</v>
      </c>
      <c r="AS42" s="110">
        <f t="shared" ref="AS42" si="107">AS36+AS38+AS39+AS40+AS41</f>
        <v>0</v>
      </c>
      <c r="AT42" s="110">
        <f t="shared" si="99"/>
        <v>235662.39999999979</v>
      </c>
      <c r="AU42" s="277"/>
      <c r="AV42" s="110">
        <f t="shared" ref="AV42:BB42" si="108">AV36+AV38+AV39+AV40+AV41</f>
        <v>104401.75999999978</v>
      </c>
      <c r="AW42" s="110">
        <f t="shared" si="108"/>
        <v>76049.695714285597</v>
      </c>
      <c r="AX42" s="110">
        <f t="shared" si="108"/>
        <v>134423.43999999994</v>
      </c>
      <c r="AY42" s="110">
        <f t="shared" si="108"/>
        <v>-176661.37037037034</v>
      </c>
      <c r="AZ42" s="110">
        <f t="shared" si="108"/>
        <v>-77646</v>
      </c>
      <c r="BA42" s="110">
        <f t="shared" si="108"/>
        <v>20742</v>
      </c>
      <c r="BB42" s="110">
        <f t="shared" si="108"/>
        <v>241000</v>
      </c>
      <c r="BC42" s="110">
        <f t="shared" si="100"/>
        <v>322309.52534391498</v>
      </c>
      <c r="BD42" s="277"/>
      <c r="BE42" s="110">
        <f t="shared" ref="BE42:BK42" si="109">BE36+BE38+BE39+BE40+BE41</f>
        <v>122071.83999999985</v>
      </c>
      <c r="BF42" s="110">
        <f t="shared" si="109"/>
        <v>94245.495714285644</v>
      </c>
      <c r="BG42" s="110">
        <f t="shared" si="109"/>
        <v>186796.51</v>
      </c>
      <c r="BH42" s="110">
        <f t="shared" si="109"/>
        <v>194729.91228070157</v>
      </c>
      <c r="BI42" s="110">
        <f t="shared" si="109"/>
        <v>-77646</v>
      </c>
      <c r="BJ42" s="110">
        <f t="shared" si="109"/>
        <v>20742</v>
      </c>
      <c r="BK42" s="110">
        <f t="shared" si="109"/>
        <v>241000</v>
      </c>
      <c r="BL42" s="110">
        <f t="shared" si="101"/>
        <v>781939.75799498707</v>
      </c>
      <c r="BM42" s="277"/>
      <c r="BN42" s="110">
        <f t="shared" ref="BN42:BT42" si="110">BN36+BN38+BN39+BN40+BN41</f>
        <v>143300.47999999998</v>
      </c>
      <c r="BO42" s="110">
        <f t="shared" si="110"/>
        <v>112824.93571428559</v>
      </c>
      <c r="BP42" s="110">
        <f t="shared" si="110"/>
        <v>243710.82000000007</v>
      </c>
      <c r="BQ42" s="110">
        <f t="shared" si="110"/>
        <v>718359.33333333337</v>
      </c>
      <c r="BR42" s="110">
        <f t="shared" si="110"/>
        <v>-77646</v>
      </c>
      <c r="BS42" s="110">
        <f t="shared" si="110"/>
        <v>20742</v>
      </c>
      <c r="BT42" s="110">
        <f t="shared" si="110"/>
        <v>241000</v>
      </c>
      <c r="BU42" s="110">
        <f t="shared" si="102"/>
        <v>1402291.5690476191</v>
      </c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</row>
    <row r="43" spans="1:98" ht="16.5" thickBot="1">
      <c r="A43" s="83"/>
      <c r="B43" s="101" t="s">
        <v>106</v>
      </c>
      <c r="C43" s="102">
        <f t="shared" ref="C43:G43" si="111">C42/C13</f>
        <v>1.6089878813173614E-2</v>
      </c>
      <c r="D43" s="102" t="e">
        <f t="shared" si="111"/>
        <v>#DIV/0!</v>
      </c>
      <c r="E43" s="102">
        <f t="shared" si="111"/>
        <v>7.9570909133355516E-2</v>
      </c>
      <c r="F43" s="102" t="e">
        <f t="shared" si="111"/>
        <v>#DIV/0!</v>
      </c>
      <c r="G43" s="102" t="e">
        <f t="shared" si="111"/>
        <v>#DIV/0!</v>
      </c>
      <c r="H43" s="102">
        <f>H42/H13</f>
        <v>3.0835611512844367E-2</v>
      </c>
      <c r="I43" s="276"/>
      <c r="J43" s="102">
        <f t="shared" ref="J43:N43" si="112">J42/J13</f>
        <v>1.6357933495465601E-2</v>
      </c>
      <c r="K43" s="102">
        <f t="shared" si="112"/>
        <v>1.7495626093476631E-3</v>
      </c>
      <c r="L43" s="102">
        <f t="shared" si="112"/>
        <v>8.5484739139969304E-2</v>
      </c>
      <c r="M43" s="102" t="e">
        <f t="shared" si="112"/>
        <v>#DIV/0!</v>
      </c>
      <c r="N43" s="102">
        <f t="shared" si="112"/>
        <v>0.63210839663313489</v>
      </c>
      <c r="O43" s="102">
        <f>O42/O13</f>
        <v>2.8885233533237447E-2</v>
      </c>
      <c r="P43" s="102"/>
      <c r="Q43" s="102">
        <f t="shared" ref="Q43:U43" si="113">Q42/Q13</f>
        <v>4.5122459649846444E-2</v>
      </c>
      <c r="R43" s="102">
        <f t="shared" si="113"/>
        <v>8.453419531240948E-2</v>
      </c>
      <c r="S43" s="102">
        <f t="shared" si="113"/>
        <v>8.5904312698542595E-2</v>
      </c>
      <c r="T43" s="102" t="e">
        <f t="shared" si="113"/>
        <v>#DIV/0!</v>
      </c>
      <c r="U43" s="102">
        <f t="shared" si="113"/>
        <v>0.63745416865933369</v>
      </c>
      <c r="V43" s="102">
        <f>V42/V13</f>
        <v>6.6379851953429728E-2</v>
      </c>
      <c r="W43" s="276"/>
      <c r="X43" s="102">
        <f>X42/X13</f>
        <v>2.6849527504596335E-2</v>
      </c>
      <c r="Y43" s="102">
        <f t="shared" ref="Y43:AB43" si="114">Y42/Y13</f>
        <v>0.13316742385040076</v>
      </c>
      <c r="Z43" s="102">
        <f t="shared" si="114"/>
        <v>7.6591398722073101E-2</v>
      </c>
      <c r="AA43" s="102">
        <f t="shared" si="114"/>
        <v>0.18517777777777777</v>
      </c>
      <c r="AB43" s="102">
        <f t="shared" si="114"/>
        <v>0.69403734189921706</v>
      </c>
      <c r="AC43" s="102">
        <f>AC42/AC13</f>
        <v>5.9483416978091883E-2</v>
      </c>
      <c r="AD43" s="276"/>
      <c r="AE43" s="102">
        <f>AE42/AE13</f>
        <v>4.2701739188378759E-2</v>
      </c>
      <c r="AF43" s="102">
        <f t="shared" ref="AF43:AI43" si="115">AF42/AF13</f>
        <v>8.5240647985861062E-2</v>
      </c>
      <c r="AG43" s="102">
        <f t="shared" si="115"/>
        <v>8.297148416124521E-2</v>
      </c>
      <c r="AH43" s="102">
        <f t="shared" si="115"/>
        <v>0.20727014218009479</v>
      </c>
      <c r="AI43" s="102">
        <f t="shared" si="115"/>
        <v>0.69403734189921706</v>
      </c>
      <c r="AJ43" s="102">
        <f>AJ42/AJ13</f>
        <v>6.9551701027712423E-2</v>
      </c>
      <c r="AK43" s="276"/>
      <c r="AL43" s="276"/>
      <c r="AM43" s="102">
        <f>AM42/AM13</f>
        <v>2.3234273625773939E-2</v>
      </c>
      <c r="AN43" s="102">
        <f t="shared" ref="AN43:AS43" si="116">AN42/AN13</f>
        <v>7.2094499217211797E-2</v>
      </c>
      <c r="AO43" s="102">
        <f t="shared" si="116"/>
        <v>5.1027743258313038E-2</v>
      </c>
      <c r="AP43" s="102" t="e">
        <f t="shared" ref="AP43" si="117">AP42/AP13</f>
        <v>#DIV/0!</v>
      </c>
      <c r="AQ43" s="102">
        <f t="shared" si="116"/>
        <v>-0.35947222222222225</v>
      </c>
      <c r="AR43" s="102">
        <f t="shared" si="116"/>
        <v>0.69403734189921706</v>
      </c>
      <c r="AS43" s="102" t="e">
        <f t="shared" si="116"/>
        <v>#DIV/0!</v>
      </c>
      <c r="AT43" s="102">
        <f>AT42/AT13</f>
        <v>3.168574770329069E-2</v>
      </c>
      <c r="AU43" s="276"/>
      <c r="AV43" s="102">
        <f>AV42/AV13</f>
        <v>2.6795371254646386E-2</v>
      </c>
      <c r="AW43" s="102">
        <f t="shared" ref="AW43:BB43" si="118">AW42/AW13</f>
        <v>5.4673110796911832E-2</v>
      </c>
      <c r="AX43" s="102">
        <f t="shared" si="118"/>
        <v>5.7720233640305034E-2</v>
      </c>
      <c r="AY43" s="102">
        <f t="shared" si="118"/>
        <v>-0.12310896889921277</v>
      </c>
      <c r="AZ43" s="102">
        <f t="shared" si="118"/>
        <v>-0.35947222222222225</v>
      </c>
      <c r="BA43" s="102">
        <f t="shared" si="118"/>
        <v>0.69403734189921706</v>
      </c>
      <c r="BB43" s="102">
        <f t="shared" si="118"/>
        <v>0.86071428571428577</v>
      </c>
      <c r="BC43" s="102">
        <f>BC42/BC13</f>
        <v>3.3654486846257943E-2</v>
      </c>
      <c r="BD43" s="276"/>
      <c r="BE43" s="102">
        <f>BE42/BE13</f>
        <v>2.9838580284785816E-2</v>
      </c>
      <c r="BF43" s="102">
        <f t="shared" ref="BF43:BK43" si="119">BF42/BF13</f>
        <v>6.6425780858653735E-2</v>
      </c>
      <c r="BG43" s="102">
        <f t="shared" si="119"/>
        <v>7.6389299082370715E-2</v>
      </c>
      <c r="BH43" s="102">
        <f t="shared" si="119"/>
        <v>9.0572052223582125E-2</v>
      </c>
      <c r="BI43" s="102">
        <f t="shared" si="119"/>
        <v>-0.35947222222222225</v>
      </c>
      <c r="BJ43" s="102">
        <f t="shared" si="119"/>
        <v>0.69403734189921706</v>
      </c>
      <c r="BK43" s="102">
        <f t="shared" si="119"/>
        <v>0.86071428571428577</v>
      </c>
      <c r="BL43" s="102">
        <f>BL42/BL13</f>
        <v>7.3552157952822439E-2</v>
      </c>
      <c r="BM43" s="276"/>
      <c r="BN43" s="102">
        <f>BN42/BN13</f>
        <v>3.3359611214006421E-2</v>
      </c>
      <c r="BO43" s="102">
        <f t="shared" ref="BO43:BT43" si="120">BO42/BO13</f>
        <v>7.7961653633976016E-2</v>
      </c>
      <c r="BP43" s="102">
        <f t="shared" si="120"/>
        <v>9.4918158630528507E-2</v>
      </c>
      <c r="BQ43" s="102">
        <f t="shared" si="120"/>
        <v>0.22805058201058201</v>
      </c>
      <c r="BR43" s="102">
        <f t="shared" si="120"/>
        <v>-0.35947222222222225</v>
      </c>
      <c r="BS43" s="102">
        <f t="shared" si="120"/>
        <v>0.69403734189921706</v>
      </c>
      <c r="BT43" s="102">
        <f t="shared" si="120"/>
        <v>0.86071428571428577</v>
      </c>
      <c r="BU43" s="102">
        <f>BU42/BU13</f>
        <v>0.11699131282742573</v>
      </c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</row>
    <row r="44" spans="1:98" ht="15.75">
      <c r="A44" s="83"/>
      <c r="B44" s="97" t="s">
        <v>183</v>
      </c>
      <c r="C44" s="89">
        <f>'Probois 43 - P&amp;L'!C220</f>
        <v>36672</v>
      </c>
      <c r="D44" s="89"/>
      <c r="E44" s="89">
        <f>'BSB - P&amp;L'!C190</f>
        <v>3751</v>
      </c>
      <c r="F44" s="89">
        <f>'SC des SUCS - P&amp;L'!C73</f>
        <v>0</v>
      </c>
      <c r="G44" s="89"/>
      <c r="H44" s="88">
        <f t="shared" si="0"/>
        <v>40423</v>
      </c>
      <c r="I44" s="89"/>
      <c r="J44" s="89">
        <f>'Probois 43 - P&amp;L'!D220</f>
        <v>3478</v>
      </c>
      <c r="K44" s="89">
        <f>'SAS EMB - P&amp;L'!C172</f>
        <v>17098</v>
      </c>
      <c r="L44" s="89">
        <f>'BSB - P&amp;L'!D190</f>
        <v>6</v>
      </c>
      <c r="M44" s="89">
        <f>'SC des SUCS - P&amp;L'!D73</f>
        <v>0</v>
      </c>
      <c r="N44" s="89">
        <f>'SCI - P&amp;L'!D56</f>
        <v>0</v>
      </c>
      <c r="O44" s="88">
        <f t="shared" si="1"/>
        <v>20582</v>
      </c>
      <c r="P44" s="89"/>
      <c r="Q44" s="89">
        <f>'Probois 43 - P&amp;L'!E220</f>
        <v>5160</v>
      </c>
      <c r="R44" s="89">
        <f>'SAS EMB - P&amp;L'!D172</f>
        <v>11916</v>
      </c>
      <c r="S44" s="89">
        <f>'BSB - P&amp;L'!E190</f>
        <v>3064</v>
      </c>
      <c r="T44" s="89">
        <f>'SC des SUCS - P&amp;L'!E73</f>
        <v>0</v>
      </c>
      <c r="U44" s="89">
        <f>'SCI - P&amp;L'!E56</f>
        <v>0</v>
      </c>
      <c r="V44" s="88">
        <f t="shared" si="2"/>
        <v>20140</v>
      </c>
      <c r="W44" s="89"/>
      <c r="X44" s="89">
        <f>'Probois 43 - P&amp;L'!F220</f>
        <v>8159</v>
      </c>
      <c r="Y44" s="89">
        <f>'SAS EMB - P&amp;L'!E172</f>
        <v>16859</v>
      </c>
      <c r="Z44" s="89">
        <f>'BSB - P&amp;L'!F190</f>
        <v>1002</v>
      </c>
      <c r="AA44" s="89">
        <f>'SC des SUCS - P&amp;L'!F73</f>
        <v>672</v>
      </c>
      <c r="AB44" s="104">
        <f>'SCI - P&amp;L'!F56</f>
        <v>0</v>
      </c>
      <c r="AC44" s="88">
        <f t="shared" si="3"/>
        <v>26692</v>
      </c>
      <c r="AD44" s="89"/>
      <c r="AE44" s="89">
        <f>'Probois 43 - P&amp;L'!G220</f>
        <v>5095</v>
      </c>
      <c r="AF44" s="89">
        <f>'SAS EMB - P&amp;L'!F172</f>
        <v>4727</v>
      </c>
      <c r="AG44" s="89">
        <f>'BSB - P&amp;L'!G190</f>
        <v>285</v>
      </c>
      <c r="AH44" s="89">
        <v>0</v>
      </c>
      <c r="AI44" s="104">
        <f>'SCI - P&amp;L (2)'!H56</f>
        <v>0</v>
      </c>
      <c r="AJ44" s="88">
        <f t="shared" ref="AJ44:AJ48" si="121">SUM(AE44:AI44)</f>
        <v>10107</v>
      </c>
      <c r="AK44" s="88"/>
      <c r="AL44" s="89"/>
      <c r="AM44" s="89">
        <f>'Probois 43 - P&amp;L (2)'!I220</f>
        <v>5000</v>
      </c>
      <c r="AN44" s="89">
        <f>'SAS EMB - P&amp;L (2)'!H172</f>
        <v>10000</v>
      </c>
      <c r="AO44" s="89">
        <v>0</v>
      </c>
      <c r="AP44" s="89"/>
      <c r="AQ44" s="89">
        <v>0</v>
      </c>
      <c r="AR44" s="104">
        <v>0</v>
      </c>
      <c r="AS44" s="89"/>
      <c r="AT44" s="88">
        <f t="shared" ref="AT44:AT48" si="122">SUM(AM44:AS44)</f>
        <v>15000</v>
      </c>
      <c r="AU44" s="89"/>
      <c r="AV44" s="89">
        <f>'Probois 43 - P&amp;L (2)'!J220</f>
        <v>5000</v>
      </c>
      <c r="AW44" s="89">
        <f>'SAS EMB - P&amp;L (2)'!I172</f>
        <v>10000</v>
      </c>
      <c r="AX44" s="89">
        <v>0</v>
      </c>
      <c r="AY44" s="89">
        <v>0</v>
      </c>
      <c r="AZ44" s="89">
        <v>0</v>
      </c>
      <c r="BA44" s="104">
        <v>0</v>
      </c>
      <c r="BB44" s="89"/>
      <c r="BC44" s="88">
        <f t="shared" ref="BC44:BC48" si="123">SUM(AV44:BB44)</f>
        <v>15000</v>
      </c>
      <c r="BD44" s="89"/>
      <c r="BE44" s="89">
        <f>'Probois 43 - P&amp;L (2)'!K220</f>
        <v>5000</v>
      </c>
      <c r="BF44" s="89">
        <f>'SAS EMB - P&amp;L (2)'!J172</f>
        <v>10000</v>
      </c>
      <c r="BG44" s="89">
        <v>0</v>
      </c>
      <c r="BH44" s="89">
        <v>0</v>
      </c>
      <c r="BI44" s="89">
        <v>0</v>
      </c>
      <c r="BJ44" s="104">
        <v>0</v>
      </c>
      <c r="BK44" s="89"/>
      <c r="BL44" s="88">
        <f t="shared" ref="BL44:BL48" si="124">SUM(BE44:BK44)</f>
        <v>15000</v>
      </c>
      <c r="BM44" s="89"/>
      <c r="BN44" s="89">
        <f>'Probois 43 - P&amp;L (2)'!L220</f>
        <v>5000</v>
      </c>
      <c r="BO44" s="89">
        <f>'SAS EMB - P&amp;L (2)'!K172</f>
        <v>10000</v>
      </c>
      <c r="BP44" s="89">
        <v>0</v>
      </c>
      <c r="BQ44" s="89">
        <v>0</v>
      </c>
      <c r="BR44" s="89">
        <v>0</v>
      </c>
      <c r="BS44" s="104">
        <v>0</v>
      </c>
      <c r="BT44" s="89"/>
      <c r="BU44" s="88">
        <f t="shared" ref="BU44:BU48" si="125">SUM(BN44:BT44)</f>
        <v>15000</v>
      </c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</row>
    <row r="45" spans="1:98" ht="15.75">
      <c r="A45" s="83"/>
      <c r="B45" s="97" t="s">
        <v>12</v>
      </c>
      <c r="C45" s="89">
        <f>'Probois 43 - P&amp;L'!C226</f>
        <v>14</v>
      </c>
      <c r="D45" s="89"/>
      <c r="E45" s="89">
        <f>'BSB - P&amp;L'!C193</f>
        <v>8</v>
      </c>
      <c r="F45" s="89">
        <f>'SC des SUCS - P&amp;L'!C76</f>
        <v>0</v>
      </c>
      <c r="G45" s="89"/>
      <c r="H45" s="88">
        <f t="shared" si="0"/>
        <v>22</v>
      </c>
      <c r="I45" s="89"/>
      <c r="J45" s="89">
        <f>'Probois 43 - P&amp;L'!D226</f>
        <v>10</v>
      </c>
      <c r="K45" s="89">
        <f>'SAS EMB - P&amp;L'!C180</f>
        <v>904</v>
      </c>
      <c r="L45" s="89">
        <f>'BSB - P&amp;L'!D193</f>
        <v>970</v>
      </c>
      <c r="M45" s="89">
        <f>'SC des SUCS - P&amp;L'!D76</f>
        <v>1</v>
      </c>
      <c r="N45" s="89">
        <f>'SCI - P&amp;L'!D59</f>
        <v>0</v>
      </c>
      <c r="O45" s="88">
        <f t="shared" si="1"/>
        <v>1885</v>
      </c>
      <c r="P45" s="89"/>
      <c r="Q45" s="89">
        <f>'Probois 43 - P&amp;L'!E226</f>
        <v>35</v>
      </c>
      <c r="R45" s="89">
        <f>'SAS EMB - P&amp;L'!D180</f>
        <v>401</v>
      </c>
      <c r="S45" s="89">
        <f>'BSB - P&amp;L'!E193</f>
        <v>29</v>
      </c>
      <c r="T45" s="89">
        <f>'SC des SUCS - P&amp;L'!E76</f>
        <v>0</v>
      </c>
      <c r="U45" s="89">
        <f>'SCI - P&amp;L'!E59</f>
        <v>0</v>
      </c>
      <c r="V45" s="88">
        <f t="shared" si="2"/>
        <v>465</v>
      </c>
      <c r="W45" s="89"/>
      <c r="X45" s="89">
        <f>'Probois 43 - P&amp;L'!F226</f>
        <v>2453</v>
      </c>
      <c r="Y45" s="89">
        <f>'SAS EMB - P&amp;L'!E180</f>
        <v>437</v>
      </c>
      <c r="Z45" s="89">
        <f>'BSB - P&amp;L'!F193</f>
        <v>1256</v>
      </c>
      <c r="AA45" s="89">
        <f>'SC des SUCS - P&amp;L'!F76</f>
        <v>0</v>
      </c>
      <c r="AB45" s="104">
        <f>'SCI - P&amp;L'!F59</f>
        <v>1</v>
      </c>
      <c r="AC45" s="88">
        <f t="shared" si="3"/>
        <v>4147</v>
      </c>
      <c r="AD45" s="89"/>
      <c r="AE45" s="89">
        <f>'Probois 43 - P&amp;L'!G226</f>
        <v>785</v>
      </c>
      <c r="AF45" s="89">
        <f>'SAS EMB - P&amp;L'!F180</f>
        <v>243</v>
      </c>
      <c r="AG45" s="89">
        <f>'BSB - P&amp;L'!G193</f>
        <v>76</v>
      </c>
      <c r="AH45" s="89">
        <v>0</v>
      </c>
      <c r="AI45" s="104">
        <f>'SCI - P&amp;L (2)'!H59</f>
        <v>1</v>
      </c>
      <c r="AJ45" s="88">
        <f t="shared" si="121"/>
        <v>1105</v>
      </c>
      <c r="AK45" s="88"/>
      <c r="AL45" s="89"/>
      <c r="AM45" s="89">
        <f>'Probois 43 - P&amp;L (2)'!I226</f>
        <v>0</v>
      </c>
      <c r="AN45" s="89">
        <v>0</v>
      </c>
      <c r="AO45" s="89">
        <v>0</v>
      </c>
      <c r="AP45" s="89"/>
      <c r="AQ45" s="89">
        <v>0</v>
      </c>
      <c r="AR45" s="104">
        <f>'SCI - P&amp;L (2)'!I59</f>
        <v>1</v>
      </c>
      <c r="AS45" s="89"/>
      <c r="AT45" s="88">
        <f t="shared" si="122"/>
        <v>1</v>
      </c>
      <c r="AU45" s="89"/>
      <c r="AV45" s="89">
        <v>0</v>
      </c>
      <c r="AW45" s="89">
        <v>0</v>
      </c>
      <c r="AX45" s="89">
        <v>0</v>
      </c>
      <c r="AY45" s="89">
        <v>0</v>
      </c>
      <c r="AZ45" s="89">
        <v>0</v>
      </c>
      <c r="BA45" s="104">
        <f>'SCI - P&amp;L (2)'!J59</f>
        <v>1</v>
      </c>
      <c r="BB45" s="89"/>
      <c r="BC45" s="88">
        <f t="shared" si="123"/>
        <v>1</v>
      </c>
      <c r="BD45" s="89"/>
      <c r="BE45" s="89">
        <v>0</v>
      </c>
      <c r="BF45" s="89">
        <v>0</v>
      </c>
      <c r="BG45" s="89">
        <v>0</v>
      </c>
      <c r="BH45" s="89">
        <v>0</v>
      </c>
      <c r="BI45" s="89">
        <v>0</v>
      </c>
      <c r="BJ45" s="104">
        <f>'SCI - P&amp;L (2)'!K59</f>
        <v>1</v>
      </c>
      <c r="BK45" s="89"/>
      <c r="BL45" s="88">
        <f t="shared" si="124"/>
        <v>1</v>
      </c>
      <c r="BM45" s="89"/>
      <c r="BN45" s="89">
        <v>0</v>
      </c>
      <c r="BO45" s="89">
        <v>0</v>
      </c>
      <c r="BP45" s="89">
        <v>0</v>
      </c>
      <c r="BQ45" s="89">
        <v>0</v>
      </c>
      <c r="BR45" s="89">
        <v>0</v>
      </c>
      <c r="BS45" s="104">
        <f>'SCI - P&amp;L (2)'!L59</f>
        <v>1</v>
      </c>
      <c r="BT45" s="89"/>
      <c r="BU45" s="88">
        <f t="shared" si="125"/>
        <v>1</v>
      </c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</row>
    <row r="46" spans="1:98" ht="15.75">
      <c r="A46" s="83"/>
      <c r="B46" s="97" t="s">
        <v>184</v>
      </c>
      <c r="C46" s="89">
        <f>'Probois 43 - P&amp;L'!C229</f>
        <v>-13573</v>
      </c>
      <c r="D46" s="89"/>
      <c r="E46" s="89">
        <f>'BSB - P&amp;L'!C196</f>
        <v>-38169</v>
      </c>
      <c r="F46" s="89">
        <f>'SC des SUCS - P&amp;L'!C79</f>
        <v>0</v>
      </c>
      <c r="G46" s="89"/>
      <c r="H46" s="88">
        <f t="shared" si="0"/>
        <v>-51742</v>
      </c>
      <c r="I46" s="89"/>
      <c r="J46" s="89">
        <f>'Probois 43 - P&amp;L'!D229</f>
        <v>-12884</v>
      </c>
      <c r="K46" s="89">
        <f>'SAS EMB - P&amp;L'!C183</f>
        <v>-20371</v>
      </c>
      <c r="L46" s="89">
        <f>'BSB - P&amp;L'!D196</f>
        <v>-39462</v>
      </c>
      <c r="M46" s="89">
        <f>'SC des SUCS - P&amp;L'!D79</f>
        <v>0</v>
      </c>
      <c r="N46" s="89">
        <f>'SCI - P&amp;L'!D62</f>
        <v>-8519</v>
      </c>
      <c r="O46" s="88">
        <f t="shared" si="1"/>
        <v>-81236</v>
      </c>
      <c r="P46" s="89"/>
      <c r="Q46" s="89">
        <f>'Probois 43 - P&amp;L'!E229</f>
        <v>-10781</v>
      </c>
      <c r="R46" s="89">
        <f>'SAS EMB - P&amp;L'!D183</f>
        <v>-26013</v>
      </c>
      <c r="S46" s="89">
        <f>'BSB - P&amp;L'!E196</f>
        <v>-40701</v>
      </c>
      <c r="T46" s="89">
        <f>'SC des SUCS - P&amp;L'!E79</f>
        <v>0</v>
      </c>
      <c r="U46" s="89">
        <f>'SCI - P&amp;L'!E62</f>
        <v>-8519</v>
      </c>
      <c r="V46" s="88">
        <f t="shared" si="2"/>
        <v>-86014</v>
      </c>
      <c r="W46" s="89"/>
      <c r="X46" s="89">
        <f>'Probois 43 - P&amp;L'!F229</f>
        <v>-16255</v>
      </c>
      <c r="Y46" s="89">
        <f>'SAS EMB - P&amp;L'!E183</f>
        <v>-16028</v>
      </c>
      <c r="Z46" s="89">
        <f>'BSB - P&amp;L'!F196</f>
        <v>-40946</v>
      </c>
      <c r="AA46" s="89">
        <f>'SC des SUCS - P&amp;L'!F79</f>
        <v>0</v>
      </c>
      <c r="AB46" s="104">
        <f>'SCI - P&amp;L'!F62</f>
        <v>-8519</v>
      </c>
      <c r="AC46" s="88">
        <f t="shared" si="3"/>
        <v>-81748</v>
      </c>
      <c r="AD46" s="89"/>
      <c r="AE46" s="89">
        <f>'Probois 43 - P&amp;L'!G229</f>
        <v>-18487</v>
      </c>
      <c r="AF46" s="89">
        <f>'SAS EMB - P&amp;L'!F183</f>
        <v>-16585</v>
      </c>
      <c r="AG46" s="89">
        <f>'BSB - P&amp;L'!G196</f>
        <v>-53892</v>
      </c>
      <c r="AH46" s="89">
        <v>0</v>
      </c>
      <c r="AI46" s="104">
        <f>'SCI - P&amp;L (2)'!H62</f>
        <v>-8519</v>
      </c>
      <c r="AJ46" s="88">
        <f t="shared" si="121"/>
        <v>-97483</v>
      </c>
      <c r="AK46" s="88"/>
      <c r="AL46" s="89"/>
      <c r="AM46" s="89">
        <f>'Probois 43 - P&amp;L (2)'!I229</f>
        <v>-15000</v>
      </c>
      <c r="AN46" s="89">
        <f>'SAS EMB - P&amp;L (2)'!H183</f>
        <v>-15000</v>
      </c>
      <c r="AO46" s="89">
        <f>'BSB - P&amp;L (2)'!I196</f>
        <v>-54000</v>
      </c>
      <c r="AP46" s="89"/>
      <c r="AQ46" s="89">
        <v>0</v>
      </c>
      <c r="AR46" s="104">
        <f>'SCI - P&amp;L (2)'!I62</f>
        <v>-8519</v>
      </c>
      <c r="AS46" s="89"/>
      <c r="AT46" s="88">
        <f t="shared" si="122"/>
        <v>-92519</v>
      </c>
      <c r="AU46" s="89"/>
      <c r="AV46" s="89">
        <f>'Probois 43 - P&amp;L (2)'!J229</f>
        <v>-13000</v>
      </c>
      <c r="AW46" s="89">
        <f>'SAS EMB - P&amp;L (2)'!I183</f>
        <v>-15000</v>
      </c>
      <c r="AX46" s="89">
        <f>'BSB - P&amp;L (2)'!J196</f>
        <v>-54000</v>
      </c>
      <c r="AY46" s="89">
        <f>'Profilyss - P&amp;L (2)'!I132</f>
        <v>-304948</v>
      </c>
      <c r="AZ46" s="89">
        <v>0</v>
      </c>
      <c r="BA46" s="104">
        <f>'SCI - P&amp;L (2)'!J62</f>
        <v>-8519</v>
      </c>
      <c r="BB46" s="89">
        <f>'Antreuil - P&amp;L (2)'!J59</f>
        <v>-168567</v>
      </c>
      <c r="BC46" s="88">
        <f t="shared" si="123"/>
        <v>-564034</v>
      </c>
      <c r="BD46" s="89"/>
      <c r="BE46" s="89">
        <f>'Probois 43 - P&amp;L (2)'!K229</f>
        <v>-11000</v>
      </c>
      <c r="BF46" s="89">
        <f>'SAS EMB - P&amp;L (2)'!J183</f>
        <v>-15000</v>
      </c>
      <c r="BG46" s="89">
        <f>'BSB - P&amp;L (2)'!K196</f>
        <v>-54000</v>
      </c>
      <c r="BH46" s="89">
        <f>'Profilyss - P&amp;L (2)'!J132</f>
        <v>-304948</v>
      </c>
      <c r="BI46" s="89">
        <v>0</v>
      </c>
      <c r="BJ46" s="104">
        <f>'SCI - P&amp;L (2)'!K62</f>
        <v>-8519</v>
      </c>
      <c r="BK46" s="89">
        <f>'Antreuil - P&amp;L (2)'!K59</f>
        <v>-168567</v>
      </c>
      <c r="BL46" s="88">
        <f t="shared" si="124"/>
        <v>-562034</v>
      </c>
      <c r="BM46" s="89"/>
      <c r="BN46" s="89">
        <f>'Probois 43 - P&amp;L (2)'!L229</f>
        <v>-11000</v>
      </c>
      <c r="BO46" s="89">
        <f>'SAS EMB - P&amp;L (2)'!K183</f>
        <v>-15000</v>
      </c>
      <c r="BP46" s="89">
        <f>'BSB - P&amp;L (2)'!L196</f>
        <v>-54000</v>
      </c>
      <c r="BQ46" s="89">
        <f>'Profilyss - P&amp;L (2)'!K132</f>
        <v>-304948</v>
      </c>
      <c r="BR46" s="89">
        <v>0</v>
      </c>
      <c r="BS46" s="104">
        <f>'SCI - P&amp;L (2)'!L62</f>
        <v>-8519</v>
      </c>
      <c r="BT46" s="89">
        <f>'Antreuil - P&amp;L (2)'!L59</f>
        <v>-168567</v>
      </c>
      <c r="BU46" s="88">
        <f t="shared" si="125"/>
        <v>-562034</v>
      </c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</row>
    <row r="47" spans="1:98" ht="15.75">
      <c r="A47" s="83"/>
      <c r="B47" s="97" t="s">
        <v>23</v>
      </c>
      <c r="C47" s="89">
        <f>'Probois 43 - P&amp;L'!C233</f>
        <v>-28850</v>
      </c>
      <c r="D47" s="89"/>
      <c r="E47" s="89">
        <f>'BSB - P&amp;L'!C200</f>
        <v>-4</v>
      </c>
      <c r="F47" s="89">
        <f>'SC des SUCS - P&amp;L'!C80</f>
        <v>0</v>
      </c>
      <c r="G47" s="89"/>
      <c r="H47" s="88">
        <f t="shared" si="0"/>
        <v>-28854</v>
      </c>
      <c r="I47" s="89"/>
      <c r="J47" s="89">
        <f>'Probois 43 - P&amp;L'!D233</f>
        <v>-7</v>
      </c>
      <c r="K47" s="89">
        <f>'SAS EMB - P&amp;L'!C188</f>
        <v>-223</v>
      </c>
      <c r="L47" s="89">
        <f>'BSB - P&amp;L'!D200</f>
        <v>-11</v>
      </c>
      <c r="M47" s="89">
        <f>'SC des SUCS - P&amp;L'!D80</f>
        <v>0</v>
      </c>
      <c r="N47" s="89">
        <f>'SCI - P&amp;L'!D65</f>
        <v>-1</v>
      </c>
      <c r="O47" s="88">
        <f t="shared" si="1"/>
        <v>-242</v>
      </c>
      <c r="P47" s="89"/>
      <c r="Q47" s="89">
        <f>'Probois 43 - P&amp;L'!E233</f>
        <v>-22</v>
      </c>
      <c r="R47" s="89">
        <f>'SAS EMB - P&amp;L'!D188</f>
        <v>-1879</v>
      </c>
      <c r="S47" s="89">
        <f>'BSB - P&amp;L'!E200</f>
        <v>-7</v>
      </c>
      <c r="T47" s="89">
        <f>'SC des SUCS - P&amp;L'!E80</f>
        <v>0</v>
      </c>
      <c r="U47" s="89">
        <f>'SCI - P&amp;L'!E65</f>
        <v>0</v>
      </c>
      <c r="V47" s="88">
        <f t="shared" si="2"/>
        <v>-1908</v>
      </c>
      <c r="W47" s="89"/>
      <c r="X47" s="89">
        <f>'Probois 43 - P&amp;L'!F233</f>
        <v>-9</v>
      </c>
      <c r="Y47" s="89">
        <f>'SAS EMB - P&amp;L'!E188</f>
        <v>-2680</v>
      </c>
      <c r="Z47" s="89">
        <f>'BSB - P&amp;L'!F200</f>
        <v>-56</v>
      </c>
      <c r="AA47" s="89">
        <f>'SC des SUCS - P&amp;L'!F80</f>
        <v>-2</v>
      </c>
      <c r="AB47" s="89">
        <f>'SCI - P&amp;L'!F65</f>
        <v>-1</v>
      </c>
      <c r="AC47" s="88">
        <f t="shared" si="3"/>
        <v>-2748</v>
      </c>
      <c r="AD47" s="89"/>
      <c r="AE47" s="89">
        <f>'Probois 43 - P&amp;L'!G233</f>
        <v>-641</v>
      </c>
      <c r="AF47" s="89">
        <f>'SAS EMB - P&amp;L'!F188</f>
        <v>-398</v>
      </c>
      <c r="AG47" s="89">
        <f>'BSB - P&amp;L'!G200</f>
        <v>-19</v>
      </c>
      <c r="AH47" s="89">
        <v>0</v>
      </c>
      <c r="AI47" s="89">
        <f>'SCI - P&amp;L (2)'!H65</f>
        <v>-1</v>
      </c>
      <c r="AJ47" s="88">
        <f t="shared" si="121"/>
        <v>-1059</v>
      </c>
      <c r="AK47" s="88"/>
      <c r="AL47" s="89"/>
      <c r="AM47" s="89">
        <f>'Probois 43 - P&amp;L (2)'!I233</f>
        <v>0</v>
      </c>
      <c r="AN47" s="89">
        <v>0</v>
      </c>
      <c r="AO47" s="89">
        <v>0</v>
      </c>
      <c r="AP47" s="89"/>
      <c r="AQ47" s="89">
        <v>0</v>
      </c>
      <c r="AR47" s="89">
        <f>'SCI - P&amp;L (2)'!I65</f>
        <v>-1</v>
      </c>
      <c r="AS47" s="89"/>
      <c r="AT47" s="88">
        <f t="shared" si="122"/>
        <v>-1</v>
      </c>
      <c r="AU47" s="89"/>
      <c r="AV47" s="89">
        <v>0</v>
      </c>
      <c r="AW47" s="89">
        <v>0</v>
      </c>
      <c r="AX47" s="89">
        <v>0</v>
      </c>
      <c r="AY47" s="89">
        <v>0</v>
      </c>
      <c r="AZ47" s="89">
        <v>0</v>
      </c>
      <c r="BA47" s="89">
        <f>'SCI - P&amp;L (2)'!J65</f>
        <v>-1</v>
      </c>
      <c r="BB47" s="89"/>
      <c r="BC47" s="88">
        <f t="shared" si="123"/>
        <v>-1</v>
      </c>
      <c r="BD47" s="89"/>
      <c r="BE47" s="89">
        <v>0</v>
      </c>
      <c r="BF47" s="89">
        <v>0</v>
      </c>
      <c r="BG47" s="89">
        <v>0</v>
      </c>
      <c r="BH47" s="89">
        <v>0</v>
      </c>
      <c r="BI47" s="89">
        <v>0</v>
      </c>
      <c r="BJ47" s="89">
        <f>'SCI - P&amp;L (2)'!K65</f>
        <v>-1</v>
      </c>
      <c r="BK47" s="89"/>
      <c r="BL47" s="88">
        <f t="shared" si="124"/>
        <v>-1</v>
      </c>
      <c r="BM47" s="89"/>
      <c r="BN47" s="89">
        <v>0</v>
      </c>
      <c r="BO47" s="89">
        <v>0</v>
      </c>
      <c r="BP47" s="89">
        <v>0</v>
      </c>
      <c r="BQ47" s="89">
        <v>0</v>
      </c>
      <c r="BR47" s="89">
        <v>0</v>
      </c>
      <c r="BS47" s="89">
        <f>'SCI - P&amp;L (2)'!L65</f>
        <v>-1</v>
      </c>
      <c r="BT47" s="89"/>
      <c r="BU47" s="88">
        <f t="shared" si="125"/>
        <v>-1</v>
      </c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</row>
    <row r="48" spans="1:98" ht="15.75">
      <c r="A48" s="83"/>
      <c r="B48" s="100" t="s">
        <v>26</v>
      </c>
      <c r="C48" s="110">
        <f t="shared" ref="C48:G48" si="126">C42+C44+C45+C47+C46</f>
        <v>36862</v>
      </c>
      <c r="D48" s="110">
        <f t="shared" si="126"/>
        <v>0</v>
      </c>
      <c r="E48" s="110">
        <f t="shared" si="126"/>
        <v>33754</v>
      </c>
      <c r="F48" s="110">
        <f t="shared" si="126"/>
        <v>-2711</v>
      </c>
      <c r="G48" s="110">
        <f t="shared" si="126"/>
        <v>0</v>
      </c>
      <c r="H48" s="110">
        <f t="shared" si="0"/>
        <v>67905</v>
      </c>
      <c r="I48" s="277"/>
      <c r="J48" s="110">
        <f t="shared" ref="J48:N48" si="127">J42+J44+J45+J47+J46</f>
        <v>33779</v>
      </c>
      <c r="K48" s="110">
        <f t="shared" si="127"/>
        <v>-870</v>
      </c>
      <c r="L48" s="110">
        <f t="shared" si="127"/>
        <v>34399</v>
      </c>
      <c r="M48" s="110">
        <f t="shared" si="127"/>
        <v>-3177</v>
      </c>
      <c r="N48" s="110">
        <f t="shared" si="127"/>
        <v>6875</v>
      </c>
      <c r="O48" s="110">
        <f t="shared" si="1"/>
        <v>71006</v>
      </c>
      <c r="P48" s="110"/>
      <c r="Q48" s="110">
        <f t="shared" ref="Q48:U48" si="128">Q42+Q44+Q45+Q47+Q46</f>
        <v>146888</v>
      </c>
      <c r="R48" s="110">
        <f t="shared" si="128"/>
        <v>130353</v>
      </c>
      <c r="S48" s="110">
        <f t="shared" si="128"/>
        <v>100949</v>
      </c>
      <c r="T48" s="110">
        <f t="shared" si="128"/>
        <v>-5320</v>
      </c>
      <c r="U48" s="110">
        <f t="shared" si="128"/>
        <v>7476</v>
      </c>
      <c r="V48" s="110">
        <f t="shared" si="2"/>
        <v>380346</v>
      </c>
      <c r="W48" s="277"/>
      <c r="X48" s="110">
        <f t="shared" ref="X48:AB48" si="129">X42+X44+X45+X47+X46</f>
        <v>125446</v>
      </c>
      <c r="Y48" s="110">
        <f t="shared" si="129"/>
        <v>171265</v>
      </c>
      <c r="Z48" s="110">
        <f t="shared" si="129"/>
        <v>111319</v>
      </c>
      <c r="AA48" s="110">
        <f t="shared" si="129"/>
        <v>17336</v>
      </c>
      <c r="AB48" s="110">
        <f t="shared" si="129"/>
        <v>12223</v>
      </c>
      <c r="AC48" s="110">
        <f t="shared" si="3"/>
        <v>437589</v>
      </c>
      <c r="AD48" s="277"/>
      <c r="AE48" s="110">
        <f t="shared" ref="AE48:AI48" si="130">AE42+AE44+AE45+AE47+AE46</f>
        <v>140550</v>
      </c>
      <c r="AF48" s="110">
        <f t="shared" si="130"/>
        <v>104222</v>
      </c>
      <c r="AG48" s="110">
        <f t="shared" si="130"/>
        <v>117029</v>
      </c>
      <c r="AH48" s="110">
        <f t="shared" si="130"/>
        <v>43734</v>
      </c>
      <c r="AI48" s="110">
        <f t="shared" si="130"/>
        <v>12223</v>
      </c>
      <c r="AJ48" s="110">
        <f t="shared" si="121"/>
        <v>417758</v>
      </c>
      <c r="AK48" s="277"/>
      <c r="AL48" s="277"/>
      <c r="AM48" s="110">
        <f t="shared" ref="AM48:AS48" si="131">AM42+AM44+AM45+AM47+AM46</f>
        <v>76216</v>
      </c>
      <c r="AN48" s="110">
        <f t="shared" si="131"/>
        <v>93316.349999999977</v>
      </c>
      <c r="AO48" s="110">
        <f t="shared" si="131"/>
        <v>54034.049999999814</v>
      </c>
      <c r="AP48" s="110">
        <f t="shared" ref="AP48" si="132">AP42+AP44+AP45+AP47+AP46</f>
        <v>0</v>
      </c>
      <c r="AQ48" s="110">
        <f t="shared" si="131"/>
        <v>-77646</v>
      </c>
      <c r="AR48" s="110">
        <f t="shared" si="131"/>
        <v>12223</v>
      </c>
      <c r="AS48" s="110">
        <f t="shared" si="131"/>
        <v>0</v>
      </c>
      <c r="AT48" s="110">
        <f t="shared" si="122"/>
        <v>158143.39999999979</v>
      </c>
      <c r="AU48" s="277"/>
      <c r="AV48" s="110">
        <f t="shared" ref="AV48:BB48" si="133">AV42+AV44+AV45+AV47+AV46</f>
        <v>96401.759999999776</v>
      </c>
      <c r="AW48" s="110">
        <f t="shared" si="133"/>
        <v>71049.695714285597</v>
      </c>
      <c r="AX48" s="110">
        <f t="shared" si="133"/>
        <v>80423.439999999944</v>
      </c>
      <c r="AY48" s="110">
        <f t="shared" si="133"/>
        <v>-481609.37037037034</v>
      </c>
      <c r="AZ48" s="110">
        <f t="shared" si="133"/>
        <v>-77646</v>
      </c>
      <c r="BA48" s="110">
        <f t="shared" si="133"/>
        <v>12223</v>
      </c>
      <c r="BB48" s="110">
        <f t="shared" si="133"/>
        <v>72433</v>
      </c>
      <c r="BC48" s="110">
        <f t="shared" si="123"/>
        <v>-226724.47465608502</v>
      </c>
      <c r="BD48" s="277"/>
      <c r="BE48" s="110">
        <f t="shared" ref="BE48:BK48" si="134">BE42+BE44+BE45+BE47+BE46</f>
        <v>116071.83999999985</v>
      </c>
      <c r="BF48" s="110">
        <f t="shared" si="134"/>
        <v>89245.495714285644</v>
      </c>
      <c r="BG48" s="110">
        <f t="shared" si="134"/>
        <v>132796.51</v>
      </c>
      <c r="BH48" s="110">
        <f t="shared" si="134"/>
        <v>-110218.08771929843</v>
      </c>
      <c r="BI48" s="110">
        <f t="shared" si="134"/>
        <v>-77646</v>
      </c>
      <c r="BJ48" s="110">
        <f t="shared" si="134"/>
        <v>12223</v>
      </c>
      <c r="BK48" s="110">
        <f t="shared" si="134"/>
        <v>72433</v>
      </c>
      <c r="BL48" s="110">
        <f t="shared" si="124"/>
        <v>234905.75799498707</v>
      </c>
      <c r="BM48" s="277"/>
      <c r="BN48" s="110">
        <f t="shared" ref="BN48:BT48" si="135">BN42+BN44+BN45+BN47+BN46</f>
        <v>137300.47999999998</v>
      </c>
      <c r="BO48" s="110">
        <f t="shared" si="135"/>
        <v>107824.93571428559</v>
      </c>
      <c r="BP48" s="110">
        <f t="shared" si="135"/>
        <v>189710.82000000007</v>
      </c>
      <c r="BQ48" s="110">
        <f t="shared" si="135"/>
        <v>413411.33333333337</v>
      </c>
      <c r="BR48" s="110">
        <f t="shared" si="135"/>
        <v>-77646</v>
      </c>
      <c r="BS48" s="110">
        <f t="shared" si="135"/>
        <v>12223</v>
      </c>
      <c r="BT48" s="110">
        <f t="shared" si="135"/>
        <v>72433</v>
      </c>
      <c r="BU48" s="110">
        <f t="shared" si="125"/>
        <v>855257.56904761901</v>
      </c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</row>
    <row r="49" spans="1:98" ht="16.5" thickBot="1">
      <c r="A49" s="83"/>
      <c r="B49" s="101" t="s">
        <v>106</v>
      </c>
      <c r="C49" s="102">
        <f t="shared" ref="C49:G49" si="136">C48/C13</f>
        <v>1.3922982060874804E-2</v>
      </c>
      <c r="D49" s="102" t="e">
        <f t="shared" si="136"/>
        <v>#DIV/0!</v>
      </c>
      <c r="E49" s="102">
        <f t="shared" si="136"/>
        <v>3.9400253299015399E-2</v>
      </c>
      <c r="F49" s="102" t="e">
        <f t="shared" si="136"/>
        <v>#DIV/0!</v>
      </c>
      <c r="G49" s="102" t="e">
        <f t="shared" si="136"/>
        <v>#DIV/0!</v>
      </c>
      <c r="H49" s="102">
        <f>H48/H13</f>
        <v>1.9377842968272902E-2</v>
      </c>
      <c r="I49" s="276"/>
      <c r="J49" s="102">
        <f t="shared" ref="J49:N49" si="137">J48/J13</f>
        <v>1.279594820858998E-2</v>
      </c>
      <c r="K49" s="102">
        <f t="shared" si="137"/>
        <v>-8.8392536012338384E-4</v>
      </c>
      <c r="L49" s="102">
        <f t="shared" si="137"/>
        <v>4.0339518515087304E-2</v>
      </c>
      <c r="M49" s="102" t="e">
        <f t="shared" si="137"/>
        <v>#DIV/0!</v>
      </c>
      <c r="N49" s="102">
        <f t="shared" si="137"/>
        <v>0.28228289878874974</v>
      </c>
      <c r="O49" s="102">
        <f>O48/O13</f>
        <v>1.5775051664482783E-2</v>
      </c>
      <c r="P49" s="102"/>
      <c r="Q49" s="102">
        <f t="shared" ref="Q49:U49" si="138">Q48/Q13</f>
        <v>4.3463093150290136E-2</v>
      </c>
      <c r="R49" s="102">
        <f t="shared" si="138"/>
        <v>7.5511800076465879E-2</v>
      </c>
      <c r="S49" s="102">
        <f t="shared" si="138"/>
        <v>6.2584469722331754E-2</v>
      </c>
      <c r="T49" s="102" t="e">
        <f t="shared" si="138"/>
        <v>#DIV/0!</v>
      </c>
      <c r="U49" s="102">
        <f t="shared" si="138"/>
        <v>0.29794356767097085</v>
      </c>
      <c r="V49" s="102">
        <f>V48/V13</f>
        <v>5.6398029703324117E-2</v>
      </c>
      <c r="W49" s="276"/>
      <c r="X49" s="102">
        <f t="shared" ref="X49:AB49" si="139">X48/X13</f>
        <v>2.5691969574986592E-2</v>
      </c>
      <c r="Y49" s="102">
        <f t="shared" si="139"/>
        <v>0.13207849826982682</v>
      </c>
      <c r="Z49" s="102">
        <f t="shared" si="139"/>
        <v>5.6816656433247743E-2</v>
      </c>
      <c r="AA49" s="102">
        <f t="shared" si="139"/>
        <v>0.19262222222222222</v>
      </c>
      <c r="AB49" s="102">
        <f t="shared" si="139"/>
        <v>0.40898748577929467</v>
      </c>
      <c r="AC49" s="102">
        <f>AC48/AC13</f>
        <v>5.298626136808493E-2</v>
      </c>
      <c r="AD49" s="276"/>
      <c r="AE49" s="102">
        <f t="shared" ref="AE49:AI49" si="140">AE48/AE13</f>
        <v>3.9023455720663687E-2</v>
      </c>
      <c r="AF49" s="102">
        <f t="shared" si="140"/>
        <v>7.6430944331590409E-2</v>
      </c>
      <c r="AG49" s="102">
        <f t="shared" si="140"/>
        <v>5.6924180701647717E-2</v>
      </c>
      <c r="AH49" s="102">
        <f t="shared" si="140"/>
        <v>0.20727014218009479</v>
      </c>
      <c r="AI49" s="102">
        <f t="shared" si="140"/>
        <v>0.40898748577929467</v>
      </c>
      <c r="AJ49" s="102">
        <f>AJ48/AJ13</f>
        <v>5.7526172702450036E-2</v>
      </c>
      <c r="AK49" s="276"/>
      <c r="AL49" s="276"/>
      <c r="AM49" s="102">
        <f t="shared" ref="AM49:AS49" si="141">AM48/AM13</f>
        <v>2.0539382465690668E-2</v>
      </c>
      <c r="AN49" s="102">
        <f t="shared" si="141"/>
        <v>6.8428043982796977E-2</v>
      </c>
      <c r="AO49" s="102">
        <f t="shared" si="141"/>
        <v>2.5521913050624734E-2</v>
      </c>
      <c r="AP49" s="102" t="e">
        <f t="shared" ref="AP49" si="142">AP48/AP13</f>
        <v>#DIV/0!</v>
      </c>
      <c r="AQ49" s="102">
        <f t="shared" si="141"/>
        <v>-0.35947222222222225</v>
      </c>
      <c r="AR49" s="102">
        <f t="shared" si="141"/>
        <v>0.40898748577929467</v>
      </c>
      <c r="AS49" s="102" t="e">
        <f t="shared" si="141"/>
        <v>#DIV/0!</v>
      </c>
      <c r="AT49" s="102">
        <f>AT48/AT13</f>
        <v>2.1263009599072992E-2</v>
      </c>
      <c r="AU49" s="276"/>
      <c r="AV49" s="102">
        <f t="shared" ref="AV49:BB49" si="143">AV48/AV13</f>
        <v>2.474212071521897E-2</v>
      </c>
      <c r="AW49" s="102">
        <f t="shared" si="143"/>
        <v>5.1078546066349623E-2</v>
      </c>
      <c r="AX49" s="102">
        <f t="shared" si="143"/>
        <v>3.453311228277637E-2</v>
      </c>
      <c r="AY49" s="102">
        <f t="shared" si="143"/>
        <v>-0.33561628597238352</v>
      </c>
      <c r="AZ49" s="102">
        <f t="shared" si="143"/>
        <v>-0.35947222222222225</v>
      </c>
      <c r="BA49" s="102">
        <f t="shared" si="143"/>
        <v>0.40898748577929467</v>
      </c>
      <c r="BB49" s="102">
        <f t="shared" si="143"/>
        <v>0.25868928571428573</v>
      </c>
      <c r="BC49" s="102">
        <f>BC48/BC13</f>
        <v>-2.3673814299767205E-2</v>
      </c>
      <c r="BD49" s="276"/>
      <c r="BE49" s="102">
        <f t="shared" ref="BE49:BK49" si="144">BE48/BE13</f>
        <v>2.8371972738698896E-2</v>
      </c>
      <c r="BF49" s="102">
        <f t="shared" si="144"/>
        <v>6.2901698335918119E-2</v>
      </c>
      <c r="BG49" s="102">
        <f t="shared" si="144"/>
        <v>5.4306326812449728E-2</v>
      </c>
      <c r="BH49" s="102">
        <f t="shared" si="144"/>
        <v>-5.1264226846185319E-2</v>
      </c>
      <c r="BI49" s="102">
        <f t="shared" si="144"/>
        <v>-0.35947222222222225</v>
      </c>
      <c r="BJ49" s="102">
        <f t="shared" si="144"/>
        <v>0.40898748577929467</v>
      </c>
      <c r="BK49" s="102">
        <f t="shared" si="144"/>
        <v>0.25868928571428573</v>
      </c>
      <c r="BL49" s="102">
        <f>BL48/BL13</f>
        <v>2.2096108094538838E-2</v>
      </c>
      <c r="BM49" s="276"/>
      <c r="BN49" s="102">
        <f t="shared" ref="BN49:BT49" si="145">BN48/BN13</f>
        <v>3.196284222004326E-2</v>
      </c>
      <c r="BO49" s="102">
        <f t="shared" si="145"/>
        <v>7.4506670338820247E-2</v>
      </c>
      <c r="BP49" s="102">
        <f t="shared" si="145"/>
        <v>7.3886755240032603E-2</v>
      </c>
      <c r="BQ49" s="102">
        <f t="shared" si="145"/>
        <v>0.13124169312169312</v>
      </c>
      <c r="BR49" s="102">
        <f t="shared" si="145"/>
        <v>-0.35947222222222225</v>
      </c>
      <c r="BS49" s="102">
        <f t="shared" si="145"/>
        <v>0.40898748577929467</v>
      </c>
      <c r="BT49" s="102">
        <f t="shared" si="145"/>
        <v>0.25868928571428573</v>
      </c>
      <c r="BU49" s="102">
        <f>BU48/BU13</f>
        <v>7.1352996778286909E-2</v>
      </c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</row>
    <row r="50" spans="1:98" s="111" customFormat="1" ht="15.75">
      <c r="A50" s="83"/>
      <c r="B50" s="97" t="s">
        <v>29</v>
      </c>
      <c r="C50" s="89">
        <f>'Probois 43 - P&amp;L'!C239</f>
        <v>-469</v>
      </c>
      <c r="D50" s="89"/>
      <c r="E50" s="89">
        <f>'BSB - P&amp;L'!C205</f>
        <v>-5114</v>
      </c>
      <c r="F50" s="89">
        <f>'SC des SUCS - P&amp;L'!C85</f>
        <v>2162</v>
      </c>
      <c r="G50" s="89"/>
      <c r="H50" s="88">
        <f t="shared" si="0"/>
        <v>-3421</v>
      </c>
      <c r="I50" s="89"/>
      <c r="J50" s="89">
        <f>'Probois 43 - P&amp;L'!D239</f>
        <v>1480</v>
      </c>
      <c r="K50" s="89">
        <f>'SAS EMB - P&amp;L'!C194</f>
        <v>-1014</v>
      </c>
      <c r="L50" s="89">
        <f>'BSB - P&amp;L'!D205</f>
        <v>-7016</v>
      </c>
      <c r="M50" s="89">
        <f>'SC des SUCS - P&amp;L'!D85</f>
        <v>24829</v>
      </c>
      <c r="N50" s="89">
        <f>'SCI - P&amp;L'!D70</f>
        <v>-996</v>
      </c>
      <c r="O50" s="88">
        <f t="shared" si="1"/>
        <v>17283</v>
      </c>
      <c r="P50" s="89"/>
      <c r="Q50" s="89">
        <f>'Probois 43 - P&amp;L'!E239</f>
        <v>2533</v>
      </c>
      <c r="R50" s="89">
        <f>'SAS EMB - P&amp;L'!D194</f>
        <v>747</v>
      </c>
      <c r="S50" s="89">
        <f>'BSB - P&amp;L'!E205</f>
        <v>-5632</v>
      </c>
      <c r="T50" s="89">
        <f>'SC des SUCS - P&amp;L'!E85</f>
        <v>102515</v>
      </c>
      <c r="U50" s="89">
        <f>'SCI - P&amp;L'!E70</f>
        <v>-1147</v>
      </c>
      <c r="V50" s="88">
        <f t="shared" si="2"/>
        <v>99016</v>
      </c>
      <c r="W50" s="89"/>
      <c r="X50" s="89">
        <f>'Probois 43 - P&amp;L'!F239</f>
        <v>18655</v>
      </c>
      <c r="Y50" s="89">
        <f>'SAS EMB - P&amp;L'!E194</f>
        <v>3693</v>
      </c>
      <c r="Z50" s="89">
        <f>'BSB - P&amp;L'!F205</f>
        <v>-19080</v>
      </c>
      <c r="AA50" s="89">
        <f>'SC des SUCS - P&amp;L'!F85</f>
        <v>-11751</v>
      </c>
      <c r="AB50" s="89">
        <f>'SCI - P&amp;L'!F70</f>
        <v>-4100</v>
      </c>
      <c r="AC50" s="88">
        <f t="shared" si="3"/>
        <v>-12583</v>
      </c>
      <c r="AD50" s="89"/>
      <c r="AE50" s="89">
        <f>'Probois 43 - P&amp;L'!G239</f>
        <v>25878</v>
      </c>
      <c r="AF50" s="89">
        <f>'SAS EMB - P&amp;L'!F194</f>
        <v>11566</v>
      </c>
      <c r="AG50" s="89">
        <f>'BSB - P&amp;L'!G205</f>
        <v>-33649</v>
      </c>
      <c r="AH50" s="89">
        <f>'SC des SUCS - P&amp;L (2)'!H85</f>
        <v>40699</v>
      </c>
      <c r="AI50" s="89">
        <f>'SCI - P&amp;L (2)'!H70</f>
        <v>-4100</v>
      </c>
      <c r="AJ50" s="88">
        <f t="shared" ref="AJ50:AJ51" si="146">SUM(AE50:AI50)</f>
        <v>40394</v>
      </c>
      <c r="AK50" s="88"/>
      <c r="AL50" s="89"/>
      <c r="AM50" s="89">
        <f>'Probois 43 - P&amp;L (2)'!I239</f>
        <v>12653</v>
      </c>
      <c r="AN50" s="89">
        <f>'SAS EMB - P&amp;L (2)'!H194</f>
        <v>7000</v>
      </c>
      <c r="AO50" s="89">
        <f>'BSB - P&amp;L (2)'!I205</f>
        <v>-30000</v>
      </c>
      <c r="AP50" s="89"/>
      <c r="AQ50" s="89">
        <f>'SC des SUCS - P&amp;L (2)'!I85</f>
        <v>-48740</v>
      </c>
      <c r="AR50" s="89">
        <f>'SCI - P&amp;L (2)'!I70</f>
        <v>-4100</v>
      </c>
      <c r="AS50" s="89"/>
      <c r="AT50" s="88">
        <f t="shared" ref="AT50:AT51" si="147">SUM(AM50:AS50)</f>
        <v>-63187</v>
      </c>
      <c r="AU50" s="89"/>
      <c r="AV50" s="89">
        <f>'Probois 43 - P&amp;L (2)'!J239</f>
        <v>13899</v>
      </c>
      <c r="AW50" s="89">
        <f>'SAS EMB - P&amp;L (2)'!I194</f>
        <v>7000</v>
      </c>
      <c r="AX50" s="89">
        <f>'BSB - P&amp;L (2)'!J205</f>
        <v>-27000</v>
      </c>
      <c r="AY50" s="89">
        <f>'Profilyss - P&amp;L (2)'!I137</f>
        <v>-73717</v>
      </c>
      <c r="AZ50" s="89">
        <f>'SC des SUCS - P&amp;L (2)'!J85</f>
        <v>-48244</v>
      </c>
      <c r="BA50" s="89">
        <f>'SCI - P&amp;L (2)'!J70</f>
        <v>-4100</v>
      </c>
      <c r="BB50" s="89">
        <f>'Antreuil - P&amp;L (2)'!J65</f>
        <v>-100490</v>
      </c>
      <c r="BC50" s="88">
        <f t="shared" ref="BC50:BC51" si="148">SUM(AV50:BB50)</f>
        <v>-232652</v>
      </c>
      <c r="BD50" s="89"/>
      <c r="BE50" s="89">
        <f>'Probois 43 - P&amp;L (2)'!K239</f>
        <v>14845</v>
      </c>
      <c r="BF50" s="89">
        <f>'SAS EMB - P&amp;L (2)'!J194</f>
        <v>7000</v>
      </c>
      <c r="BG50" s="89">
        <f>'BSB - P&amp;L (2)'!K205</f>
        <v>-23000</v>
      </c>
      <c r="BH50" s="89">
        <f>'Profilyss - P&amp;L (2)'!J137</f>
        <v>-65148</v>
      </c>
      <c r="BI50" s="89">
        <f>'SC des SUCS - P&amp;L (2)'!K85</f>
        <v>-47741</v>
      </c>
      <c r="BJ50" s="89">
        <f>'SCI - P&amp;L (2)'!K70</f>
        <v>-4100</v>
      </c>
      <c r="BK50" s="89">
        <f>'Antreuil - P&amp;L (2)'!K65</f>
        <v>-95289</v>
      </c>
      <c r="BL50" s="88">
        <f t="shared" ref="BL50:BL51" si="149">SUM(BE50:BK50)</f>
        <v>-213433</v>
      </c>
      <c r="BM50" s="89"/>
      <c r="BN50" s="89">
        <f>'Probois 43 - P&amp;L (2)'!L239</f>
        <v>15685</v>
      </c>
      <c r="BO50" s="89">
        <f>'SAS EMB - P&amp;L (2)'!K194</f>
        <v>7000</v>
      </c>
      <c r="BP50" s="89">
        <f>'BSB - P&amp;L (2)'!L205</f>
        <v>-20000</v>
      </c>
      <c r="BQ50" s="89">
        <f>'Profilyss - P&amp;L (2)'!K137</f>
        <v>-56247</v>
      </c>
      <c r="BR50" s="89">
        <f>'SC des SUCS - P&amp;L (2)'!L85</f>
        <v>-47234</v>
      </c>
      <c r="BS50" s="89">
        <f>'SCI - P&amp;L (2)'!L70</f>
        <v>-4100</v>
      </c>
      <c r="BT50" s="89">
        <f>'Antreuil - P&amp;L (2)'!L65</f>
        <v>-89878</v>
      </c>
      <c r="BU50" s="88">
        <f t="shared" ref="BU50:BU51" si="150">SUM(BN50:BT50)</f>
        <v>-194774</v>
      </c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</row>
    <row r="51" spans="1:98" s="96" customFormat="1" ht="15.75">
      <c r="A51" s="93"/>
      <c r="B51" s="100" t="s">
        <v>264</v>
      </c>
      <c r="C51" s="110">
        <f t="shared" ref="C51:G51" si="151">+C48+C50</f>
        <v>36393</v>
      </c>
      <c r="D51" s="110">
        <f t="shared" si="151"/>
        <v>0</v>
      </c>
      <c r="E51" s="110">
        <f t="shared" si="151"/>
        <v>28640</v>
      </c>
      <c r="F51" s="110">
        <f t="shared" si="151"/>
        <v>-549</v>
      </c>
      <c r="G51" s="110">
        <f t="shared" si="151"/>
        <v>0</v>
      </c>
      <c r="H51" s="110">
        <f t="shared" si="0"/>
        <v>64484</v>
      </c>
      <c r="I51" s="277"/>
      <c r="J51" s="110">
        <f t="shared" ref="J51:N51" si="152">+J48+J50</f>
        <v>35259</v>
      </c>
      <c r="K51" s="110">
        <f t="shared" si="152"/>
        <v>-1884</v>
      </c>
      <c r="L51" s="110">
        <f t="shared" si="152"/>
        <v>27383</v>
      </c>
      <c r="M51" s="110">
        <f t="shared" si="152"/>
        <v>21652</v>
      </c>
      <c r="N51" s="110">
        <f t="shared" si="152"/>
        <v>5879</v>
      </c>
      <c r="O51" s="110">
        <f t="shared" si="1"/>
        <v>88289</v>
      </c>
      <c r="P51" s="110"/>
      <c r="Q51" s="110">
        <f t="shared" ref="Q51:U51" si="153">+Q48+Q50</f>
        <v>149421</v>
      </c>
      <c r="R51" s="110">
        <f t="shared" si="153"/>
        <v>131100</v>
      </c>
      <c r="S51" s="110">
        <f t="shared" si="153"/>
        <v>95317</v>
      </c>
      <c r="T51" s="110">
        <f t="shared" si="153"/>
        <v>97195</v>
      </c>
      <c r="U51" s="110">
        <f t="shared" si="153"/>
        <v>6329</v>
      </c>
      <c r="V51" s="110">
        <f t="shared" si="2"/>
        <v>479362</v>
      </c>
      <c r="W51" s="277"/>
      <c r="X51" s="110">
        <f t="shared" ref="X51:AB51" si="154">+X48+X50</f>
        <v>144101</v>
      </c>
      <c r="Y51" s="110">
        <f t="shared" si="154"/>
        <v>174958</v>
      </c>
      <c r="Z51" s="110">
        <f t="shared" si="154"/>
        <v>92239</v>
      </c>
      <c r="AA51" s="110">
        <f t="shared" si="154"/>
        <v>5585</v>
      </c>
      <c r="AB51" s="110">
        <f t="shared" si="154"/>
        <v>8123</v>
      </c>
      <c r="AC51" s="110">
        <f t="shared" si="3"/>
        <v>425006</v>
      </c>
      <c r="AD51" s="277"/>
      <c r="AE51" s="110">
        <f t="shared" ref="AE51:AI51" si="155">+AE48+AE50</f>
        <v>166428</v>
      </c>
      <c r="AF51" s="110">
        <f t="shared" si="155"/>
        <v>115788</v>
      </c>
      <c r="AG51" s="110">
        <f t="shared" si="155"/>
        <v>83380</v>
      </c>
      <c r="AH51" s="110">
        <f t="shared" si="155"/>
        <v>84433</v>
      </c>
      <c r="AI51" s="110">
        <f t="shared" si="155"/>
        <v>8123</v>
      </c>
      <c r="AJ51" s="110">
        <f t="shared" si="146"/>
        <v>458152</v>
      </c>
      <c r="AK51" s="277"/>
      <c r="AL51" s="277"/>
      <c r="AM51" s="110">
        <f t="shared" ref="AM51:AS51" si="156">+AM48+AM50</f>
        <v>88869</v>
      </c>
      <c r="AN51" s="110">
        <f t="shared" si="156"/>
        <v>100316.34999999998</v>
      </c>
      <c r="AO51" s="110">
        <f t="shared" si="156"/>
        <v>24034.049999999814</v>
      </c>
      <c r="AP51" s="110">
        <f t="shared" ref="AP51" si="157">+AP48+AP50</f>
        <v>0</v>
      </c>
      <c r="AQ51" s="110">
        <f t="shared" si="156"/>
        <v>-126386</v>
      </c>
      <c r="AR51" s="110">
        <f t="shared" si="156"/>
        <v>8123</v>
      </c>
      <c r="AS51" s="110">
        <f t="shared" si="156"/>
        <v>0</v>
      </c>
      <c r="AT51" s="110">
        <f t="shared" si="147"/>
        <v>94956.39999999979</v>
      </c>
      <c r="AU51" s="277"/>
      <c r="AV51" s="110">
        <f t="shared" ref="AV51:BB51" si="158">+AV48+AV50</f>
        <v>110300.75999999978</v>
      </c>
      <c r="AW51" s="110">
        <f t="shared" si="158"/>
        <v>78049.695714285597</v>
      </c>
      <c r="AX51" s="110">
        <f t="shared" si="158"/>
        <v>53423.439999999944</v>
      </c>
      <c r="AY51" s="110">
        <f t="shared" si="158"/>
        <v>-555326.37037037034</v>
      </c>
      <c r="AZ51" s="110">
        <f t="shared" si="158"/>
        <v>-125890</v>
      </c>
      <c r="BA51" s="110">
        <f t="shared" si="158"/>
        <v>8123</v>
      </c>
      <c r="BB51" s="110">
        <f t="shared" si="158"/>
        <v>-28057</v>
      </c>
      <c r="BC51" s="110">
        <f t="shared" si="148"/>
        <v>-459376.47465608502</v>
      </c>
      <c r="BD51" s="277"/>
      <c r="BE51" s="110">
        <f t="shared" ref="BE51:BK51" si="159">+BE48+BE50</f>
        <v>130916.83999999985</v>
      </c>
      <c r="BF51" s="110">
        <f t="shared" si="159"/>
        <v>96245.495714285644</v>
      </c>
      <c r="BG51" s="110">
        <f t="shared" si="159"/>
        <v>109796.51000000001</v>
      </c>
      <c r="BH51" s="110">
        <f t="shared" si="159"/>
        <v>-175366.08771929843</v>
      </c>
      <c r="BI51" s="110">
        <f t="shared" si="159"/>
        <v>-125387</v>
      </c>
      <c r="BJ51" s="110">
        <f t="shared" si="159"/>
        <v>8123</v>
      </c>
      <c r="BK51" s="110">
        <f t="shared" si="159"/>
        <v>-22856</v>
      </c>
      <c r="BL51" s="110">
        <f t="shared" si="149"/>
        <v>21472.757994987071</v>
      </c>
      <c r="BM51" s="277"/>
      <c r="BN51" s="110">
        <f t="shared" ref="BN51:BT51" si="160">+BN48+BN50</f>
        <v>152985.47999999998</v>
      </c>
      <c r="BO51" s="110">
        <f t="shared" si="160"/>
        <v>114824.93571428559</v>
      </c>
      <c r="BP51" s="110">
        <f t="shared" si="160"/>
        <v>169710.82000000007</v>
      </c>
      <c r="BQ51" s="110">
        <f t="shared" si="160"/>
        <v>357164.33333333337</v>
      </c>
      <c r="BR51" s="110">
        <f t="shared" si="160"/>
        <v>-124880</v>
      </c>
      <c r="BS51" s="110">
        <f t="shared" si="160"/>
        <v>8123</v>
      </c>
      <c r="BT51" s="110">
        <f t="shared" si="160"/>
        <v>-17445</v>
      </c>
      <c r="BU51" s="110">
        <f t="shared" si="150"/>
        <v>660483.56904761901</v>
      </c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</row>
    <row r="52" spans="1:98" s="96" customFormat="1" ht="16.5" thickBot="1">
      <c r="A52" s="93"/>
      <c r="B52" s="101" t="s">
        <v>106</v>
      </c>
      <c r="C52" s="102">
        <f t="shared" ref="C52:G52" si="161">+C51/C13</f>
        <v>1.3745838156947987E-2</v>
      </c>
      <c r="D52" s="102" t="e">
        <f t="shared" si="161"/>
        <v>#DIV/0!</v>
      </c>
      <c r="E52" s="102">
        <f t="shared" si="161"/>
        <v>3.3430800926817598E-2</v>
      </c>
      <c r="F52" s="102" t="e">
        <f t="shared" si="161"/>
        <v>#DIV/0!</v>
      </c>
      <c r="G52" s="102" t="e">
        <f t="shared" si="161"/>
        <v>#DIV/0!</v>
      </c>
      <c r="H52" s="102">
        <f>+H51/H13</f>
        <v>1.8401602620810101E-2</v>
      </c>
      <c r="I52" s="276"/>
      <c r="J52" s="102">
        <f t="shared" ref="J52:N52" si="162">+J51/J13</f>
        <v>1.3356592494942837E-2</v>
      </c>
      <c r="K52" s="102">
        <f t="shared" si="162"/>
        <v>-1.9141556074396035E-3</v>
      </c>
      <c r="L52" s="102">
        <f t="shared" si="162"/>
        <v>3.2111893819548112E-2</v>
      </c>
      <c r="M52" s="102" t="e">
        <f t="shared" si="162"/>
        <v>#DIV/0!</v>
      </c>
      <c r="N52" s="102">
        <f t="shared" si="162"/>
        <v>0.24138780537877233</v>
      </c>
      <c r="O52" s="102">
        <f>+O51/O13</f>
        <v>1.9614730253859118E-2</v>
      </c>
      <c r="P52" s="102"/>
      <c r="Q52" s="102">
        <f t="shared" ref="Q52:U52" si="163">+Q51/Q13</f>
        <v>4.4212589466869331E-2</v>
      </c>
      <c r="R52" s="102">
        <f t="shared" si="163"/>
        <v>7.5944527475583057E-2</v>
      </c>
      <c r="S52" s="102">
        <f t="shared" si="163"/>
        <v>5.9092847878864527E-2</v>
      </c>
      <c r="T52" s="102" t="e">
        <f t="shared" si="163"/>
        <v>#DIV/0!</v>
      </c>
      <c r="U52" s="102">
        <f t="shared" si="163"/>
        <v>0.2522317870237526</v>
      </c>
      <c r="V52" s="102">
        <f>+V51/V13</f>
        <v>7.1080206745029142E-2</v>
      </c>
      <c r="W52" s="276"/>
      <c r="X52" s="102">
        <f t="shared" ref="X52:AB52" si="164">+X51/X13</f>
        <v>2.9512607079740627E-2</v>
      </c>
      <c r="Y52" s="102">
        <f t="shared" si="164"/>
        <v>0.13492651680315509</v>
      </c>
      <c r="Z52" s="102">
        <f t="shared" si="164"/>
        <v>4.7078320616842931E-2</v>
      </c>
      <c r="AA52" s="102">
        <f t="shared" si="164"/>
        <v>6.2055555555555558E-2</v>
      </c>
      <c r="AB52" s="102">
        <f t="shared" si="164"/>
        <v>0.2717995047848491</v>
      </c>
      <c r="AC52" s="102">
        <f>+AC51/AC13</f>
        <v>5.1462625886400944E-2</v>
      </c>
      <c r="AD52" s="276"/>
      <c r="AE52" s="102">
        <f t="shared" ref="AE52:AI52" si="165">+AE51/AE13</f>
        <v>4.6208436063170523E-2</v>
      </c>
      <c r="AF52" s="102">
        <f t="shared" si="165"/>
        <v>8.491284164827187E-2</v>
      </c>
      <c r="AG52" s="102">
        <f t="shared" si="165"/>
        <v>4.0556940475466652E-2</v>
      </c>
      <c r="AH52" s="102">
        <f t="shared" si="165"/>
        <v>0.4001563981042654</v>
      </c>
      <c r="AI52" s="102">
        <f t="shared" si="165"/>
        <v>0.2717995047848491</v>
      </c>
      <c r="AJ52" s="102">
        <f>+AJ51/AJ13</f>
        <v>6.3088513148695874E-2</v>
      </c>
      <c r="AK52" s="276"/>
      <c r="AL52" s="276"/>
      <c r="AM52" s="102">
        <f t="shared" ref="AM52:AS52" si="166">+AM51/AM13</f>
        <v>2.3949228250544029E-2</v>
      </c>
      <c r="AN52" s="102">
        <f t="shared" si="166"/>
        <v>7.3561081310977716E-2</v>
      </c>
      <c r="AO52" s="102">
        <f t="shared" si="166"/>
        <v>1.1352007379686786E-2</v>
      </c>
      <c r="AP52" s="102" t="e">
        <f t="shared" ref="AP52" si="167">+AP51/AP13</f>
        <v>#DIV/0!</v>
      </c>
      <c r="AQ52" s="102">
        <f t="shared" si="166"/>
        <v>-0.58512037037037035</v>
      </c>
      <c r="AR52" s="102">
        <f t="shared" si="166"/>
        <v>0.2717995047848491</v>
      </c>
      <c r="AS52" s="102" t="e">
        <f t="shared" si="166"/>
        <v>#DIV/0!</v>
      </c>
      <c r="AT52" s="102">
        <f>+AT51/AT13</f>
        <v>1.2767265941502541E-2</v>
      </c>
      <c r="AU52" s="276"/>
      <c r="AV52" s="102">
        <f t="shared" ref="AV52:BB52" si="168">+AV51/AV13</f>
        <v>2.8309386871156673E-2</v>
      </c>
      <c r="AW52" s="102">
        <f t="shared" si="168"/>
        <v>5.611093668913672E-2</v>
      </c>
      <c r="AX52" s="102">
        <f t="shared" si="168"/>
        <v>2.2939551604012034E-2</v>
      </c>
      <c r="AY52" s="102">
        <f t="shared" si="168"/>
        <v>-0.38698701767970056</v>
      </c>
      <c r="AZ52" s="102">
        <f t="shared" si="168"/>
        <v>-0.58282407407407411</v>
      </c>
      <c r="BA52" s="102">
        <f t="shared" si="168"/>
        <v>0.2717995047848491</v>
      </c>
      <c r="BB52" s="102">
        <f t="shared" si="168"/>
        <v>-0.10020357142857143</v>
      </c>
      <c r="BC52" s="102">
        <f>+BC51/BC13</f>
        <v>-4.7966561048101632E-2</v>
      </c>
      <c r="BD52" s="276"/>
      <c r="BE52" s="102">
        <f t="shared" ref="BE52:BK52" si="169">+BE51/BE13</f>
        <v>3.2000604242308953E-2</v>
      </c>
      <c r="BF52" s="102">
        <f t="shared" si="169"/>
        <v>6.7835413867747982E-2</v>
      </c>
      <c r="BG52" s="102">
        <f t="shared" si="169"/>
        <v>4.4900616401187088E-2</v>
      </c>
      <c r="BH52" s="102">
        <f t="shared" si="169"/>
        <v>-8.156562219502253E-2</v>
      </c>
      <c r="BI52" s="102">
        <f t="shared" si="169"/>
        <v>-0.58049537037037036</v>
      </c>
      <c r="BJ52" s="102">
        <f t="shared" si="169"/>
        <v>0.2717995047848491</v>
      </c>
      <c r="BK52" s="102">
        <f t="shared" si="169"/>
        <v>-8.1628571428571425E-2</v>
      </c>
      <c r="BL52" s="102">
        <f>+BL51/BL13</f>
        <v>2.0198073720918857E-3</v>
      </c>
      <c r="BM52" s="276"/>
      <c r="BN52" s="102">
        <f t="shared" ref="BN52:BT52" si="170">+BN51/BN13</f>
        <v>3.5614229165095296E-2</v>
      </c>
      <c r="BO52" s="102">
        <f t="shared" si="170"/>
        <v>7.9343646952038327E-2</v>
      </c>
      <c r="BP52" s="102">
        <f t="shared" si="170"/>
        <v>6.6097346576885971E-2</v>
      </c>
      <c r="BQ52" s="102">
        <f t="shared" si="170"/>
        <v>0.11338550264550266</v>
      </c>
      <c r="BR52" s="102">
        <f t="shared" si="170"/>
        <v>-0.57814814814814819</v>
      </c>
      <c r="BS52" s="102">
        <f t="shared" si="170"/>
        <v>0.2717995047848491</v>
      </c>
      <c r="BT52" s="102">
        <f t="shared" si="170"/>
        <v>-6.230357142857143E-2</v>
      </c>
      <c r="BU52" s="102">
        <f>+BU51/BU13</f>
        <v>5.5103262081439973E-2</v>
      </c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</row>
    <row r="53" spans="1:98" ht="15.75">
      <c r="A53" s="83"/>
      <c r="B53" s="97" t="s">
        <v>30</v>
      </c>
      <c r="C53" s="89">
        <f>'Probois 43 - P&amp;L'!C255</f>
        <v>0</v>
      </c>
      <c r="D53" s="89"/>
      <c r="E53" s="89">
        <f>'BSB - P&amp;L'!C221</f>
        <v>9047</v>
      </c>
      <c r="F53" s="89">
        <f>'SC des SUCS - P&amp;L'!C101</f>
        <v>0</v>
      </c>
      <c r="G53" s="89"/>
      <c r="H53" s="88">
        <f t="shared" si="0"/>
        <v>9047</v>
      </c>
      <c r="I53" s="89"/>
      <c r="J53" s="89">
        <f>'Probois 43 - P&amp;L'!D255</f>
        <v>0</v>
      </c>
      <c r="K53" s="89">
        <f>'SAS EMB - P&amp;L'!C207</f>
        <v>0</v>
      </c>
      <c r="L53" s="89">
        <f>'BSB - P&amp;L'!D221</f>
        <v>4392</v>
      </c>
      <c r="M53" s="89">
        <f>'SC des SUCS - P&amp;L'!D101</f>
        <v>0</v>
      </c>
      <c r="N53" s="89">
        <f>'SCI - P&amp;L'!D79</f>
        <v>0</v>
      </c>
      <c r="O53" s="88">
        <f t="shared" si="1"/>
        <v>4392</v>
      </c>
      <c r="P53" s="89"/>
      <c r="Q53" s="89">
        <f>'Probois 43 - P&amp;L'!E255</f>
        <v>-1229</v>
      </c>
      <c r="R53" s="89">
        <f>'SAS EMB - P&amp;L'!D207</f>
        <v>2548</v>
      </c>
      <c r="S53" s="89">
        <f>'BSB - P&amp;L'!E221</f>
        <v>13764</v>
      </c>
      <c r="T53" s="89">
        <f>'SC des SUCS - P&amp;L'!E101</f>
        <v>0</v>
      </c>
      <c r="U53" s="89">
        <f>'SCI - P&amp;L'!E79</f>
        <v>0</v>
      </c>
      <c r="V53" s="88">
        <f t="shared" si="2"/>
        <v>15083</v>
      </c>
      <c r="W53" s="89"/>
      <c r="X53" s="89">
        <f>'Probois 43 - P&amp;L'!F255</f>
        <v>25469</v>
      </c>
      <c r="Y53" s="89">
        <f>'SAS EMB - P&amp;L'!E207</f>
        <v>-877</v>
      </c>
      <c r="Z53" s="89">
        <f>'BSB - P&amp;L'!F221</f>
        <v>5636</v>
      </c>
      <c r="AA53" s="89">
        <f>'SC des SUCS - P&amp;L'!F101</f>
        <v>106515</v>
      </c>
      <c r="AB53" s="89">
        <f>'SCI - P&amp;L'!F79</f>
        <v>0</v>
      </c>
      <c r="AC53" s="88">
        <f t="shared" si="3"/>
        <v>136743</v>
      </c>
      <c r="AD53" s="89"/>
      <c r="AE53" s="89">
        <f>'Probois 43 - P&amp;L'!G255</f>
        <v>10750</v>
      </c>
      <c r="AF53" s="89">
        <f>'SAS EMB - P&amp;L'!F207</f>
        <v>0</v>
      </c>
      <c r="AG53" s="89">
        <f>'BSB - P&amp;L'!G221</f>
        <v>32819</v>
      </c>
      <c r="AH53" s="89">
        <f>'SC des SUCS - P&amp;L (2)'!H103</f>
        <v>0</v>
      </c>
      <c r="AI53" s="89">
        <v>0</v>
      </c>
      <c r="AJ53" s="88">
        <f t="shared" ref="AJ53:AJ56" si="171">SUM(AE53:AI53)</f>
        <v>43569</v>
      </c>
      <c r="AK53" s="88"/>
      <c r="AL53" s="89"/>
      <c r="AM53" s="89">
        <f>'Probois 43 - P&amp;L (2)'!I255</f>
        <v>0</v>
      </c>
      <c r="AN53" s="89">
        <v>0</v>
      </c>
      <c r="AO53" s="89">
        <f>'BSB - P&amp;L (2)'!I221</f>
        <v>10570</v>
      </c>
      <c r="AP53" s="89"/>
      <c r="AQ53" s="89">
        <v>0</v>
      </c>
      <c r="AR53" s="89">
        <v>0</v>
      </c>
      <c r="AS53" s="89"/>
      <c r="AT53" s="88">
        <f t="shared" ref="AT53:AT56" si="172">SUM(AM53:AS53)</f>
        <v>10570</v>
      </c>
      <c r="AU53" s="89"/>
      <c r="AV53" s="89">
        <v>0</v>
      </c>
      <c r="AW53" s="89">
        <v>0</v>
      </c>
      <c r="AX53" s="89">
        <f>'BSB - P&amp;L (2)'!J221</f>
        <v>10570</v>
      </c>
      <c r="AY53" s="89">
        <f>'Profilyss - P&amp;L (2)'!I145</f>
        <v>85714.28571428571</v>
      </c>
      <c r="AZ53" s="89">
        <v>0</v>
      </c>
      <c r="BA53" s="89">
        <v>0</v>
      </c>
      <c r="BB53" s="89">
        <f>'Antreuil - P&amp;L (2)'!J72</f>
        <v>40000</v>
      </c>
      <c r="BC53" s="88">
        <f t="shared" ref="BC53:BC56" si="173">SUM(AV53:BB53)</f>
        <v>136284.28571428571</v>
      </c>
      <c r="BD53" s="89"/>
      <c r="BE53" s="89">
        <v>0</v>
      </c>
      <c r="BF53" s="89">
        <v>0</v>
      </c>
      <c r="BG53" s="89">
        <f>'BSB - P&amp;L (2)'!K221</f>
        <v>10570</v>
      </c>
      <c r="BH53" s="89">
        <f>'Profilyss - P&amp;L (2)'!J145</f>
        <v>85714.28571428571</v>
      </c>
      <c r="BI53" s="89">
        <v>0</v>
      </c>
      <c r="BJ53" s="89">
        <v>0</v>
      </c>
      <c r="BK53" s="89">
        <f>'Antreuil - P&amp;L (2)'!K72</f>
        <v>40000</v>
      </c>
      <c r="BL53" s="88">
        <f t="shared" ref="BL53:BL56" si="174">SUM(BE53:BK53)</f>
        <v>136284.28571428571</v>
      </c>
      <c r="BM53" s="89"/>
      <c r="BN53" s="89">
        <v>0</v>
      </c>
      <c r="BO53" s="89">
        <v>0</v>
      </c>
      <c r="BP53" s="89">
        <f>'BSB - P&amp;L (2)'!L221</f>
        <v>10570</v>
      </c>
      <c r="BQ53" s="89">
        <f>'Profilyss - P&amp;L (2)'!K145</f>
        <v>85714.28571428571</v>
      </c>
      <c r="BR53" s="89">
        <v>0</v>
      </c>
      <c r="BS53" s="89">
        <v>0</v>
      </c>
      <c r="BT53" s="89">
        <f>'Antreuil - P&amp;L (2)'!L72</f>
        <v>40000</v>
      </c>
      <c r="BU53" s="88">
        <f t="shared" ref="BU53:BU56" si="175">SUM(BN53:BT53)</f>
        <v>136284.28571428571</v>
      </c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</row>
    <row r="54" spans="1:98" ht="15.75">
      <c r="A54" s="83"/>
      <c r="B54" s="83" t="s">
        <v>259</v>
      </c>
      <c r="C54" s="89">
        <f>'Probois 43 - P&amp;L'!C265</f>
        <v>-11599</v>
      </c>
      <c r="D54" s="89"/>
      <c r="E54" s="89">
        <f>'BSB - P&amp;L'!C232</f>
        <v>-5684</v>
      </c>
      <c r="F54" s="89">
        <f>'SC des SUCS - P&amp;L'!C109</f>
        <v>0</v>
      </c>
      <c r="G54" s="89"/>
      <c r="H54" s="88">
        <f t="shared" si="0"/>
        <v>-17283</v>
      </c>
      <c r="I54" s="89"/>
      <c r="J54" s="89">
        <f>'Probois 43 - P&amp;L'!D265</f>
        <v>-9151</v>
      </c>
      <c r="K54" s="89">
        <f>'SAS EMB - P&amp;L'!C214</f>
        <v>0</v>
      </c>
      <c r="L54" s="89">
        <f>'BSB - P&amp;L'!D232</f>
        <v>-4767</v>
      </c>
      <c r="M54" s="89">
        <f>'SC des SUCS - P&amp;L'!D109</f>
        <v>-253</v>
      </c>
      <c r="N54" s="89">
        <f>'SCI - P&amp;L'!D83</f>
        <v>0</v>
      </c>
      <c r="O54" s="88">
        <f t="shared" si="1"/>
        <v>-14171</v>
      </c>
      <c r="P54" s="89"/>
      <c r="Q54" s="89">
        <f>'Probois 43 - P&amp;L'!E265</f>
        <v>-38086</v>
      </c>
      <c r="R54" s="89">
        <f>'SAS EMB - P&amp;L'!D214</f>
        <v>-28374</v>
      </c>
      <c r="S54" s="89">
        <f>'BSB - P&amp;L'!E232</f>
        <v>-24523</v>
      </c>
      <c r="T54" s="89">
        <f>'SC des SUCS - P&amp;L'!E109</f>
        <v>0</v>
      </c>
      <c r="U54" s="89">
        <f>'SCI - P&amp;L'!E83</f>
        <v>0</v>
      </c>
      <c r="V54" s="88">
        <f t="shared" si="2"/>
        <v>-90983</v>
      </c>
      <c r="W54" s="89"/>
      <c r="X54" s="89">
        <f>'Probois 43 - P&amp;L'!F265</f>
        <v>-40979</v>
      </c>
      <c r="Y54" s="89">
        <f>'SAS EMB - P&amp;L'!E214</f>
        <v>-43013</v>
      </c>
      <c r="Z54" s="89">
        <f>'BSB - P&amp;L'!F232</f>
        <v>-20079</v>
      </c>
      <c r="AA54" s="89">
        <f>'SC des SUCS - P&amp;L'!F109</f>
        <v>-2386</v>
      </c>
      <c r="AB54" s="89">
        <f>'SCI - P&amp;L'!F83</f>
        <v>0</v>
      </c>
      <c r="AC54" s="88">
        <f t="shared" si="3"/>
        <v>-106457</v>
      </c>
      <c r="AD54" s="89"/>
      <c r="AE54" s="89">
        <f>'Probois 43 - P&amp;L'!G266</f>
        <v>-40815</v>
      </c>
      <c r="AF54" s="89">
        <f>'SAS EMB - P&amp;L'!F214</f>
        <v>-24801</v>
      </c>
      <c r="AG54" s="89">
        <f>'BSB - P&amp;L'!G232</f>
        <v>-24799</v>
      </c>
      <c r="AH54" s="89">
        <f>'SC des SUCS - P&amp;L (2)'!H111</f>
        <v>-5540</v>
      </c>
      <c r="AI54" s="89">
        <v>0</v>
      </c>
      <c r="AJ54" s="88">
        <f t="shared" si="171"/>
        <v>-95955</v>
      </c>
      <c r="AK54" s="88"/>
      <c r="AL54" s="89"/>
      <c r="AM54" s="89">
        <f>'Probois 43 - P&amp;L (2)'!I265</f>
        <v>-17967.25</v>
      </c>
      <c r="AN54" s="89">
        <f>'SAS EMB - P&amp;L (2)'!H214</f>
        <v>-20829.087499999994</v>
      </c>
      <c r="AO54" s="89">
        <f>'BSB - P&amp;L (2)'!I232</f>
        <v>-3605.1074999999896</v>
      </c>
      <c r="AP54" s="89"/>
      <c r="AQ54" s="89">
        <f>'SC des SUCS - P&amp;L (2)'!I111</f>
        <v>0</v>
      </c>
      <c r="AR54" s="89">
        <v>0</v>
      </c>
      <c r="AS54" s="89"/>
      <c r="AT54" s="88">
        <f t="shared" si="172"/>
        <v>-42401.444999999985</v>
      </c>
      <c r="AU54" s="89"/>
      <c r="AV54" s="89">
        <f>'Probois 43 - P&amp;L (2)'!J265</f>
        <v>-23325.190000000002</v>
      </c>
      <c r="AW54" s="89">
        <f>'SAS EMB - P&amp;L (2)'!I214</f>
        <v>-15262.423928571399</v>
      </c>
      <c r="AX54" s="89">
        <f>'BSB - P&amp;L (2)'!J232</f>
        <v>-9105.859999999986</v>
      </c>
      <c r="AY54" s="89">
        <v>0</v>
      </c>
      <c r="AZ54" s="89">
        <f>'SC des SUCS - P&amp;L (2)'!K111</f>
        <v>0</v>
      </c>
      <c r="BA54" s="89">
        <v>0</v>
      </c>
      <c r="BB54" s="89"/>
      <c r="BC54" s="88">
        <f t="shared" si="173"/>
        <v>-47693.473928571388</v>
      </c>
      <c r="BD54" s="89"/>
      <c r="BE54" s="89">
        <f>'Probois 43 - P&amp;L (2)'!K265</f>
        <v>-28479.209999999992</v>
      </c>
      <c r="BF54" s="89">
        <f>'SAS EMB - P&amp;L (2)'!J214</f>
        <v>-19811.373928571411</v>
      </c>
      <c r="BG54" s="89">
        <f>'BSB - P&amp;L (2)'!K232</f>
        <v>-23199.127500000002</v>
      </c>
      <c r="BH54" s="89">
        <v>0</v>
      </c>
      <c r="BI54" s="89">
        <f>'SC des SUCS - P&amp;L (2)'!K111</f>
        <v>0</v>
      </c>
      <c r="BJ54" s="89">
        <v>0</v>
      </c>
      <c r="BK54" s="89"/>
      <c r="BL54" s="88">
        <f t="shared" si="174"/>
        <v>-71489.711428571405</v>
      </c>
      <c r="BM54" s="89"/>
      <c r="BN54" s="89">
        <f>'Probois 43 - P&amp;L (2)'!L265</f>
        <v>-33996.369999999995</v>
      </c>
      <c r="BO54" s="89">
        <f>'SAS EMB - P&amp;L (2)'!K214</f>
        <v>-24456.233928571397</v>
      </c>
      <c r="BP54" s="89">
        <f>'BSB - P&amp;L (2)'!L232</f>
        <v>-38177.705000000016</v>
      </c>
      <c r="BQ54" s="89">
        <v>0</v>
      </c>
      <c r="BR54" s="89">
        <f>'SC des SUCS - P&amp;L (2)'!L111</f>
        <v>0</v>
      </c>
      <c r="BS54" s="89">
        <v>0</v>
      </c>
      <c r="BT54" s="89"/>
      <c r="BU54" s="88">
        <f t="shared" si="175"/>
        <v>-96630.308928571409</v>
      </c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</row>
    <row r="55" spans="1:98" ht="15.75" outlineLevel="1">
      <c r="A55" s="83"/>
      <c r="B55" s="212" t="s">
        <v>265</v>
      </c>
      <c r="C55" s="89">
        <f>'Probois 43 - P&amp;L'!C269</f>
        <v>1</v>
      </c>
      <c r="D55" s="89"/>
      <c r="E55" s="89">
        <f>'BSB - P&amp;L'!C236</f>
        <v>3</v>
      </c>
      <c r="F55" s="89"/>
      <c r="G55" s="89"/>
      <c r="H55" s="88">
        <f t="shared" si="0"/>
        <v>4</v>
      </c>
      <c r="I55" s="89"/>
      <c r="J55" s="89">
        <f>'Probois 43 - P&amp;L'!D269</f>
        <v>3</v>
      </c>
      <c r="K55" s="89">
        <f>'SAS EMB - P&amp;L'!C218</f>
        <v>-4</v>
      </c>
      <c r="L55" s="89">
        <f>'BSB - P&amp;L'!D236</f>
        <v>7</v>
      </c>
      <c r="M55" s="89">
        <f>'SC des SUCS - P&amp;L'!D112</f>
        <v>-1</v>
      </c>
      <c r="N55" s="89"/>
      <c r="O55" s="88">
        <f t="shared" si="1"/>
        <v>5</v>
      </c>
      <c r="P55" s="89"/>
      <c r="Q55" s="89">
        <f>'Probois 43 - P&amp;L'!E269</f>
        <v>6</v>
      </c>
      <c r="R55" s="89">
        <f>'SAS EMB - P&amp;L'!D218</f>
        <v>-1</v>
      </c>
      <c r="S55" s="89">
        <f>'BSB - P&amp;L'!E236</f>
        <v>3</v>
      </c>
      <c r="T55" s="89">
        <f>'SC des SUCS - P&amp;L'!E112</f>
        <v>1</v>
      </c>
      <c r="U55" s="89">
        <f>'SCI - P&amp;L'!E86</f>
        <v>-1</v>
      </c>
      <c r="V55" s="88">
        <f t="shared" si="2"/>
        <v>8</v>
      </c>
      <c r="W55" s="89"/>
      <c r="X55" s="89">
        <f>'Probois 43 - P&amp;L'!F269</f>
        <v>2</v>
      </c>
      <c r="Y55" s="89">
        <f>'SAS EMB - P&amp;L'!E218</f>
        <v>-3</v>
      </c>
      <c r="Z55" s="89">
        <f>'BSB - P&amp;L'!F236</f>
        <v>-1</v>
      </c>
      <c r="AA55" s="89">
        <f>'SC des SUCS - P&amp;L'!F112</f>
        <v>-1</v>
      </c>
      <c r="AB55" s="89">
        <f>'SCI - P&amp;L'!F86</f>
        <v>2</v>
      </c>
      <c r="AC55" s="88">
        <f t="shared" si="3"/>
        <v>-1</v>
      </c>
      <c r="AD55" s="89"/>
      <c r="AE55" s="89">
        <f>'Probois 43 - P&amp;L'!G269</f>
        <v>7</v>
      </c>
      <c r="AF55" s="89">
        <v>12</v>
      </c>
      <c r="AG55" s="89">
        <v>-2</v>
      </c>
      <c r="AH55" s="89"/>
      <c r="AI55" s="89">
        <v>2</v>
      </c>
      <c r="AJ55" s="88">
        <f t="shared" si="171"/>
        <v>19</v>
      </c>
      <c r="AK55" s="88"/>
      <c r="AL55" s="89"/>
      <c r="AM55" s="89"/>
      <c r="AN55" s="89"/>
      <c r="AO55" s="89"/>
      <c r="AP55" s="89"/>
      <c r="AQ55" s="89"/>
      <c r="AR55" s="89">
        <v>2</v>
      </c>
      <c r="AS55" s="89"/>
      <c r="AT55" s="88">
        <f t="shared" si="172"/>
        <v>2</v>
      </c>
      <c r="AU55" s="89"/>
      <c r="AV55" s="89"/>
      <c r="AW55" s="89"/>
      <c r="AX55" s="89"/>
      <c r="AY55" s="89"/>
      <c r="AZ55" s="89"/>
      <c r="BA55" s="89">
        <v>2</v>
      </c>
      <c r="BB55" s="89"/>
      <c r="BC55" s="88">
        <f t="shared" si="173"/>
        <v>2</v>
      </c>
      <c r="BD55" s="89"/>
      <c r="BE55" s="89"/>
      <c r="BF55" s="89"/>
      <c r="BG55" s="89"/>
      <c r="BH55" s="89"/>
      <c r="BI55" s="89"/>
      <c r="BJ55" s="89">
        <v>2</v>
      </c>
      <c r="BK55" s="89"/>
      <c r="BL55" s="88">
        <f t="shared" si="174"/>
        <v>2</v>
      </c>
      <c r="BM55" s="89"/>
      <c r="BN55" s="89"/>
      <c r="BO55" s="89"/>
      <c r="BP55" s="89"/>
      <c r="BQ55" s="89"/>
      <c r="BR55" s="89"/>
      <c r="BS55" s="89">
        <v>2</v>
      </c>
      <c r="BT55" s="89"/>
      <c r="BU55" s="88">
        <f t="shared" si="175"/>
        <v>2</v>
      </c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</row>
    <row r="56" spans="1:98" ht="15.75">
      <c r="A56" s="83"/>
      <c r="B56" s="100" t="s">
        <v>32</v>
      </c>
      <c r="C56" s="182">
        <f>C48+C50+C53+C54+C55</f>
        <v>24795</v>
      </c>
      <c r="D56" s="182">
        <f t="shared" ref="D56:G56" si="176">D48+D50+D53+D54+D55</f>
        <v>0</v>
      </c>
      <c r="E56" s="182">
        <f>E48+E50+E53+E54+E55</f>
        <v>32006</v>
      </c>
      <c r="F56" s="182">
        <f>F48+F50+F53+F54+F55</f>
        <v>-549</v>
      </c>
      <c r="G56" s="182">
        <f t="shared" si="176"/>
        <v>0</v>
      </c>
      <c r="H56" s="182">
        <f t="shared" si="0"/>
        <v>56252</v>
      </c>
      <c r="I56" s="277"/>
      <c r="J56" s="182">
        <f t="shared" ref="J56:N56" si="177">J48+J50+J53+J54+J55</f>
        <v>26111</v>
      </c>
      <c r="K56" s="182">
        <f t="shared" si="177"/>
        <v>-1888</v>
      </c>
      <c r="L56" s="182">
        <f t="shared" si="177"/>
        <v>27015</v>
      </c>
      <c r="M56" s="182">
        <f t="shared" si="177"/>
        <v>21398</v>
      </c>
      <c r="N56" s="182">
        <f t="shared" si="177"/>
        <v>5879</v>
      </c>
      <c r="O56" s="182">
        <f t="shared" si="1"/>
        <v>78515</v>
      </c>
      <c r="P56" s="110"/>
      <c r="Q56" s="182">
        <f t="shared" ref="Q56:U56" si="178">Q48+Q50+Q53+Q54+Q55</f>
        <v>110112</v>
      </c>
      <c r="R56" s="182">
        <f t="shared" si="178"/>
        <v>105273</v>
      </c>
      <c r="S56" s="182">
        <f t="shared" si="178"/>
        <v>84561</v>
      </c>
      <c r="T56" s="182">
        <f t="shared" si="178"/>
        <v>97196</v>
      </c>
      <c r="U56" s="182">
        <f t="shared" si="178"/>
        <v>6328</v>
      </c>
      <c r="V56" s="182">
        <f t="shared" si="2"/>
        <v>403470</v>
      </c>
      <c r="W56" s="277"/>
      <c r="X56" s="182">
        <f t="shared" ref="X56:AB56" si="179">X48+X50+X53+X54+X55</f>
        <v>128593</v>
      </c>
      <c r="Y56" s="182">
        <f t="shared" si="179"/>
        <v>131065</v>
      </c>
      <c r="Z56" s="182">
        <f t="shared" si="179"/>
        <v>77795</v>
      </c>
      <c r="AA56" s="182">
        <f t="shared" si="179"/>
        <v>109713</v>
      </c>
      <c r="AB56" s="182">
        <f t="shared" si="179"/>
        <v>8125</v>
      </c>
      <c r="AC56" s="182">
        <f t="shared" si="3"/>
        <v>455291</v>
      </c>
      <c r="AD56" s="277"/>
      <c r="AE56" s="182">
        <f t="shared" ref="AE56:AI56" si="180">AE48+AE50+AE53+AE54+AE55</f>
        <v>136370</v>
      </c>
      <c r="AF56" s="182">
        <f t="shared" si="180"/>
        <v>90999</v>
      </c>
      <c r="AG56" s="182">
        <f t="shared" si="180"/>
        <v>91398</v>
      </c>
      <c r="AH56" s="182">
        <f t="shared" si="180"/>
        <v>78893</v>
      </c>
      <c r="AI56" s="182">
        <f t="shared" si="180"/>
        <v>8125</v>
      </c>
      <c r="AJ56" s="182">
        <f t="shared" si="171"/>
        <v>405785</v>
      </c>
      <c r="AK56" s="277"/>
      <c r="AL56" s="277"/>
      <c r="AM56" s="182">
        <f t="shared" ref="AM56:AS56" si="181">AM48+AM50+AM53+AM54+AM55</f>
        <v>70901.75</v>
      </c>
      <c r="AN56" s="182">
        <f t="shared" si="181"/>
        <v>79487.262499999983</v>
      </c>
      <c r="AO56" s="182">
        <f t="shared" si="181"/>
        <v>30998.942499999823</v>
      </c>
      <c r="AP56" s="182">
        <f t="shared" ref="AP56" si="182">AP48+AP50+AP53+AP54+AP55</f>
        <v>0</v>
      </c>
      <c r="AQ56" s="182">
        <f t="shared" si="181"/>
        <v>-126386</v>
      </c>
      <c r="AR56" s="182">
        <f t="shared" si="181"/>
        <v>8125</v>
      </c>
      <c r="AS56" s="182">
        <f t="shared" si="181"/>
        <v>0</v>
      </c>
      <c r="AT56" s="182">
        <f t="shared" si="172"/>
        <v>63126.954999999813</v>
      </c>
      <c r="AU56" s="277"/>
      <c r="AV56" s="182">
        <f t="shared" ref="AV56:BB56" si="183">AV48+AV50+AV53+AV54+AV55</f>
        <v>86975.569999999774</v>
      </c>
      <c r="AW56" s="182">
        <f t="shared" si="183"/>
        <v>62787.271785714198</v>
      </c>
      <c r="AX56" s="182">
        <f t="shared" si="183"/>
        <v>54887.579999999958</v>
      </c>
      <c r="AY56" s="182">
        <f t="shared" si="183"/>
        <v>-469612.08465608465</v>
      </c>
      <c r="AZ56" s="182">
        <f t="shared" si="183"/>
        <v>-125890</v>
      </c>
      <c r="BA56" s="182">
        <f t="shared" si="183"/>
        <v>8125</v>
      </c>
      <c r="BB56" s="182">
        <f t="shared" si="183"/>
        <v>11943</v>
      </c>
      <c r="BC56" s="182">
        <f t="shared" si="173"/>
        <v>-370783.66287037072</v>
      </c>
      <c r="BD56" s="277"/>
      <c r="BE56" s="182">
        <f t="shared" ref="BE56:BK56" si="184">BE48+BE50+BE53+BE54+BE55</f>
        <v>102437.62999999986</v>
      </c>
      <c r="BF56" s="182">
        <f t="shared" si="184"/>
        <v>76434.121785714233</v>
      </c>
      <c r="BG56" s="182">
        <f t="shared" si="184"/>
        <v>97167.382500000007</v>
      </c>
      <c r="BH56" s="182">
        <f t="shared" si="184"/>
        <v>-89651.802005012723</v>
      </c>
      <c r="BI56" s="182">
        <f t="shared" si="184"/>
        <v>-125387</v>
      </c>
      <c r="BJ56" s="182">
        <f t="shared" si="184"/>
        <v>8125</v>
      </c>
      <c r="BK56" s="182">
        <f t="shared" si="184"/>
        <v>17144</v>
      </c>
      <c r="BL56" s="182">
        <f t="shared" si="174"/>
        <v>86269.332280701405</v>
      </c>
      <c r="BM56" s="277"/>
      <c r="BN56" s="182">
        <f t="shared" ref="BN56:BT56" si="185">BN48+BN50+BN53+BN54+BN55</f>
        <v>118989.10999999999</v>
      </c>
      <c r="BO56" s="182">
        <f t="shared" si="185"/>
        <v>90368.701785714191</v>
      </c>
      <c r="BP56" s="182">
        <f t="shared" si="185"/>
        <v>142103.11500000005</v>
      </c>
      <c r="BQ56" s="182">
        <f t="shared" si="185"/>
        <v>442878.61904761905</v>
      </c>
      <c r="BR56" s="182">
        <f t="shared" si="185"/>
        <v>-124880</v>
      </c>
      <c r="BS56" s="182">
        <f t="shared" si="185"/>
        <v>8125</v>
      </c>
      <c r="BT56" s="182">
        <f t="shared" si="185"/>
        <v>22555</v>
      </c>
      <c r="BU56" s="182">
        <f t="shared" si="175"/>
        <v>700139.54583333328</v>
      </c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</row>
    <row r="57" spans="1:98" ht="16.5" thickBot="1">
      <c r="A57" s="83"/>
      <c r="B57" s="101" t="s">
        <v>106</v>
      </c>
      <c r="C57" s="102">
        <f t="shared" ref="C57:G57" si="186">C56/C13</f>
        <v>9.3652091638921041E-3</v>
      </c>
      <c r="D57" s="102" t="e">
        <f t="shared" si="186"/>
        <v>#DIV/0!</v>
      </c>
      <c r="E57" s="102">
        <f t="shared" si="186"/>
        <v>3.7359853856973602E-2</v>
      </c>
      <c r="F57" s="102" t="e">
        <f t="shared" si="186"/>
        <v>#DIV/0!</v>
      </c>
      <c r="G57" s="102" t="e">
        <f t="shared" si="186"/>
        <v>#DIV/0!</v>
      </c>
      <c r="H57" s="102">
        <f>H56/H13</f>
        <v>1.6052461860706684E-2</v>
      </c>
      <c r="I57" s="276"/>
      <c r="J57" s="102">
        <f t="shared" ref="J57:N57" si="187">J56/J13</f>
        <v>9.8912047033509858E-3</v>
      </c>
      <c r="K57" s="102">
        <f t="shared" si="187"/>
        <v>-1.9182196320838489E-3</v>
      </c>
      <c r="L57" s="102">
        <f t="shared" si="187"/>
        <v>3.1680342239166354E-2</v>
      </c>
      <c r="M57" s="102" t="e">
        <f t="shared" si="187"/>
        <v>#DIV/0!</v>
      </c>
      <c r="N57" s="102">
        <f t="shared" si="187"/>
        <v>0.24138780537877233</v>
      </c>
      <c r="O57" s="102">
        <f>O56/O13</f>
        <v>1.7443289038065315E-2</v>
      </c>
      <c r="P57" s="102"/>
      <c r="Q57" s="102">
        <f t="shared" ref="Q57:U57" si="188">Q56/Q13</f>
        <v>3.2581341654626297E-2</v>
      </c>
      <c r="R57" s="102">
        <f t="shared" si="188"/>
        <v>6.0983281776789126E-2</v>
      </c>
      <c r="S57" s="102">
        <f t="shared" si="188"/>
        <v>5.2424544514458736E-2</v>
      </c>
      <c r="T57" s="102" t="e">
        <f t="shared" si="188"/>
        <v>#DIV/0!</v>
      </c>
      <c r="U57" s="102">
        <f t="shared" si="188"/>
        <v>0.25219193368404275</v>
      </c>
      <c r="V57" s="102">
        <f>V56/V13</f>
        <v>5.9826876171696776E-2</v>
      </c>
      <c r="W57" s="276"/>
      <c r="X57" s="102">
        <f t="shared" ref="X57:AB57" si="189">X56/X13</f>
        <v>2.6336490948744882E-2</v>
      </c>
      <c r="Y57" s="102">
        <f t="shared" si="189"/>
        <v>0.10107650936113538</v>
      </c>
      <c r="Z57" s="102">
        <f t="shared" si="189"/>
        <v>3.9706175830042559E-2</v>
      </c>
      <c r="AA57" s="102">
        <f t="shared" si="189"/>
        <v>1.2190333333333334</v>
      </c>
      <c r="AB57" s="102">
        <f t="shared" si="189"/>
        <v>0.27186642575118786</v>
      </c>
      <c r="AC57" s="102">
        <f>AC56/AC13</f>
        <v>5.5129740291773227E-2</v>
      </c>
      <c r="AD57" s="276"/>
      <c r="AE57" s="102">
        <f t="shared" ref="AE57:AI57" si="190">AE56/AE13</f>
        <v>3.7862886208658179E-2</v>
      </c>
      <c r="AF57" s="102">
        <f t="shared" si="190"/>
        <v>6.6733890188543643E-2</v>
      </c>
      <c r="AG57" s="102">
        <f t="shared" si="190"/>
        <v>4.4456983036420018E-2</v>
      </c>
      <c r="AH57" s="102">
        <f t="shared" si="190"/>
        <v>0.37390047393364928</v>
      </c>
      <c r="AI57" s="102">
        <f t="shared" si="190"/>
        <v>0.27186642575118786</v>
      </c>
      <c r="AJ57" s="102">
        <f>AJ56/AJ13</f>
        <v>5.58774649200343E-2</v>
      </c>
      <c r="AK57" s="276"/>
      <c r="AL57" s="276"/>
      <c r="AM57" s="102">
        <f t="shared" ref="AM57:AS57" si="191">AM56/AM13</f>
        <v>1.9107249930943412E-2</v>
      </c>
      <c r="AN57" s="102">
        <f t="shared" si="191"/>
        <v>5.8287297932485882E-2</v>
      </c>
      <c r="AO57" s="102">
        <f t="shared" si="191"/>
        <v>1.4641736370794229E-2</v>
      </c>
      <c r="AP57" s="102" t="e">
        <f t="shared" ref="AP57" si="192">AP56/AP13</f>
        <v>#DIV/0!</v>
      </c>
      <c r="AQ57" s="102">
        <f t="shared" si="191"/>
        <v>-0.58512037037037035</v>
      </c>
      <c r="AR57" s="102">
        <f t="shared" si="191"/>
        <v>0.27186642575118786</v>
      </c>
      <c r="AS57" s="102" t="e">
        <f t="shared" si="191"/>
        <v>#DIV/0!</v>
      </c>
      <c r="AT57" s="102">
        <f>AT56/AT13</f>
        <v>8.4876703683191747E-3</v>
      </c>
      <c r="AU57" s="276"/>
      <c r="AV57" s="102">
        <f t="shared" ref="AV57:BB57" si="193">AV56/AV13</f>
        <v>2.2322829502438305E-2</v>
      </c>
      <c r="AW57" s="102">
        <f t="shared" si="193"/>
        <v>4.5138582537830423E-2</v>
      </c>
      <c r="AX57" s="102">
        <f t="shared" si="193"/>
        <v>2.3568240342241892E-2</v>
      </c>
      <c r="AY57" s="102">
        <f t="shared" si="193"/>
        <v>-0.3272558081227071</v>
      </c>
      <c r="AZ57" s="102">
        <f t="shared" si="193"/>
        <v>-0.58282407407407411</v>
      </c>
      <c r="BA57" s="102">
        <f t="shared" si="193"/>
        <v>0.27186642575118786</v>
      </c>
      <c r="BB57" s="102">
        <f t="shared" si="193"/>
        <v>4.265357142857143E-2</v>
      </c>
      <c r="BC57" s="102">
        <f>BC56/BC13</f>
        <v>-3.8715994792779457E-2</v>
      </c>
      <c r="BD57" s="276"/>
      <c r="BE57" s="102">
        <f t="shared" ref="BE57:BK57" si="194">BE56/BE13</f>
        <v>2.5039300193543276E-2</v>
      </c>
      <c r="BF57" s="102">
        <f t="shared" si="194"/>
        <v>5.3872030545136264E-2</v>
      </c>
      <c r="BG57" s="102">
        <f t="shared" si="194"/>
        <v>3.9736011357190855E-2</v>
      </c>
      <c r="BH57" s="102">
        <f t="shared" si="194"/>
        <v>-4.1698512560471031E-2</v>
      </c>
      <c r="BI57" s="102">
        <f t="shared" si="194"/>
        <v>-0.58049537037037036</v>
      </c>
      <c r="BJ57" s="102">
        <f t="shared" si="194"/>
        <v>0.27186642575118786</v>
      </c>
      <c r="BK57" s="102">
        <f t="shared" si="194"/>
        <v>6.1228571428571431E-2</v>
      </c>
      <c r="BL57" s="102">
        <f>BL56/BL13</f>
        <v>8.1148138197563724E-3</v>
      </c>
      <c r="BM57" s="276"/>
      <c r="BN57" s="102">
        <f t="shared" ref="BN57:BT57" si="195">BN56/BN13</f>
        <v>2.7700049911212048E-2</v>
      </c>
      <c r="BO57" s="102">
        <f t="shared" si="195"/>
        <v>6.244447101491115E-2</v>
      </c>
      <c r="BP57" s="102">
        <f t="shared" si="195"/>
        <v>5.5344961752056131E-2</v>
      </c>
      <c r="BQ57" s="102">
        <f t="shared" si="195"/>
        <v>0.14059638699924415</v>
      </c>
      <c r="BR57" s="102">
        <f t="shared" si="195"/>
        <v>-0.57814814814814819</v>
      </c>
      <c r="BS57" s="102">
        <f t="shared" si="195"/>
        <v>0.27186642575118786</v>
      </c>
      <c r="BT57" s="102">
        <f t="shared" si="195"/>
        <v>8.0553571428571433E-2</v>
      </c>
      <c r="BU57" s="102">
        <f>BU56/BU13</f>
        <v>5.8411707263610994E-2</v>
      </c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</row>
    <row r="58" spans="1:98" ht="15.7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</row>
    <row r="59" spans="1:98" ht="15.75">
      <c r="A59" s="83"/>
      <c r="B59" s="112" t="s">
        <v>189</v>
      </c>
      <c r="C59" s="113"/>
      <c r="D59" s="113"/>
      <c r="E59" s="113"/>
      <c r="F59" s="113"/>
      <c r="G59" s="113"/>
      <c r="H59" s="113"/>
      <c r="I59" s="278"/>
      <c r="J59" s="113"/>
      <c r="K59" s="113"/>
      <c r="L59" s="113"/>
      <c r="M59" s="113"/>
      <c r="N59" s="113"/>
      <c r="O59" s="113"/>
      <c r="P59" s="278"/>
      <c r="Q59" s="113"/>
      <c r="R59" s="113"/>
      <c r="S59" s="113"/>
      <c r="T59" s="113"/>
      <c r="U59" s="113"/>
      <c r="V59" s="113"/>
      <c r="W59" s="278"/>
      <c r="X59" s="113"/>
      <c r="Y59" s="113"/>
      <c r="Z59" s="113"/>
      <c r="AA59" s="113"/>
      <c r="AB59" s="113"/>
      <c r="AC59" s="113"/>
      <c r="AD59" s="278"/>
      <c r="AE59" s="113"/>
      <c r="AF59" s="113"/>
      <c r="AG59" s="113"/>
      <c r="AH59" s="113"/>
      <c r="AI59" s="113"/>
      <c r="AJ59" s="113"/>
      <c r="AK59" s="278"/>
      <c r="AL59" s="278"/>
      <c r="AM59" s="113"/>
      <c r="AN59" s="113"/>
      <c r="AO59" s="113"/>
      <c r="AP59" s="113"/>
      <c r="AQ59" s="113"/>
      <c r="AR59" s="113"/>
      <c r="AS59" s="113"/>
      <c r="AT59" s="113"/>
      <c r="AU59" s="278"/>
      <c r="AV59" s="113"/>
      <c r="AW59" s="113"/>
      <c r="AX59" s="113"/>
      <c r="AY59" s="113"/>
      <c r="AZ59" s="113"/>
      <c r="BA59" s="113"/>
      <c r="BB59" s="113"/>
      <c r="BC59" s="113"/>
      <c r="BD59" s="278"/>
      <c r="BE59" s="113"/>
      <c r="BF59" s="113"/>
      <c r="BG59" s="113"/>
      <c r="BH59" s="113"/>
      <c r="BI59" s="113"/>
      <c r="BJ59" s="113"/>
      <c r="BK59" s="113"/>
      <c r="BL59" s="113"/>
      <c r="BM59" s="278"/>
      <c r="BN59" s="113"/>
      <c r="BO59" s="113"/>
      <c r="BP59" s="113"/>
      <c r="BQ59" s="113"/>
      <c r="BR59" s="113"/>
      <c r="BS59" s="113"/>
      <c r="BT59" s="113"/>
      <c r="BU59" s="11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</row>
    <row r="60" spans="1:98" ht="15.75">
      <c r="A60" s="83"/>
      <c r="B60" s="114" t="s">
        <v>34</v>
      </c>
      <c r="C60" s="115" t="str">
        <f>IFERROR(C10/#REF!-1,"na ")</f>
        <v xml:space="preserve">na </v>
      </c>
      <c r="D60" s="115" t="str">
        <f>IFERROR(D10/#REF!-1,"na ")</f>
        <v xml:space="preserve">na </v>
      </c>
      <c r="E60" s="115" t="str">
        <f>IFERROR(E10/#REF!-1,"na ")</f>
        <v xml:space="preserve">na </v>
      </c>
      <c r="F60" s="115" t="str">
        <f>IFERROR(F10/A10-1,"na ")</f>
        <v xml:space="preserve">na </v>
      </c>
      <c r="G60" s="115" t="str">
        <f>IFERROR(G10/B10-1,"na ")</f>
        <v xml:space="preserve">na </v>
      </c>
      <c r="H60" s="115" t="str">
        <f>IFERROR(H10/B10-1,"na ")</f>
        <v xml:space="preserve">na </v>
      </c>
      <c r="I60" s="279"/>
      <c r="J60" s="115">
        <f>IFERROR(J10/C10-1,"na ")</f>
        <v>-2.9253295008809799E-3</v>
      </c>
      <c r="K60" s="115" t="str">
        <f>IFERROR(K10/#REF!-1,"na ")</f>
        <v xml:space="preserve">na </v>
      </c>
      <c r="L60" s="115">
        <f>IFERROR(L10/E10-1,"na ")</f>
        <v>3.5817387152458968E-2</v>
      </c>
      <c r="M60" s="115" t="str">
        <f>IFERROR(M10/B10-1,"na ")</f>
        <v xml:space="preserve">na </v>
      </c>
      <c r="N60" s="115" t="s">
        <v>724</v>
      </c>
      <c r="O60" s="115">
        <f>IFERROR(O10/H10-1,"na ")</f>
        <v>0.30099628360093811</v>
      </c>
      <c r="P60" s="305"/>
      <c r="Q60" s="115">
        <f t="shared" ref="Q60:V60" si="196">IFERROR(Q10/J10-1,"na ")</f>
        <v>0.28023994060201085</v>
      </c>
      <c r="R60" s="115">
        <f t="shared" si="196"/>
        <v>0.71705530555784036</v>
      </c>
      <c r="S60" s="115">
        <f t="shared" si="196"/>
        <v>0.98942162904548825</v>
      </c>
      <c r="T60" s="115" t="str">
        <f t="shared" si="196"/>
        <v xml:space="preserve">na </v>
      </c>
      <c r="U60" s="115">
        <f t="shared" si="196"/>
        <v>3.026072675015401E-2</v>
      </c>
      <c r="V60" s="115">
        <f t="shared" si="196"/>
        <v>0.50863019755991545</v>
      </c>
      <c r="W60" s="279"/>
      <c r="X60" s="115">
        <f t="shared" ref="X60:AC60" si="197">IFERROR(X10/Q10-1,"na ")</f>
        <v>0.44475342222148573</v>
      </c>
      <c r="Y60" s="115">
        <f t="shared" si="197"/>
        <v>-0.22756230688385837</v>
      </c>
      <c r="Z60" s="115">
        <f t="shared" si="197"/>
        <v>0.12085502340210397</v>
      </c>
      <c r="AA60" s="115" t="str">
        <f t="shared" si="197"/>
        <v xml:space="preserve">na </v>
      </c>
      <c r="AB60" s="115">
        <f t="shared" si="197"/>
        <v>0.19105691056910579</v>
      </c>
      <c r="AC60" s="115">
        <f t="shared" si="197"/>
        <v>0.20762673601970461</v>
      </c>
      <c r="AD60" s="279"/>
      <c r="AE60" s="115">
        <f t="shared" ref="AE60:AJ60" si="198">IFERROR(AE10/X10-1,"na ")</f>
        <v>-0.26235788324189135</v>
      </c>
      <c r="AF60" s="115">
        <f t="shared" si="198"/>
        <v>6.2879858176196901E-3</v>
      </c>
      <c r="AG60" s="115">
        <f t="shared" si="198"/>
        <v>0.11518851607889946</v>
      </c>
      <c r="AH60" s="115">
        <f t="shared" si="198"/>
        <v>1.3444444444444446</v>
      </c>
      <c r="AI60" s="115">
        <f t="shared" si="198"/>
        <v>0</v>
      </c>
      <c r="AJ60" s="115">
        <f t="shared" si="198"/>
        <v>-0.11379126495819336</v>
      </c>
      <c r="AK60" s="279"/>
      <c r="AL60" s="279"/>
      <c r="AM60" s="115">
        <f>IFERROR(AM10/AE10-1,"na ")</f>
        <v>3.0276148908287226E-2</v>
      </c>
      <c r="AN60" s="115">
        <f>IFERROR(AN10/AF10-1,"na ")</f>
        <v>2.4950432838939385E-2</v>
      </c>
      <c r="AO60" s="115">
        <f>IFERROR(AO10/AG10-1,"na ")</f>
        <v>6.2953974441970484E-3</v>
      </c>
      <c r="AP60" s="115" t="s">
        <v>724</v>
      </c>
      <c r="AQ60" s="115">
        <f>IFERROR(AQ10/AH10-1,"na ")</f>
        <v>2.3696682464454888E-2</v>
      </c>
      <c r="AR60" s="115">
        <f>IFERROR(AR10/AI10-1,"na ")</f>
        <v>0</v>
      </c>
      <c r="AS60" s="115" t="s">
        <v>724</v>
      </c>
      <c r="AT60" s="115">
        <f>IFERROR(AT10/AJ10-1,"na ")</f>
        <v>2.2053999710320182E-2</v>
      </c>
      <c r="AU60" s="279"/>
      <c r="AV60" s="115">
        <f t="shared" ref="AV60:BA60" si="199">IFERROR(AV10/AM10-1,"na ")</f>
        <v>4.9999932627720955E-2</v>
      </c>
      <c r="AW60" s="115">
        <f t="shared" si="199"/>
        <v>1.9999780012685875E-2</v>
      </c>
      <c r="AX60" s="115">
        <f t="shared" si="199"/>
        <v>9.9999858300943378E-2</v>
      </c>
      <c r="AY60" s="115" t="str">
        <f t="shared" si="199"/>
        <v xml:space="preserve">na </v>
      </c>
      <c r="AZ60" s="115">
        <f t="shared" si="199"/>
        <v>0</v>
      </c>
      <c r="BA60" s="115">
        <f t="shared" si="199"/>
        <v>0</v>
      </c>
      <c r="BB60" s="115" t="s">
        <v>724</v>
      </c>
      <c r="BC60" s="115">
        <f>IFERROR(BC10/AT10-1,"na ")</f>
        <v>0.28766778680277705</v>
      </c>
      <c r="BD60" s="279"/>
      <c r="BE60" s="115">
        <f t="shared" ref="BE60:BL60" si="200">IFERROR(BE10/AV10-1,"na ")</f>
        <v>4.9999987167184123E-2</v>
      </c>
      <c r="BF60" s="115">
        <f t="shared" si="200"/>
        <v>2.0000158160848214E-2</v>
      </c>
      <c r="BG60" s="115">
        <f t="shared" si="200"/>
        <v>5.0000021469556843E-2</v>
      </c>
      <c r="BH60" s="115">
        <f t="shared" si="200"/>
        <v>0.49825783972125426</v>
      </c>
      <c r="BI60" s="115">
        <f t="shared" si="200"/>
        <v>0</v>
      </c>
      <c r="BJ60" s="115">
        <f t="shared" si="200"/>
        <v>0</v>
      </c>
      <c r="BK60" s="115">
        <f t="shared" si="200"/>
        <v>0</v>
      </c>
      <c r="BL60" s="115">
        <f t="shared" si="200"/>
        <v>0.11006320863024643</v>
      </c>
      <c r="BM60" s="279"/>
      <c r="BN60" s="115">
        <f t="shared" ref="BN60:BU60" si="201">IFERROR(BN10/BE10-1,"na ")</f>
        <v>5.000007333037737E-2</v>
      </c>
      <c r="BO60" s="115">
        <f t="shared" si="201"/>
        <v>1.9999873133029089E-2</v>
      </c>
      <c r="BP60" s="115">
        <f t="shared" si="201"/>
        <v>4.9999938658410459E-2</v>
      </c>
      <c r="BQ60" s="115">
        <f t="shared" si="201"/>
        <v>0.46511627906976738</v>
      </c>
      <c r="BR60" s="115">
        <f t="shared" si="201"/>
        <v>0</v>
      </c>
      <c r="BS60" s="115">
        <f t="shared" si="201"/>
        <v>0</v>
      </c>
      <c r="BT60" s="115">
        <f t="shared" si="201"/>
        <v>0</v>
      </c>
      <c r="BU60" s="115">
        <f t="shared" si="201"/>
        <v>0.12747476928992807</v>
      </c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</row>
    <row r="61" spans="1:98" ht="15.75">
      <c r="A61" s="83"/>
      <c r="B61" s="114" t="s">
        <v>16</v>
      </c>
      <c r="C61" s="115">
        <f t="shared" ref="C61:G61" si="202">C19/C10</f>
        <v>0.13225057741736274</v>
      </c>
      <c r="D61" s="115" t="e">
        <f t="shared" si="202"/>
        <v>#DIV/0!</v>
      </c>
      <c r="E61" s="115">
        <f t="shared" si="202"/>
        <v>0.35733891602698303</v>
      </c>
      <c r="F61" s="115" t="e">
        <f t="shared" si="202"/>
        <v>#DIV/0!</v>
      </c>
      <c r="G61" s="115" t="e">
        <f t="shared" si="202"/>
        <v>#DIV/0!</v>
      </c>
      <c r="H61" s="115">
        <f>H19/H10</f>
        <v>0.18532058452101749</v>
      </c>
      <c r="I61" s="279"/>
      <c r="J61" s="115">
        <f t="shared" ref="J61:N61" si="203">J19/J10</f>
        <v>0.13413149381397216</v>
      </c>
      <c r="K61" s="115">
        <f t="shared" si="203"/>
        <v>0.75297673382833552</v>
      </c>
      <c r="L61" s="115">
        <f t="shared" si="203"/>
        <v>0.41967647913992523</v>
      </c>
      <c r="M61" s="115" t="e">
        <f t="shared" si="203"/>
        <v>#DIV/0!</v>
      </c>
      <c r="N61" s="115">
        <f t="shared" si="203"/>
        <v>1</v>
      </c>
      <c r="O61" s="115">
        <f>O19/O10</f>
        <v>0.32928937847268525</v>
      </c>
      <c r="P61" s="305"/>
      <c r="Q61" s="115">
        <f t="shared" ref="Q61:U61" si="204">Q19/Q10</f>
        <v>0.17082509395334303</v>
      </c>
      <c r="R61" s="115">
        <f t="shared" si="204"/>
        <v>0.71349670420960332</v>
      </c>
      <c r="S61" s="115">
        <f t="shared" si="204"/>
        <v>0.37828173067440124</v>
      </c>
      <c r="T61" s="115" t="e">
        <f t="shared" si="204"/>
        <v>#DIV/0!</v>
      </c>
      <c r="U61" s="115">
        <f t="shared" si="204"/>
        <v>1</v>
      </c>
      <c r="V61" s="115">
        <f>V19/V10</f>
        <v>0.36185081900333638</v>
      </c>
      <c r="W61" s="279"/>
      <c r="X61" s="115">
        <f t="shared" ref="X61:AB61" si="205">X19/X10</f>
        <v>0.12639152205555418</v>
      </c>
      <c r="Y61" s="115">
        <f t="shared" si="205"/>
        <v>0.65078989323886482</v>
      </c>
      <c r="Z61" s="115">
        <f t="shared" si="205"/>
        <v>0.33496395373059407</v>
      </c>
      <c r="AA61" s="115">
        <f t="shared" si="205"/>
        <v>1</v>
      </c>
      <c r="AB61" s="115">
        <f t="shared" si="205"/>
        <v>1</v>
      </c>
      <c r="AC61" s="115">
        <f>AC19/AC10</f>
        <v>0.2715056873468133</v>
      </c>
      <c r="AD61" s="279"/>
      <c r="AE61" s="115">
        <f t="shared" ref="AE61:AI61" si="206">AE19/AE10</f>
        <v>0.179492070367162</v>
      </c>
      <c r="AF61" s="115">
        <f t="shared" si="206"/>
        <v>0.70727491097452266</v>
      </c>
      <c r="AG61" s="115">
        <f t="shared" si="206"/>
        <v>0.36250462232843678</v>
      </c>
      <c r="AH61" s="115">
        <f t="shared" si="206"/>
        <v>1</v>
      </c>
      <c r="AI61" s="115">
        <f t="shared" si="206"/>
        <v>1</v>
      </c>
      <c r="AJ61" s="115">
        <f>AJ19/AJ10</f>
        <v>0.35606435177563506</v>
      </c>
      <c r="AK61" s="279"/>
      <c r="AL61" s="279"/>
      <c r="AM61" s="115">
        <f t="shared" ref="AM61:AS61" si="207">AM19/AM10</f>
        <v>0.16</v>
      </c>
      <c r="AN61" s="115">
        <f t="shared" si="207"/>
        <v>0.69</v>
      </c>
      <c r="AO61" s="115">
        <f t="shared" si="207"/>
        <v>0.34999999999999992</v>
      </c>
      <c r="AP61" s="115" t="e">
        <f t="shared" ref="AP61" si="208">AP19/AP10</f>
        <v>#DIV/0!</v>
      </c>
      <c r="AQ61" s="115">
        <f t="shared" si="207"/>
        <v>1</v>
      </c>
      <c r="AR61" s="115">
        <f t="shared" si="207"/>
        <v>1</v>
      </c>
      <c r="AS61" s="115" t="e">
        <f t="shared" si="207"/>
        <v>#DIV/0!</v>
      </c>
      <c r="AT61" s="115">
        <f>AT19/AT10</f>
        <v>0.33903544596839064</v>
      </c>
      <c r="AU61" s="279"/>
      <c r="AV61" s="115">
        <f t="shared" ref="AV61:BB61" si="209">AV19/AV10</f>
        <v>0.15999999999999995</v>
      </c>
      <c r="AW61" s="115">
        <f t="shared" si="209"/>
        <v>0.69</v>
      </c>
      <c r="AX61" s="115">
        <f t="shared" si="209"/>
        <v>0.36</v>
      </c>
      <c r="AY61" s="115">
        <f t="shared" si="209"/>
        <v>0.51219512195121952</v>
      </c>
      <c r="AZ61" s="115">
        <f t="shared" si="209"/>
        <v>1</v>
      </c>
      <c r="BA61" s="115">
        <f t="shared" si="209"/>
        <v>1</v>
      </c>
      <c r="BB61" s="115">
        <f t="shared" si="209"/>
        <v>1</v>
      </c>
      <c r="BC61" s="115">
        <f>BC19/BC10</f>
        <v>0.38451089509622771</v>
      </c>
      <c r="BD61" s="279"/>
      <c r="BE61" s="115">
        <f t="shared" ref="BE61:BK61" si="210">BE19/BE10</f>
        <v>0.15999999999999998</v>
      </c>
      <c r="BF61" s="115">
        <f t="shared" si="210"/>
        <v>0.69</v>
      </c>
      <c r="BG61" s="115">
        <f t="shared" si="210"/>
        <v>0.37</v>
      </c>
      <c r="BH61" s="115">
        <f t="shared" si="210"/>
        <v>0.5348837209302324</v>
      </c>
      <c r="BI61" s="115">
        <f t="shared" si="210"/>
        <v>1</v>
      </c>
      <c r="BJ61" s="115">
        <f t="shared" si="210"/>
        <v>1</v>
      </c>
      <c r="BK61" s="115">
        <f t="shared" si="210"/>
        <v>1</v>
      </c>
      <c r="BL61" s="115">
        <f>BL19/BL10</f>
        <v>0.39640382756540904</v>
      </c>
      <c r="BM61" s="279"/>
      <c r="BN61" s="115">
        <f t="shared" ref="BN61:BT61" si="211">BN19/BN10</f>
        <v>0.16</v>
      </c>
      <c r="BO61" s="115">
        <f t="shared" si="211"/>
        <v>0.69</v>
      </c>
      <c r="BP61" s="115">
        <f t="shared" si="211"/>
        <v>0.38</v>
      </c>
      <c r="BQ61" s="115">
        <f t="shared" si="211"/>
        <v>0.55555555555555558</v>
      </c>
      <c r="BR61" s="115">
        <f t="shared" si="211"/>
        <v>1</v>
      </c>
      <c r="BS61" s="115">
        <f t="shared" si="211"/>
        <v>1</v>
      </c>
      <c r="BT61" s="115">
        <f t="shared" si="211"/>
        <v>1</v>
      </c>
      <c r="BU61" s="115">
        <f>BU19/BU10</f>
        <v>0.41192301987070562</v>
      </c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</row>
    <row r="62" spans="1:98" ht="15.75">
      <c r="A62" s="83"/>
      <c r="B62" s="114" t="s">
        <v>24</v>
      </c>
      <c r="C62" s="115">
        <f t="shared" ref="C62:G62" si="212">C42/C10</f>
        <v>1.6089878813173614E-2</v>
      </c>
      <c r="D62" s="115" t="e">
        <f t="shared" si="212"/>
        <v>#DIV/0!</v>
      </c>
      <c r="E62" s="115">
        <f t="shared" si="212"/>
        <v>8.3456372963112591E-2</v>
      </c>
      <c r="F62" s="115" t="e">
        <f t="shared" si="212"/>
        <v>#DIV/0!</v>
      </c>
      <c r="G62" s="115" t="e">
        <f t="shared" si="212"/>
        <v>#DIV/0!</v>
      </c>
      <c r="H62" s="115">
        <f>H42/H10</f>
        <v>3.1190618798484573E-2</v>
      </c>
      <c r="I62" s="279"/>
      <c r="J62" s="115">
        <f t="shared" ref="J62:N62" si="213">J42/J10</f>
        <v>1.6357933495465601E-2</v>
      </c>
      <c r="K62" s="115">
        <f t="shared" si="213"/>
        <v>1.7273582653390819E-3</v>
      </c>
      <c r="L62" s="115">
        <f t="shared" si="213"/>
        <v>8.6158763027943452E-2</v>
      </c>
      <c r="M62" s="115" t="e">
        <f t="shared" si="213"/>
        <v>#DIV/0!</v>
      </c>
      <c r="N62" s="115">
        <f t="shared" si="213"/>
        <v>0.63210839663313489</v>
      </c>
      <c r="O62" s="115">
        <f>O42/O10</f>
        <v>2.8846902658205126E-2</v>
      </c>
      <c r="P62" s="305"/>
      <c r="Q62" s="115">
        <f t="shared" ref="Q62:U62" si="214">Q42/Q10</f>
        <v>4.5122459649846444E-2</v>
      </c>
      <c r="R62" s="115">
        <f t="shared" si="214"/>
        <v>8.5251812640902855E-2</v>
      </c>
      <c r="S62" s="115">
        <f t="shared" si="214"/>
        <v>8.2322648412352317E-2</v>
      </c>
      <c r="T62" s="115" t="e">
        <f t="shared" si="214"/>
        <v>#DIV/0!</v>
      </c>
      <c r="U62" s="115">
        <f t="shared" si="214"/>
        <v>0.63745416865933369</v>
      </c>
      <c r="V62" s="115">
        <f>V42/V10</f>
        <v>6.5836608768213928E-2</v>
      </c>
      <c r="W62" s="279"/>
      <c r="X62" s="115">
        <f t="shared" ref="X62:AB62" si="215">X42/X10</f>
        <v>2.6849527504596335E-2</v>
      </c>
      <c r="Y62" s="115">
        <f t="shared" si="215"/>
        <v>0.13059785025608756</v>
      </c>
      <c r="Z62" s="115">
        <f t="shared" si="215"/>
        <v>7.9541376749639431E-2</v>
      </c>
      <c r="AA62" s="115">
        <f t="shared" si="215"/>
        <v>0.18517777777777777</v>
      </c>
      <c r="AB62" s="115">
        <f t="shared" si="215"/>
        <v>0.69403734189921706</v>
      </c>
      <c r="AC62" s="115">
        <f>AC42/AC10</f>
        <v>5.9824979607583907E-2</v>
      </c>
      <c r="AD62" s="279"/>
      <c r="AE62" s="115">
        <f t="shared" ref="AE62:AI62" si="216">AE42/AE10</f>
        <v>4.2701739188378759E-2</v>
      </c>
      <c r="AF62" s="115">
        <f t="shared" si="216"/>
        <v>8.7360712143691399E-2</v>
      </c>
      <c r="AG62" s="115">
        <f t="shared" si="216"/>
        <v>8.107682903991506E-2</v>
      </c>
      <c r="AH62" s="115">
        <f t="shared" si="216"/>
        <v>0.20727014218009479</v>
      </c>
      <c r="AI62" s="115">
        <f t="shared" si="216"/>
        <v>0.69403734189921706</v>
      </c>
      <c r="AJ62" s="115">
        <f>AJ42/AJ10</f>
        <v>6.9408803240675207E-2</v>
      </c>
      <c r="AK62" s="279"/>
      <c r="AL62" s="279"/>
      <c r="AM62" s="115">
        <f t="shared" ref="AM62:AS62" si="217">AM42/AM10</f>
        <v>2.3234273625773939E-2</v>
      </c>
      <c r="AN62" s="115">
        <f t="shared" si="217"/>
        <v>7.2094499217211797E-2</v>
      </c>
      <c r="AO62" s="115">
        <f t="shared" si="217"/>
        <v>5.1027743258313038E-2</v>
      </c>
      <c r="AP62" s="115" t="e">
        <f t="shared" ref="AP62" si="218">AP42/AP10</f>
        <v>#DIV/0!</v>
      </c>
      <c r="AQ62" s="115">
        <f t="shared" si="217"/>
        <v>-0.35947222222222225</v>
      </c>
      <c r="AR62" s="115">
        <f t="shared" si="217"/>
        <v>0.69403734189921706</v>
      </c>
      <c r="AS62" s="115" t="e">
        <f t="shared" si="217"/>
        <v>#DIV/0!</v>
      </c>
      <c r="AT62" s="115">
        <f>AT42/AT10</f>
        <v>3.168574770329069E-2</v>
      </c>
      <c r="AU62" s="279"/>
      <c r="AV62" s="115">
        <f t="shared" ref="AV62:BB62" si="219">AV42/AV10</f>
        <v>2.6795371254646386E-2</v>
      </c>
      <c r="AW62" s="115">
        <f t="shared" si="219"/>
        <v>5.4673110796911832E-2</v>
      </c>
      <c r="AX62" s="115">
        <f t="shared" si="219"/>
        <v>5.7720233640305034E-2</v>
      </c>
      <c r="AY62" s="115">
        <f t="shared" si="219"/>
        <v>-0.12310896889921277</v>
      </c>
      <c r="AZ62" s="115">
        <f t="shared" si="219"/>
        <v>-0.35947222222222225</v>
      </c>
      <c r="BA62" s="115">
        <f t="shared" si="219"/>
        <v>0.69403734189921706</v>
      </c>
      <c r="BB62" s="115">
        <f t="shared" si="219"/>
        <v>0.86071428571428577</v>
      </c>
      <c r="BC62" s="115">
        <f>BC42/BC10</f>
        <v>3.3654486846257943E-2</v>
      </c>
      <c r="BD62" s="279"/>
      <c r="BE62" s="115">
        <f t="shared" ref="BE62:BK62" si="220">BE42/BE10</f>
        <v>2.9838580284785816E-2</v>
      </c>
      <c r="BF62" s="115">
        <f t="shared" si="220"/>
        <v>6.6425780858653735E-2</v>
      </c>
      <c r="BG62" s="115">
        <f t="shared" si="220"/>
        <v>7.6389299082370715E-2</v>
      </c>
      <c r="BH62" s="115">
        <f t="shared" si="220"/>
        <v>9.0572052223582125E-2</v>
      </c>
      <c r="BI62" s="115">
        <f t="shared" si="220"/>
        <v>-0.35947222222222225</v>
      </c>
      <c r="BJ62" s="115">
        <f t="shared" si="220"/>
        <v>0.69403734189921706</v>
      </c>
      <c r="BK62" s="115">
        <f t="shared" si="220"/>
        <v>0.86071428571428577</v>
      </c>
      <c r="BL62" s="115">
        <f>BL42/BL10</f>
        <v>7.3552157952822439E-2</v>
      </c>
      <c r="BM62" s="279"/>
      <c r="BN62" s="115">
        <f t="shared" ref="BN62:BT62" si="221">BN42/BN10</f>
        <v>3.3359611214006421E-2</v>
      </c>
      <c r="BO62" s="115">
        <f t="shared" si="221"/>
        <v>7.7961653633976016E-2</v>
      </c>
      <c r="BP62" s="115">
        <f t="shared" si="221"/>
        <v>9.4918158630528507E-2</v>
      </c>
      <c r="BQ62" s="115">
        <f t="shared" si="221"/>
        <v>0.22805058201058201</v>
      </c>
      <c r="BR62" s="115">
        <f t="shared" si="221"/>
        <v>-0.35947222222222225</v>
      </c>
      <c r="BS62" s="115">
        <f t="shared" si="221"/>
        <v>0.69403734189921706</v>
      </c>
      <c r="BT62" s="115">
        <f t="shared" si="221"/>
        <v>0.86071428571428577</v>
      </c>
      <c r="BU62" s="115">
        <f>BU42/BU10</f>
        <v>0.11699131282742573</v>
      </c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</row>
    <row r="63" spans="1:98" ht="15.75">
      <c r="A63" s="83"/>
      <c r="B63" s="114" t="s">
        <v>26</v>
      </c>
      <c r="C63" s="115">
        <f t="shared" ref="C63:G63" si="222">C48/C10</f>
        <v>1.3922982060874804E-2</v>
      </c>
      <c r="D63" s="115" t="e">
        <f t="shared" si="222"/>
        <v>#DIV/0!</v>
      </c>
      <c r="E63" s="115">
        <f t="shared" si="222"/>
        <v>4.1324175756907972E-2</v>
      </c>
      <c r="F63" s="115" t="e">
        <f t="shared" si="222"/>
        <v>#DIV/0!</v>
      </c>
      <c r="G63" s="115" t="e">
        <f t="shared" si="222"/>
        <v>#DIV/0!</v>
      </c>
      <c r="H63" s="115">
        <f>H48/H10</f>
        <v>1.9600938120151543E-2</v>
      </c>
      <c r="I63" s="279"/>
      <c r="J63" s="115">
        <f t="shared" ref="J63:N63" si="223">J48/J10</f>
        <v>1.279594820858998E-2</v>
      </c>
      <c r="K63" s="115">
        <f t="shared" si="223"/>
        <v>-8.7270713754065109E-4</v>
      </c>
      <c r="L63" s="115">
        <f t="shared" si="223"/>
        <v>4.0657584632877337E-2</v>
      </c>
      <c r="M63" s="115" t="e">
        <f t="shared" si="223"/>
        <v>#DIV/0!</v>
      </c>
      <c r="N63" s="115">
        <f t="shared" si="223"/>
        <v>0.28228289878874974</v>
      </c>
      <c r="O63" s="115">
        <f>O48/O10</f>
        <v>1.5754118078009131E-2</v>
      </c>
      <c r="P63" s="305"/>
      <c r="Q63" s="115">
        <f t="shared" ref="Q63:U63" si="224">Q48/Q10</f>
        <v>4.3463093150290136E-2</v>
      </c>
      <c r="R63" s="115">
        <f t="shared" si="224"/>
        <v>7.6152825593303608E-2</v>
      </c>
      <c r="S63" s="115">
        <f t="shared" si="224"/>
        <v>5.9975094790699998E-2</v>
      </c>
      <c r="T63" s="115" t="e">
        <f t="shared" si="224"/>
        <v>#DIV/0!</v>
      </c>
      <c r="U63" s="115">
        <f t="shared" si="224"/>
        <v>0.29794356767097085</v>
      </c>
      <c r="V63" s="115">
        <f>V48/V10</f>
        <v>5.5936476319363208E-2</v>
      </c>
      <c r="W63" s="279"/>
      <c r="X63" s="115">
        <f t="shared" ref="X63:AB63" si="225">X48/X10</f>
        <v>2.5691969574986592E-2</v>
      </c>
      <c r="Y63" s="115">
        <f t="shared" si="225"/>
        <v>0.12952993637895513</v>
      </c>
      <c r="Z63" s="115">
        <f t="shared" si="225"/>
        <v>5.9004994691516974E-2</v>
      </c>
      <c r="AA63" s="115">
        <f t="shared" si="225"/>
        <v>0.19262222222222222</v>
      </c>
      <c r="AB63" s="115">
        <f t="shared" si="225"/>
        <v>0.40898748577929467</v>
      </c>
      <c r="AC63" s="115">
        <f>AC48/AC10</f>
        <v>5.3290516363498193E-2</v>
      </c>
      <c r="AD63" s="279"/>
      <c r="AE63" s="115">
        <f t="shared" ref="AE63:AI63" si="226">AE48/AE10</f>
        <v>3.9023455720663687E-2</v>
      </c>
      <c r="AF63" s="115">
        <f t="shared" si="226"/>
        <v>7.8331897802209366E-2</v>
      </c>
      <c r="AG63" s="115">
        <f t="shared" si="226"/>
        <v>5.5624316156808393E-2</v>
      </c>
      <c r="AH63" s="115">
        <f t="shared" si="226"/>
        <v>0.20727014218009479</v>
      </c>
      <c r="AI63" s="115">
        <f t="shared" si="226"/>
        <v>0.40898748577929467</v>
      </c>
      <c r="AJ63" s="115">
        <f>AJ48/AJ10</f>
        <v>5.7407982023366215E-2</v>
      </c>
      <c r="AK63" s="279"/>
      <c r="AL63" s="279"/>
      <c r="AM63" s="115">
        <f t="shared" ref="AM63:AS63" si="227">AM48/AM10</f>
        <v>2.0539382465690668E-2</v>
      </c>
      <c r="AN63" s="115">
        <f t="shared" si="227"/>
        <v>6.8428043982796977E-2</v>
      </c>
      <c r="AO63" s="115">
        <f t="shared" si="227"/>
        <v>2.5521913050624734E-2</v>
      </c>
      <c r="AP63" s="115" t="e">
        <f t="shared" ref="AP63" si="228">AP48/AP10</f>
        <v>#DIV/0!</v>
      </c>
      <c r="AQ63" s="115">
        <f t="shared" si="227"/>
        <v>-0.35947222222222225</v>
      </c>
      <c r="AR63" s="115">
        <f t="shared" si="227"/>
        <v>0.40898748577929467</v>
      </c>
      <c r="AS63" s="115" t="e">
        <f t="shared" si="227"/>
        <v>#DIV/0!</v>
      </c>
      <c r="AT63" s="115">
        <f>AT48/AT10</f>
        <v>2.1263009599072992E-2</v>
      </c>
      <c r="AU63" s="279"/>
      <c r="AV63" s="115">
        <f t="shared" ref="AV63:BB63" si="229">AV48/AV10</f>
        <v>2.474212071521897E-2</v>
      </c>
      <c r="AW63" s="115">
        <f t="shared" si="229"/>
        <v>5.1078546066349623E-2</v>
      </c>
      <c r="AX63" s="115">
        <f t="shared" si="229"/>
        <v>3.453311228277637E-2</v>
      </c>
      <c r="AY63" s="115">
        <f t="shared" si="229"/>
        <v>-0.33561628597238352</v>
      </c>
      <c r="AZ63" s="115">
        <f t="shared" si="229"/>
        <v>-0.35947222222222225</v>
      </c>
      <c r="BA63" s="115">
        <f t="shared" si="229"/>
        <v>0.40898748577929467</v>
      </c>
      <c r="BB63" s="115">
        <f t="shared" si="229"/>
        <v>0.25868928571428573</v>
      </c>
      <c r="BC63" s="115">
        <f>BC48/BC10</f>
        <v>-2.3673814299767205E-2</v>
      </c>
      <c r="BD63" s="279"/>
      <c r="BE63" s="115">
        <f t="shared" ref="BE63:BK63" si="230">BE48/BE10</f>
        <v>2.8371972738698896E-2</v>
      </c>
      <c r="BF63" s="115">
        <f t="shared" si="230"/>
        <v>6.2901698335918119E-2</v>
      </c>
      <c r="BG63" s="115">
        <f t="shared" si="230"/>
        <v>5.4306326812449728E-2</v>
      </c>
      <c r="BH63" s="115">
        <f t="shared" si="230"/>
        <v>-5.1264226846185319E-2</v>
      </c>
      <c r="BI63" s="115">
        <f t="shared" si="230"/>
        <v>-0.35947222222222225</v>
      </c>
      <c r="BJ63" s="115">
        <f t="shared" si="230"/>
        <v>0.40898748577929467</v>
      </c>
      <c r="BK63" s="115">
        <f t="shared" si="230"/>
        <v>0.25868928571428573</v>
      </c>
      <c r="BL63" s="115">
        <f>BL48/BL10</f>
        <v>2.2096108094538838E-2</v>
      </c>
      <c r="BM63" s="279"/>
      <c r="BN63" s="115">
        <f t="shared" ref="BN63:BT63" si="231">BN48/BN10</f>
        <v>3.196284222004326E-2</v>
      </c>
      <c r="BO63" s="115">
        <f t="shared" si="231"/>
        <v>7.4506670338820247E-2</v>
      </c>
      <c r="BP63" s="115">
        <f t="shared" si="231"/>
        <v>7.3886755240032603E-2</v>
      </c>
      <c r="BQ63" s="115">
        <f t="shared" si="231"/>
        <v>0.13124169312169312</v>
      </c>
      <c r="BR63" s="115">
        <f t="shared" si="231"/>
        <v>-0.35947222222222225</v>
      </c>
      <c r="BS63" s="115">
        <f t="shared" si="231"/>
        <v>0.40898748577929467</v>
      </c>
      <c r="BT63" s="115">
        <f t="shared" si="231"/>
        <v>0.25868928571428573</v>
      </c>
      <c r="BU63" s="115">
        <f>BU48/BU10</f>
        <v>7.1352996778286909E-2</v>
      </c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</row>
    <row r="64" spans="1:98" ht="15.75">
      <c r="A64" s="83"/>
      <c r="B64" s="116" t="s">
        <v>35</v>
      </c>
      <c r="C64" s="117">
        <f t="shared" ref="C64:G64" si="232">C56/C10</f>
        <v>9.3652091638921041E-3</v>
      </c>
      <c r="D64" s="117" t="e">
        <f t="shared" si="232"/>
        <v>#DIV/0!</v>
      </c>
      <c r="E64" s="117">
        <f t="shared" si="232"/>
        <v>3.9184143191195016E-2</v>
      </c>
      <c r="F64" s="117" t="e">
        <f t="shared" si="232"/>
        <v>#DIV/0!</v>
      </c>
      <c r="G64" s="117" t="e">
        <f t="shared" si="232"/>
        <v>#DIV/0!</v>
      </c>
      <c r="H64" s="117">
        <f>H56/H10</f>
        <v>1.6237272235251669E-2</v>
      </c>
      <c r="I64" s="279"/>
      <c r="J64" s="117">
        <f t="shared" ref="J64:N64" si="233">J56/J10</f>
        <v>9.8912047033509858E-3</v>
      </c>
      <c r="K64" s="117">
        <f t="shared" si="233"/>
        <v>-1.8938747996284475E-3</v>
      </c>
      <c r="L64" s="117">
        <f t="shared" si="233"/>
        <v>3.1930133110182897E-2</v>
      </c>
      <c r="M64" s="117" t="e">
        <f t="shared" si="233"/>
        <v>#DIV/0!</v>
      </c>
      <c r="N64" s="117">
        <f t="shared" si="233"/>
        <v>0.24138780537877233</v>
      </c>
      <c r="O64" s="117">
        <f>O56/O10</f>
        <v>1.742014169077102E-2</v>
      </c>
      <c r="P64" s="306"/>
      <c r="Q64" s="117">
        <f t="shared" ref="Q64:U64" si="234">Q56/Q10</f>
        <v>3.2581341654626297E-2</v>
      </c>
      <c r="R64" s="117">
        <f t="shared" si="234"/>
        <v>6.1500973577008976E-2</v>
      </c>
      <c r="S64" s="117">
        <f t="shared" si="234"/>
        <v>5.0238773941261257E-2</v>
      </c>
      <c r="T64" s="117" t="e">
        <f t="shared" si="234"/>
        <v>#DIV/0!</v>
      </c>
      <c r="U64" s="117">
        <f t="shared" si="234"/>
        <v>0.25219193368404275</v>
      </c>
      <c r="V64" s="117">
        <f>V56/V10</f>
        <v>5.9337261600157419E-2</v>
      </c>
      <c r="W64" s="279"/>
      <c r="X64" s="117">
        <f t="shared" ref="X64:AB64" si="235">X56/X10</f>
        <v>2.6336490948744882E-2</v>
      </c>
      <c r="Y64" s="117">
        <f t="shared" si="235"/>
        <v>9.9126156024335124E-2</v>
      </c>
      <c r="Z64" s="117">
        <f t="shared" si="235"/>
        <v>4.1235490455596643E-2</v>
      </c>
      <c r="AA64" s="117">
        <f t="shared" si="235"/>
        <v>1.2190333333333334</v>
      </c>
      <c r="AB64" s="117">
        <f t="shared" si="235"/>
        <v>0.27186642575118786</v>
      </c>
      <c r="AC64" s="117">
        <f>AC56/AC10</f>
        <v>5.544630346204648E-2</v>
      </c>
      <c r="AD64" s="279"/>
      <c r="AE64" s="117">
        <f t="shared" ref="AE64:AI64" si="236">AE56/AE10</f>
        <v>3.7862886208658179E-2</v>
      </c>
      <c r="AF64" s="117">
        <f t="shared" si="236"/>
        <v>6.8393663219888795E-2</v>
      </c>
      <c r="AG64" s="117">
        <f t="shared" si="236"/>
        <v>4.3441807142673809E-2</v>
      </c>
      <c r="AH64" s="117">
        <f t="shared" si="236"/>
        <v>0.37390047393364928</v>
      </c>
      <c r="AI64" s="117">
        <f t="shared" si="236"/>
        <v>0.27186642575118786</v>
      </c>
      <c r="AJ64" s="117">
        <f>AJ56/AJ10</f>
        <v>5.5762661601577133E-2</v>
      </c>
      <c r="AK64" s="279"/>
      <c r="AL64" s="279"/>
      <c r="AM64" s="117">
        <f t="shared" ref="AM64:AS64" si="237">AM56/AM10</f>
        <v>1.9107249930943412E-2</v>
      </c>
      <c r="AN64" s="117">
        <f t="shared" si="237"/>
        <v>5.8287297932485882E-2</v>
      </c>
      <c r="AO64" s="117">
        <f t="shared" si="237"/>
        <v>1.4641736370794229E-2</v>
      </c>
      <c r="AP64" s="117" t="e">
        <f t="shared" ref="AP64" si="238">AP56/AP10</f>
        <v>#DIV/0!</v>
      </c>
      <c r="AQ64" s="117">
        <f t="shared" si="237"/>
        <v>-0.58512037037037035</v>
      </c>
      <c r="AR64" s="117">
        <f t="shared" si="237"/>
        <v>0.27186642575118786</v>
      </c>
      <c r="AS64" s="117" t="e">
        <f t="shared" si="237"/>
        <v>#DIV/0!</v>
      </c>
      <c r="AT64" s="117">
        <f>AT56/AT10</f>
        <v>8.4876703683191747E-3</v>
      </c>
      <c r="AU64" s="279"/>
      <c r="AV64" s="117">
        <f t="shared" ref="AV64:BB64" si="239">AV56/AV10</f>
        <v>2.2322829502438305E-2</v>
      </c>
      <c r="AW64" s="117">
        <f t="shared" si="239"/>
        <v>4.5138582537830423E-2</v>
      </c>
      <c r="AX64" s="117">
        <f t="shared" si="239"/>
        <v>2.3568240342241892E-2</v>
      </c>
      <c r="AY64" s="117">
        <f t="shared" si="239"/>
        <v>-0.3272558081227071</v>
      </c>
      <c r="AZ64" s="117">
        <f t="shared" si="239"/>
        <v>-0.58282407407407411</v>
      </c>
      <c r="BA64" s="117">
        <f t="shared" si="239"/>
        <v>0.27186642575118786</v>
      </c>
      <c r="BB64" s="117">
        <f t="shared" si="239"/>
        <v>4.265357142857143E-2</v>
      </c>
      <c r="BC64" s="117">
        <f>BC56/BC10</f>
        <v>-3.8715994792779457E-2</v>
      </c>
      <c r="BD64" s="279"/>
      <c r="BE64" s="117">
        <f t="shared" ref="BE64:BK64" si="240">BE56/BE10</f>
        <v>2.5039300193543276E-2</v>
      </c>
      <c r="BF64" s="117">
        <f t="shared" si="240"/>
        <v>5.3872030545136264E-2</v>
      </c>
      <c r="BG64" s="117">
        <f t="shared" si="240"/>
        <v>3.9736011357190855E-2</v>
      </c>
      <c r="BH64" s="117">
        <f t="shared" si="240"/>
        <v>-4.1698512560471031E-2</v>
      </c>
      <c r="BI64" s="117">
        <f t="shared" si="240"/>
        <v>-0.58049537037037036</v>
      </c>
      <c r="BJ64" s="117">
        <f t="shared" si="240"/>
        <v>0.27186642575118786</v>
      </c>
      <c r="BK64" s="117">
        <f t="shared" si="240"/>
        <v>6.1228571428571431E-2</v>
      </c>
      <c r="BL64" s="117">
        <f>BL56/BL10</f>
        <v>8.1148138197563724E-3</v>
      </c>
      <c r="BM64" s="279"/>
      <c r="BN64" s="117">
        <f t="shared" ref="BN64:BT64" si="241">BN56/BN10</f>
        <v>2.7700049911212048E-2</v>
      </c>
      <c r="BO64" s="117">
        <f t="shared" si="241"/>
        <v>6.244447101491115E-2</v>
      </c>
      <c r="BP64" s="117">
        <f t="shared" si="241"/>
        <v>5.5344961752056131E-2</v>
      </c>
      <c r="BQ64" s="117">
        <f t="shared" si="241"/>
        <v>0.14059638699924415</v>
      </c>
      <c r="BR64" s="117">
        <f t="shared" si="241"/>
        <v>-0.57814814814814819</v>
      </c>
      <c r="BS64" s="117">
        <f t="shared" si="241"/>
        <v>0.27186642575118786</v>
      </c>
      <c r="BT64" s="117">
        <f t="shared" si="241"/>
        <v>8.0553571428571433E-2</v>
      </c>
      <c r="BU64" s="117">
        <f>BU56/BU10</f>
        <v>5.8411707263610994E-2</v>
      </c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</row>
    <row r="65" spans="1:98" ht="15.7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</row>
    <row r="66" spans="1:98" ht="15.7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</row>
    <row r="67" spans="1:98" ht="15.7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</row>
    <row r="68" spans="1:98" ht="15.75">
      <c r="A68" s="107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9"/>
      <c r="BW68" s="109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</row>
    <row r="69" spans="1:98" ht="15.75">
      <c r="A69" s="107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9"/>
      <c r="BW69" s="109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</row>
    <row r="70" spans="1:98" ht="15.75">
      <c r="A70" s="107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9"/>
      <c r="BW70" s="109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</row>
    <row r="71" spans="1:98" ht="15.75">
      <c r="A71" s="107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9"/>
      <c r="BW71" s="109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</row>
    <row r="72" spans="1:98" ht="15.75">
      <c r="A72" s="107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9"/>
      <c r="BW72" s="109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</row>
    <row r="73" spans="1:98" ht="15.75">
      <c r="A73" s="107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9"/>
      <c r="BW73" s="109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</row>
    <row r="74" spans="1:98" ht="15.75">
      <c r="A74" s="107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9"/>
      <c r="BW74" s="109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</row>
    <row r="75" spans="1:98" ht="15.7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</row>
    <row r="76" spans="1:98" ht="15.75">
      <c r="A76" s="107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9"/>
      <c r="BW76" s="109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</row>
    <row r="77" spans="1:98" ht="15.75">
      <c r="A77" s="107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9"/>
      <c r="BW77" s="109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</row>
    <row r="78" spans="1:98" ht="15.75">
      <c r="A78" s="107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9"/>
      <c r="BW78" s="109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</row>
    <row r="79" spans="1:98" ht="15.75">
      <c r="A79" s="107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9"/>
      <c r="BW79" s="109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</row>
    <row r="80" spans="1:98" ht="15.75">
      <c r="A80" s="107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9"/>
      <c r="BW80" s="109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</row>
    <row r="81" spans="1:98" ht="15.7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</row>
    <row r="82" spans="1:98" ht="15.75">
      <c r="A82" s="107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9"/>
      <c r="BW82" s="109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</row>
    <row r="83" spans="1:98" ht="15.75">
      <c r="A83" s="107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9"/>
      <c r="BW83" s="109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</row>
    <row r="84" spans="1:98" ht="15.7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</row>
    <row r="85" spans="1:98" ht="15.75">
      <c r="A85" s="107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9"/>
      <c r="BW85" s="109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</row>
    <row r="86" spans="1:98" ht="15.75">
      <c r="A86" s="107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9"/>
      <c r="BW86" s="109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</row>
    <row r="87" spans="1:98" ht="15.75">
      <c r="A87" s="107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9"/>
      <c r="BW87" s="109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</row>
    <row r="88" spans="1:98" ht="15.75">
      <c r="A88" s="107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9"/>
      <c r="BW88" s="109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</row>
    <row r="89" spans="1:98" ht="15.7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</row>
    <row r="90" spans="1:98" ht="15.75">
      <c r="A90" s="107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9"/>
      <c r="BW90" s="109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</row>
    <row r="91" spans="1:98" ht="15.75">
      <c r="A91" s="107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9"/>
      <c r="BW91" s="109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</row>
    <row r="92" spans="1:98" ht="15.75">
      <c r="A92" s="107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9"/>
      <c r="BW92" s="109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</row>
    <row r="93" spans="1:98" ht="15.75">
      <c r="A93" s="107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9"/>
      <c r="BW93" s="109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</row>
    <row r="94" spans="1:98" ht="15.7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</row>
    <row r="95" spans="1:98" ht="15.75">
      <c r="A95" s="107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9"/>
      <c r="BW95" s="109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</row>
    <row r="96" spans="1:98" ht="15.75">
      <c r="A96" s="107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9"/>
      <c r="BW96" s="109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</row>
    <row r="97" spans="1:98" ht="15.7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</row>
    <row r="98" spans="1:98" ht="15.75">
      <c r="A98" s="107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9"/>
      <c r="BW98" s="109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</row>
    <row r="99" spans="1:98" ht="15.75">
      <c r="A99" s="107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9"/>
      <c r="BW99" s="109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</row>
    <row r="100" spans="1:98" ht="15.75">
      <c r="A100" s="107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9"/>
      <c r="BW100" s="109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</row>
    <row r="101" spans="1:98" ht="15.75">
      <c r="A101" s="107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9"/>
      <c r="BW101" s="109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</row>
    <row r="102" spans="1:98" ht="15.75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9"/>
      <c r="BW102" s="109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</row>
    <row r="103" spans="1:98" ht="15.75">
      <c r="A103" s="107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9"/>
      <c r="BW103" s="109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</row>
    <row r="104" spans="1:98" ht="15.75">
      <c r="A104" s="107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9"/>
      <c r="BW104" s="109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</row>
    <row r="105" spans="1:98" ht="15.75">
      <c r="A105" s="107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9"/>
      <c r="BW105" s="109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</row>
    <row r="106" spans="1:98" ht="15.7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</row>
    <row r="107" spans="1:98" ht="15.75">
      <c r="A107" s="107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9"/>
      <c r="BW107" s="109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</row>
    <row r="108" spans="1:98" ht="15.75">
      <c r="A108" s="107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9"/>
      <c r="BW108" s="109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</row>
    <row r="109" spans="1:98" ht="15.75">
      <c r="A109" s="107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9"/>
      <c r="BW109" s="109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</row>
    <row r="110" spans="1:98" ht="15.75">
      <c r="A110" s="107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9"/>
      <c r="BW110" s="109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</row>
    <row r="111" spans="1:98" ht="15.7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</row>
    <row r="112" spans="1:98" ht="15.75">
      <c r="A112" s="107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9"/>
      <c r="BW112" s="109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</row>
    <row r="113" spans="1:98" ht="15.75">
      <c r="A113" s="107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9"/>
      <c r="BW113" s="109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</row>
    <row r="114" spans="1:98" ht="15.75">
      <c r="A114" s="107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</row>
    <row r="115" spans="1:98" ht="15.75">
      <c r="A115" s="107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</row>
    <row r="116" spans="1:98" ht="15.7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</row>
    <row r="129" s="32" customFormat="1"/>
    <row r="130" s="32" customFormat="1"/>
    <row r="131" s="32" customFormat="1"/>
    <row r="132" s="32" customFormat="1"/>
    <row r="133" s="32" customFormat="1"/>
    <row r="134" s="32" customFormat="1"/>
    <row r="135" s="32" customFormat="1"/>
    <row r="136" s="32" customFormat="1"/>
    <row r="137" s="32" customFormat="1"/>
    <row r="138" s="32" customFormat="1"/>
    <row r="139" s="32" customFormat="1"/>
    <row r="140" s="32" customFormat="1"/>
    <row r="141" s="32" customFormat="1"/>
    <row r="142" s="32" customFormat="1"/>
    <row r="143" s="32" customFormat="1"/>
    <row r="144" s="32" customFormat="1"/>
    <row r="145" s="32" customFormat="1"/>
    <row r="146" s="32" customFormat="1"/>
    <row r="147" s="32" customFormat="1"/>
    <row r="148" s="32" customFormat="1"/>
    <row r="149" s="32" customFormat="1"/>
    <row r="150" s="32" customFormat="1"/>
    <row r="151" s="32" customFormat="1"/>
    <row r="152" s="32" customFormat="1"/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93409-F4C2-D84B-B7F6-7F5D874D69BA}">
  <sheetPr codeName="Feuil53">
    <tabColor theme="9" tint="0.79998168889431442"/>
  </sheetPr>
  <dimension ref="B1:BP58"/>
  <sheetViews>
    <sheetView showGridLines="0" tabSelected="1" zoomScale="85" zoomScaleNormal="85" workbookViewId="0">
      <pane xSplit="2" ySplit="5" topLeftCell="C44" activePane="bottomRight" state="frozen"/>
      <selection pane="topRight" activeCell="C1" sqref="C1"/>
      <selection pane="bottomLeft" activeCell="A4" sqref="A4"/>
      <selection pane="bottomRight" activeCell="I52" sqref="E52:I52"/>
    </sheetView>
  </sheetViews>
  <sheetFormatPr baseColWidth="10" defaultColWidth="10.7109375" defaultRowHeight="15.75" outlineLevelRow="1" outlineLevelCol="1"/>
  <cols>
    <col min="1" max="1" width="2.7109375" style="122" customWidth="1"/>
    <col min="2" max="2" width="40.7109375" style="122" customWidth="1"/>
    <col min="3" max="3" width="15.7109375" style="122" customWidth="1"/>
    <col min="4" max="9" width="15.7109375" style="122" customWidth="1" outlineLevel="1"/>
    <col min="10" max="10" width="15.7109375" style="122" customWidth="1"/>
    <col min="11" max="16" width="15.7109375" style="122" customWidth="1" outlineLevel="1"/>
    <col min="17" max="17" width="15.7109375" style="122" customWidth="1"/>
    <col min="18" max="23" width="15.7109375" style="122" customWidth="1" outlineLevel="1"/>
    <col min="24" max="24" width="15.7109375" style="122" customWidth="1"/>
    <col min="25" max="30" width="15.7109375" style="122" customWidth="1" outlineLevel="1"/>
    <col min="31" max="32" width="15.7109375" style="122" customWidth="1"/>
    <col min="33" max="40" width="15.7109375" style="122" customWidth="1" outlineLevel="1"/>
    <col min="41" max="41" width="15.7109375" style="122" customWidth="1"/>
    <col min="42" max="49" width="15.7109375" style="122" customWidth="1" outlineLevel="1"/>
    <col min="50" max="50" width="15.7109375" style="122" customWidth="1"/>
    <col min="51" max="58" width="15.7109375" style="122" customWidth="1" outlineLevel="1"/>
    <col min="59" max="59" width="15.7109375" style="122" customWidth="1"/>
    <col min="60" max="67" width="15.7109375" style="122" customWidth="1" outlineLevel="1"/>
    <col min="68" max="68" width="15.7109375" style="122" customWidth="1"/>
    <col min="69" max="16384" width="10.7109375" style="122"/>
  </cols>
  <sheetData>
    <row r="1" spans="2:68">
      <c r="D1" s="246"/>
      <c r="E1" s="181" t="s">
        <v>261</v>
      </c>
      <c r="F1" s="181" t="s">
        <v>261</v>
      </c>
      <c r="G1" s="181" t="s">
        <v>261</v>
      </c>
      <c r="H1" s="181" t="s">
        <v>261</v>
      </c>
      <c r="I1" s="181" t="s">
        <v>261</v>
      </c>
      <c r="J1" s="181" t="s">
        <v>261</v>
      </c>
      <c r="L1" s="181" t="s">
        <v>261</v>
      </c>
      <c r="M1" s="181" t="s">
        <v>261</v>
      </c>
      <c r="N1" s="181" t="s">
        <v>261</v>
      </c>
      <c r="O1" s="181" t="s">
        <v>261</v>
      </c>
      <c r="P1" s="181" t="s">
        <v>261</v>
      </c>
      <c r="Q1" s="181" t="s">
        <v>261</v>
      </c>
      <c r="S1" s="181" t="s">
        <v>261</v>
      </c>
      <c r="T1" s="181" t="s">
        <v>261</v>
      </c>
      <c r="U1" s="181" t="s">
        <v>261</v>
      </c>
      <c r="V1" s="181" t="s">
        <v>261</v>
      </c>
      <c r="W1" s="181" t="s">
        <v>261</v>
      </c>
      <c r="X1" s="181" t="s">
        <v>261</v>
      </c>
      <c r="Z1" s="181" t="s">
        <v>261</v>
      </c>
      <c r="AA1" s="181" t="s">
        <v>261</v>
      </c>
      <c r="AB1" s="181" t="s">
        <v>261</v>
      </c>
      <c r="AC1" s="181" t="s">
        <v>261</v>
      </c>
      <c r="AD1" s="181" t="s">
        <v>261</v>
      </c>
      <c r="AE1" s="181" t="s">
        <v>261</v>
      </c>
      <c r="AF1" s="246"/>
      <c r="AH1" s="181" t="s">
        <v>893</v>
      </c>
      <c r="AI1" s="181" t="s">
        <v>893</v>
      </c>
      <c r="AJ1" s="181" t="s">
        <v>893</v>
      </c>
      <c r="AK1" s="181" t="s">
        <v>893</v>
      </c>
      <c r="AL1" s="181" t="s">
        <v>893</v>
      </c>
      <c r="AM1" s="181" t="s">
        <v>893</v>
      </c>
      <c r="AN1" s="181" t="s">
        <v>893</v>
      </c>
      <c r="AO1" s="181" t="s">
        <v>893</v>
      </c>
      <c r="AQ1" s="181" t="s">
        <v>893</v>
      </c>
      <c r="AR1" s="181" t="s">
        <v>893</v>
      </c>
      <c r="AS1" s="181" t="s">
        <v>893</v>
      </c>
      <c r="AT1" s="181" t="s">
        <v>893</v>
      </c>
      <c r="AU1" s="181" t="s">
        <v>893</v>
      </c>
      <c r="AV1" s="181" t="s">
        <v>893</v>
      </c>
      <c r="AW1" s="181" t="s">
        <v>893</v>
      </c>
      <c r="AX1" s="181" t="s">
        <v>893</v>
      </c>
      <c r="AZ1" s="181" t="s">
        <v>893</v>
      </c>
      <c r="BA1" s="181" t="s">
        <v>893</v>
      </c>
      <c r="BB1" s="181" t="s">
        <v>893</v>
      </c>
      <c r="BC1" s="181" t="s">
        <v>893</v>
      </c>
      <c r="BD1" s="181" t="s">
        <v>893</v>
      </c>
      <c r="BE1" s="181" t="s">
        <v>893</v>
      </c>
      <c r="BF1" s="181" t="s">
        <v>893</v>
      </c>
      <c r="BG1" s="181" t="s">
        <v>893</v>
      </c>
      <c r="BI1" s="181" t="s">
        <v>893</v>
      </c>
      <c r="BJ1" s="181" t="s">
        <v>893</v>
      </c>
      <c r="BK1" s="181" t="s">
        <v>893</v>
      </c>
      <c r="BL1" s="181" t="s">
        <v>893</v>
      </c>
      <c r="BM1" s="181" t="s">
        <v>893</v>
      </c>
      <c r="BN1" s="181" t="s">
        <v>893</v>
      </c>
      <c r="BO1" s="181" t="s">
        <v>893</v>
      </c>
      <c r="BP1" s="181" t="s">
        <v>893</v>
      </c>
    </row>
    <row r="2" spans="2:68">
      <c r="B2" s="343" t="s">
        <v>223</v>
      </c>
      <c r="C2" s="253"/>
      <c r="D2" s="255"/>
      <c r="E2" s="251" t="s">
        <v>664</v>
      </c>
      <c r="F2" s="251" t="s">
        <v>894</v>
      </c>
      <c r="G2" s="251" t="s">
        <v>274</v>
      </c>
      <c r="H2" s="251" t="s">
        <v>665</v>
      </c>
      <c r="I2" s="251" t="s">
        <v>723</v>
      </c>
      <c r="J2" s="254" t="s">
        <v>662</v>
      </c>
      <c r="K2" s="253"/>
      <c r="L2" s="251" t="s">
        <v>664</v>
      </c>
      <c r="M2" s="251" t="s">
        <v>894</v>
      </c>
      <c r="N2" s="251" t="s">
        <v>274</v>
      </c>
      <c r="O2" s="251" t="s">
        <v>665</v>
      </c>
      <c r="P2" s="251" t="s">
        <v>665</v>
      </c>
      <c r="Q2" s="254" t="s">
        <v>662</v>
      </c>
      <c r="R2" s="254"/>
      <c r="S2" s="251" t="s">
        <v>664</v>
      </c>
      <c r="T2" s="251" t="s">
        <v>894</v>
      </c>
      <c r="U2" s="251" t="s">
        <v>274</v>
      </c>
      <c r="V2" s="251" t="s">
        <v>665</v>
      </c>
      <c r="W2" s="251" t="s">
        <v>723</v>
      </c>
      <c r="X2" s="254" t="s">
        <v>662</v>
      </c>
      <c r="Y2" s="254"/>
      <c r="Z2" s="251" t="s">
        <v>664</v>
      </c>
      <c r="AA2" s="251" t="s">
        <v>894</v>
      </c>
      <c r="AB2" s="251" t="s">
        <v>274</v>
      </c>
      <c r="AC2" s="251" t="s">
        <v>665</v>
      </c>
      <c r="AD2" s="251" t="s">
        <v>723</v>
      </c>
      <c r="AE2" s="254" t="s">
        <v>662</v>
      </c>
      <c r="AF2" s="254"/>
      <c r="AG2" s="254"/>
      <c r="AH2" s="251" t="s">
        <v>664</v>
      </c>
      <c r="AI2" s="251" t="s">
        <v>894</v>
      </c>
      <c r="AJ2" s="251" t="s">
        <v>274</v>
      </c>
      <c r="AK2" s="251" t="s">
        <v>830</v>
      </c>
      <c r="AL2" s="251" t="s">
        <v>665</v>
      </c>
      <c r="AM2" s="251" t="s">
        <v>723</v>
      </c>
      <c r="AN2" s="251" t="s">
        <v>922</v>
      </c>
      <c r="AO2" s="251" t="s">
        <v>662</v>
      </c>
      <c r="AP2" s="254"/>
      <c r="AQ2" s="251" t="s">
        <v>664</v>
      </c>
      <c r="AR2" s="251" t="s">
        <v>894</v>
      </c>
      <c r="AS2" s="251" t="s">
        <v>274</v>
      </c>
      <c r="AT2" s="251" t="s">
        <v>830</v>
      </c>
      <c r="AU2" s="251" t="s">
        <v>665</v>
      </c>
      <c r="AV2" s="251" t="s">
        <v>723</v>
      </c>
      <c r="AW2" s="251" t="s">
        <v>922</v>
      </c>
      <c r="AX2" s="254" t="s">
        <v>662</v>
      </c>
      <c r="AY2" s="254"/>
      <c r="AZ2" s="251" t="s">
        <v>664</v>
      </c>
      <c r="BA2" s="251" t="s">
        <v>894</v>
      </c>
      <c r="BB2" s="251" t="s">
        <v>274</v>
      </c>
      <c r="BC2" s="251" t="s">
        <v>830</v>
      </c>
      <c r="BD2" s="251" t="s">
        <v>665</v>
      </c>
      <c r="BE2" s="251" t="s">
        <v>723</v>
      </c>
      <c r="BF2" s="251" t="s">
        <v>922</v>
      </c>
      <c r="BG2" s="254" t="s">
        <v>662</v>
      </c>
      <c r="BH2" s="254"/>
      <c r="BI2" s="251" t="s">
        <v>664</v>
      </c>
      <c r="BJ2" s="251" t="s">
        <v>894</v>
      </c>
      <c r="BK2" s="251" t="s">
        <v>274</v>
      </c>
      <c r="BL2" s="251" t="s">
        <v>830</v>
      </c>
      <c r="BM2" s="251" t="s">
        <v>665</v>
      </c>
      <c r="BN2" s="251" t="s">
        <v>723</v>
      </c>
      <c r="BO2" s="251" t="s">
        <v>922</v>
      </c>
      <c r="BP2" s="254" t="s">
        <v>662</v>
      </c>
    </row>
    <row r="3" spans="2:68" ht="18" customHeight="1">
      <c r="B3" s="343"/>
      <c r="C3" s="244">
        <v>44074</v>
      </c>
      <c r="D3" s="248"/>
      <c r="E3" s="248">
        <v>44439</v>
      </c>
      <c r="F3" s="248">
        <v>44439</v>
      </c>
      <c r="G3" s="248">
        <v>44439</v>
      </c>
      <c r="H3" s="248">
        <v>44561</v>
      </c>
      <c r="I3" s="248">
        <v>44561</v>
      </c>
      <c r="J3" s="244">
        <v>44439</v>
      </c>
      <c r="K3" s="244"/>
      <c r="L3" s="248">
        <v>44804</v>
      </c>
      <c r="M3" s="248">
        <v>44804</v>
      </c>
      <c r="N3" s="248">
        <v>44804</v>
      </c>
      <c r="O3" s="248">
        <v>44926</v>
      </c>
      <c r="P3" s="248">
        <v>44926</v>
      </c>
      <c r="Q3" s="244">
        <v>44804</v>
      </c>
      <c r="R3" s="244"/>
      <c r="S3" s="248">
        <v>45169</v>
      </c>
      <c r="T3" s="248">
        <v>45169</v>
      </c>
      <c r="U3" s="248">
        <v>45169</v>
      </c>
      <c r="V3" s="248">
        <v>45291</v>
      </c>
      <c r="W3" s="248">
        <v>45291</v>
      </c>
      <c r="X3" s="244">
        <v>45169</v>
      </c>
      <c r="Y3" s="244"/>
      <c r="Z3" s="248">
        <v>45535</v>
      </c>
      <c r="AA3" s="248">
        <v>45535</v>
      </c>
      <c r="AB3" s="248">
        <v>45535</v>
      </c>
      <c r="AC3" s="248">
        <v>45657</v>
      </c>
      <c r="AD3" s="248">
        <v>45657</v>
      </c>
      <c r="AE3" s="248">
        <v>45535</v>
      </c>
      <c r="AF3" s="248"/>
      <c r="AG3" s="244"/>
      <c r="AH3" s="248">
        <v>45900</v>
      </c>
      <c r="AI3" s="248">
        <v>45900</v>
      </c>
      <c r="AJ3" s="248">
        <v>45900</v>
      </c>
      <c r="AK3" s="248">
        <v>45900</v>
      </c>
      <c r="AL3" s="248">
        <v>46022</v>
      </c>
      <c r="AM3" s="248">
        <v>46022</v>
      </c>
      <c r="AN3" s="248">
        <v>46022</v>
      </c>
      <c r="AO3" s="248">
        <v>45900</v>
      </c>
      <c r="AP3" s="244"/>
      <c r="AQ3" s="248">
        <v>46265</v>
      </c>
      <c r="AR3" s="248">
        <v>46265</v>
      </c>
      <c r="AS3" s="248">
        <v>46265</v>
      </c>
      <c r="AT3" s="248">
        <v>46265</v>
      </c>
      <c r="AU3" s="248">
        <v>46387</v>
      </c>
      <c r="AV3" s="248">
        <v>46387</v>
      </c>
      <c r="AW3" s="248">
        <v>46387</v>
      </c>
      <c r="AX3" s="248">
        <v>46265</v>
      </c>
      <c r="AY3" s="244"/>
      <c r="AZ3" s="248">
        <v>46630</v>
      </c>
      <c r="BA3" s="248">
        <v>46630</v>
      </c>
      <c r="BB3" s="248">
        <v>46630</v>
      </c>
      <c r="BC3" s="248">
        <v>46630</v>
      </c>
      <c r="BD3" s="248">
        <v>46752</v>
      </c>
      <c r="BE3" s="248">
        <v>46752</v>
      </c>
      <c r="BF3" s="248">
        <v>46752</v>
      </c>
      <c r="BG3" s="248">
        <v>46630</v>
      </c>
      <c r="BH3" s="244"/>
      <c r="BI3" s="248">
        <v>46996</v>
      </c>
      <c r="BJ3" s="248">
        <v>46996</v>
      </c>
      <c r="BK3" s="248">
        <v>46996</v>
      </c>
      <c r="BL3" s="248">
        <v>46996</v>
      </c>
      <c r="BM3" s="248">
        <v>47118</v>
      </c>
      <c r="BN3" s="248">
        <v>47118</v>
      </c>
      <c r="BO3" s="248">
        <v>47118</v>
      </c>
      <c r="BP3" s="248">
        <v>46996</v>
      </c>
    </row>
    <row r="4" spans="2:68" ht="20.100000000000001" customHeight="1">
      <c r="B4" s="343"/>
      <c r="C4" s="124" t="s">
        <v>3</v>
      </c>
      <c r="D4" s="123"/>
      <c r="E4" s="123" t="s">
        <v>3</v>
      </c>
      <c r="F4" s="123" t="s">
        <v>3</v>
      </c>
      <c r="G4" s="123" t="s">
        <v>3</v>
      </c>
      <c r="H4" s="123" t="s">
        <v>3</v>
      </c>
      <c r="I4" s="123" t="s">
        <v>3</v>
      </c>
      <c r="J4" s="124" t="s">
        <v>3</v>
      </c>
      <c r="K4" s="124"/>
      <c r="L4" s="123" t="s">
        <v>3</v>
      </c>
      <c r="M4" s="123" t="s">
        <v>663</v>
      </c>
      <c r="N4" s="123" t="s">
        <v>3</v>
      </c>
      <c r="O4" s="123" t="s">
        <v>3</v>
      </c>
      <c r="P4" s="123" t="s">
        <v>3</v>
      </c>
      <c r="Q4" s="124" t="s">
        <v>3</v>
      </c>
      <c r="R4" s="124"/>
      <c r="S4" s="123" t="s">
        <v>3</v>
      </c>
      <c r="T4" s="123" t="s">
        <v>3</v>
      </c>
      <c r="U4" s="123" t="s">
        <v>3</v>
      </c>
      <c r="V4" s="123" t="s">
        <v>3</v>
      </c>
      <c r="W4" s="123" t="s">
        <v>3</v>
      </c>
      <c r="X4" s="124" t="s">
        <v>3</v>
      </c>
      <c r="Y4" s="124"/>
      <c r="Z4" s="123" t="s">
        <v>3</v>
      </c>
      <c r="AA4" s="123" t="s">
        <v>3</v>
      </c>
      <c r="AB4" s="123" t="s">
        <v>3</v>
      </c>
      <c r="AC4" s="123" t="s">
        <v>3</v>
      </c>
      <c r="AD4" s="123" t="s">
        <v>3</v>
      </c>
      <c r="AE4" s="124" t="s">
        <v>3</v>
      </c>
      <c r="AF4" s="218"/>
      <c r="AG4" s="124"/>
      <c r="AH4" s="123" t="s">
        <v>3</v>
      </c>
      <c r="AI4" s="123" t="s">
        <v>3</v>
      </c>
      <c r="AJ4" s="123" t="s">
        <v>3</v>
      </c>
      <c r="AK4" s="123" t="s">
        <v>3</v>
      </c>
      <c r="AL4" s="123" t="s">
        <v>3</v>
      </c>
      <c r="AM4" s="123" t="s">
        <v>3</v>
      </c>
      <c r="AN4" s="123" t="s">
        <v>3</v>
      </c>
      <c r="AO4" s="123" t="s">
        <v>3</v>
      </c>
      <c r="AP4" s="124"/>
      <c r="AQ4" s="123" t="s">
        <v>3</v>
      </c>
      <c r="AR4" s="123" t="s">
        <v>3</v>
      </c>
      <c r="AS4" s="123" t="s">
        <v>3</v>
      </c>
      <c r="AT4" s="123" t="s">
        <v>3</v>
      </c>
      <c r="AU4" s="123" t="s">
        <v>3</v>
      </c>
      <c r="AV4" s="123" t="s">
        <v>3</v>
      </c>
      <c r="AW4" s="123" t="s">
        <v>3</v>
      </c>
      <c r="AX4" s="124" t="s">
        <v>3</v>
      </c>
      <c r="AY4" s="124"/>
      <c r="AZ4" s="123" t="s">
        <v>3</v>
      </c>
      <c r="BA4" s="123" t="s">
        <v>3</v>
      </c>
      <c r="BB4" s="123" t="s">
        <v>3</v>
      </c>
      <c r="BC4" s="123" t="s">
        <v>3</v>
      </c>
      <c r="BD4" s="123" t="s">
        <v>3</v>
      </c>
      <c r="BE4" s="123" t="s">
        <v>3</v>
      </c>
      <c r="BF4" s="123" t="s">
        <v>3</v>
      </c>
      <c r="BG4" s="124" t="s">
        <v>3</v>
      </c>
      <c r="BH4" s="124"/>
      <c r="BI4" s="123" t="s">
        <v>3</v>
      </c>
      <c r="BJ4" s="123" t="s">
        <v>3</v>
      </c>
      <c r="BK4" s="123" t="s">
        <v>3</v>
      </c>
      <c r="BL4" s="123" t="s">
        <v>3</v>
      </c>
      <c r="BM4" s="123" t="s">
        <v>3</v>
      </c>
      <c r="BN4" s="123" t="s">
        <v>3</v>
      </c>
      <c r="BO4" s="123" t="s">
        <v>3</v>
      </c>
      <c r="BP4" s="124" t="s">
        <v>3</v>
      </c>
    </row>
    <row r="5" spans="2:68" ht="1.35" customHeight="1">
      <c r="B5" s="148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</row>
    <row r="6" spans="2:68">
      <c r="B6" s="148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</row>
    <row r="7" spans="2:68">
      <c r="B7" s="149" t="s">
        <v>224</v>
      </c>
      <c r="C7" s="150"/>
      <c r="D7" s="219"/>
      <c r="E7" s="150"/>
      <c r="F7" s="150"/>
      <c r="G7" s="150"/>
      <c r="H7" s="150"/>
      <c r="I7" s="150"/>
      <c r="J7" s="150"/>
      <c r="K7" s="219"/>
      <c r="L7" s="150"/>
      <c r="M7" s="150"/>
      <c r="N7" s="150"/>
      <c r="O7" s="150"/>
      <c r="P7" s="150"/>
      <c r="Q7" s="150"/>
      <c r="R7" s="219"/>
      <c r="S7" s="150"/>
      <c r="T7" s="150"/>
      <c r="U7" s="150"/>
      <c r="V7" s="150"/>
      <c r="W7" s="150"/>
      <c r="X7" s="150"/>
      <c r="Y7" s="219"/>
      <c r="Z7" s="150"/>
      <c r="AA7" s="150"/>
      <c r="AB7" s="150"/>
      <c r="AC7" s="150"/>
      <c r="AD7" s="150"/>
      <c r="AE7" s="150"/>
      <c r="AF7" s="219"/>
      <c r="AG7" s="219"/>
      <c r="AH7" s="150"/>
      <c r="AI7" s="150"/>
      <c r="AJ7" s="150"/>
      <c r="AK7" s="150"/>
      <c r="AL7" s="150"/>
      <c r="AM7" s="150"/>
      <c r="AN7" s="150"/>
      <c r="AO7" s="150"/>
      <c r="AP7" s="219"/>
      <c r="AQ7" s="150"/>
      <c r="AR7" s="150"/>
      <c r="AS7" s="150"/>
      <c r="AT7" s="150"/>
      <c r="AU7" s="150"/>
      <c r="AV7" s="150"/>
      <c r="AW7" s="150"/>
      <c r="AX7" s="150"/>
      <c r="AY7" s="219"/>
      <c r="AZ7" s="150"/>
      <c r="BA7" s="150"/>
      <c r="BB7" s="150"/>
      <c r="BC7" s="150"/>
      <c r="BD7" s="150"/>
      <c r="BE7" s="150"/>
      <c r="BF7" s="150"/>
      <c r="BG7" s="150"/>
      <c r="BH7" s="219"/>
      <c r="BI7" s="150"/>
      <c r="BJ7" s="150"/>
      <c r="BK7" s="150"/>
      <c r="BL7" s="150"/>
      <c r="BM7" s="150"/>
      <c r="BN7" s="150"/>
      <c r="BO7" s="150"/>
      <c r="BP7" s="150"/>
    </row>
    <row r="8" spans="2:68">
      <c r="B8" s="151" t="s">
        <v>26</v>
      </c>
      <c r="C8" s="191"/>
      <c r="D8" s="152"/>
      <c r="E8" s="191">
        <f>'Probois 43 - CF'!D8</f>
        <v>33779</v>
      </c>
      <c r="F8" s="191"/>
      <c r="G8" s="191">
        <f>'BSB - CF'!D8</f>
        <v>34399</v>
      </c>
      <c r="H8" s="191">
        <f>'SC des SUCS - CF'!D8</f>
        <v>-3177</v>
      </c>
      <c r="I8" s="191"/>
      <c r="J8" s="191">
        <f>SUM(E8:I8)</f>
        <v>65001</v>
      </c>
      <c r="K8" s="152"/>
      <c r="L8" s="191">
        <f>'Probois 43 - CF'!E8</f>
        <v>146888</v>
      </c>
      <c r="M8" s="191">
        <f>'SAS EMB - CF'!D8</f>
        <v>130353</v>
      </c>
      <c r="N8" s="191">
        <f>'BSB - CF'!E8</f>
        <v>100949</v>
      </c>
      <c r="O8" s="191">
        <f>'SC des SUCS - CF'!E8</f>
        <v>-5320</v>
      </c>
      <c r="P8" s="191">
        <f>'SCI - CF'!E8</f>
        <v>7476</v>
      </c>
      <c r="Q8" s="191">
        <f>SUM(L8:P8)</f>
        <v>380346</v>
      </c>
      <c r="R8" s="152"/>
      <c r="S8" s="191">
        <f>'Probois 43 - CF'!F8</f>
        <v>125446</v>
      </c>
      <c r="T8" s="191">
        <f>'SAS EMB - CF'!E8</f>
        <v>171265</v>
      </c>
      <c r="U8" s="191">
        <f>'BSB - CF'!F8</f>
        <v>111319</v>
      </c>
      <c r="V8" s="191">
        <f>'SC des SUCS - CF'!F8</f>
        <v>17336</v>
      </c>
      <c r="W8" s="191">
        <f>'SCI - CF'!F8</f>
        <v>12223</v>
      </c>
      <c r="X8" s="191">
        <f>SUM(S8:W8)</f>
        <v>437589</v>
      </c>
      <c r="Y8" s="152"/>
      <c r="Z8" s="191">
        <f>'Probois 43 - CF (2)'!G8</f>
        <v>140550</v>
      </c>
      <c r="AA8" s="191">
        <f>'SAS EMB - CF (2)'!F8</f>
        <v>104222</v>
      </c>
      <c r="AB8" s="191">
        <f>'BSB - CF (2)'!G8</f>
        <v>117029</v>
      </c>
      <c r="AC8" s="191">
        <f>'SC des SUCS - CF (2)'!H8</f>
        <v>43734</v>
      </c>
      <c r="AD8" s="191">
        <f>'SCI - CF (2)'!H8</f>
        <v>12223</v>
      </c>
      <c r="AE8" s="191">
        <f>SUM(Z8:AD8)</f>
        <v>417758</v>
      </c>
      <c r="AF8" s="152"/>
      <c r="AG8" s="152"/>
      <c r="AH8" s="191">
        <f>'Probois 43 - CF (2)'!I8</f>
        <v>76216</v>
      </c>
      <c r="AI8" s="191">
        <f>'SAS EMB - CF (2)'!H8</f>
        <v>93316.349999999977</v>
      </c>
      <c r="AJ8" s="191">
        <f>'BSB - CF (2)'!I8</f>
        <v>54034.04999999993</v>
      </c>
      <c r="AK8" s="191">
        <f>'Profilyss - CF (2)'!I8</f>
        <v>0</v>
      </c>
      <c r="AL8" s="191">
        <f>'SC des SUCS - CF (2)'!I8</f>
        <v>-77646</v>
      </c>
      <c r="AM8" s="191">
        <f>'SCI - CF (2)'!I8</f>
        <v>12223</v>
      </c>
      <c r="AN8" s="191"/>
      <c r="AO8" s="191">
        <f>SUM(AH8:AN8)</f>
        <v>158143.39999999991</v>
      </c>
      <c r="AP8" s="152"/>
      <c r="AQ8" s="191">
        <f>'Probois 43 - CF (2)'!J8</f>
        <v>96401.760000000009</v>
      </c>
      <c r="AR8" s="191">
        <f>'SAS EMB - CF (2)'!I8</f>
        <v>71049.695714285597</v>
      </c>
      <c r="AS8" s="191">
        <f>'BSB - CF (2)'!J8</f>
        <v>80423.439999999944</v>
      </c>
      <c r="AT8" s="191">
        <f>'Profilyss - CF (2)'!J8</f>
        <v>-481609.37037037034</v>
      </c>
      <c r="AU8" s="191">
        <f>'SC des SUCS - CF (2)'!J8</f>
        <v>-77646</v>
      </c>
      <c r="AV8" s="191">
        <f>'SCI - CF (2)'!J8</f>
        <v>12223</v>
      </c>
      <c r="AW8" s="191">
        <f>'Antreuil - CF (2)'!J8</f>
        <v>72433</v>
      </c>
      <c r="AX8" s="191">
        <f>SUM(AQ8:AW8)</f>
        <v>-226724.47465608479</v>
      </c>
      <c r="AY8" s="152"/>
      <c r="AZ8" s="191">
        <f>'Probois 43 - CF (2)'!K8</f>
        <v>116071.83999999997</v>
      </c>
      <c r="BA8" s="191">
        <f>'SAS EMB - CF (2)'!J8</f>
        <v>89245.495714285644</v>
      </c>
      <c r="BB8" s="191">
        <f>'BSB - CF (2)'!K8</f>
        <v>132796.51</v>
      </c>
      <c r="BC8" s="191">
        <f>'Profilyss - CF (2)'!K8</f>
        <v>-110218.08771929843</v>
      </c>
      <c r="BD8" s="191">
        <f>'SC des SUCS - CF (2)'!K8</f>
        <v>-77646</v>
      </c>
      <c r="BE8" s="191">
        <f>'SCI - CF (2)'!K8</f>
        <v>12223</v>
      </c>
      <c r="BF8" s="191">
        <f>'Antreuil - CF (2)'!K8</f>
        <v>72433</v>
      </c>
      <c r="BG8" s="191">
        <f>SUM(AZ8:BF8)</f>
        <v>234905.75799498719</v>
      </c>
      <c r="BH8" s="152"/>
      <c r="BI8" s="191">
        <f>'Probois 43 - CF (2)'!L8</f>
        <v>137300.47999999998</v>
      </c>
      <c r="BJ8" s="191">
        <f>'SAS EMB - CF (2)'!K8</f>
        <v>107824.93571428559</v>
      </c>
      <c r="BK8" s="191">
        <f>'BSB - CF (2)'!L8</f>
        <v>189710.82000000007</v>
      </c>
      <c r="BL8" s="191">
        <f>'Profilyss - CF (2)'!L8</f>
        <v>413411.33333333337</v>
      </c>
      <c r="BM8" s="191">
        <f>'SC des SUCS - CF (2)'!L8</f>
        <v>-77646</v>
      </c>
      <c r="BN8" s="191">
        <f>'SCI - CF (2)'!L8</f>
        <v>12223</v>
      </c>
      <c r="BO8" s="191">
        <f>'Antreuil - CF (2)'!L8</f>
        <v>72433</v>
      </c>
      <c r="BP8" s="191">
        <f>SUM(BI8:BO8)</f>
        <v>855257.56904761901</v>
      </c>
    </row>
    <row r="9" spans="2:68">
      <c r="B9" s="148" t="s">
        <v>225</v>
      </c>
      <c r="C9" s="191"/>
      <c r="D9" s="152"/>
      <c r="E9" s="191">
        <f>'Probois 43 - CF'!D9</f>
        <v>0</v>
      </c>
      <c r="F9" s="191"/>
      <c r="G9" s="191">
        <f>'BSB - CF'!D9</f>
        <v>-370</v>
      </c>
      <c r="H9" s="191">
        <f>'SC des SUCS - CF'!D9</f>
        <v>0</v>
      </c>
      <c r="I9" s="191"/>
      <c r="J9" s="191">
        <f t="shared" ref="J9:J26" si="0">SUM(E9:I9)</f>
        <v>-370</v>
      </c>
      <c r="K9" s="152"/>
      <c r="L9" s="191">
        <f>'Probois 43 - CF'!E9</f>
        <v>-2545</v>
      </c>
      <c r="M9" s="191">
        <f>'SAS EMB - CF'!D9</f>
        <v>0</v>
      </c>
      <c r="N9" s="191">
        <f>'BSB - CF'!E9</f>
        <v>-3125</v>
      </c>
      <c r="O9" s="191">
        <f>'SC des SUCS - CF'!E9</f>
        <v>0</v>
      </c>
      <c r="P9" s="191">
        <f>'SCI - CF'!E9</f>
        <v>0</v>
      </c>
      <c r="Q9" s="191">
        <f t="shared" ref="Q9:Q26" si="1">SUM(L9:P9)</f>
        <v>-5670</v>
      </c>
      <c r="R9" s="152"/>
      <c r="S9" s="191">
        <f>'Probois 43 - CF'!F9</f>
        <v>-365</v>
      </c>
      <c r="T9" s="191">
        <f>'SAS EMB - CF'!E9</f>
        <v>-877</v>
      </c>
      <c r="U9" s="191">
        <f>'BSB - CF'!F9</f>
        <v>0</v>
      </c>
      <c r="V9" s="191">
        <f>'SC des SUCS - CF'!F9</f>
        <v>-3000</v>
      </c>
      <c r="W9" s="191">
        <f>'SCI - CF'!F9</f>
        <v>0</v>
      </c>
      <c r="X9" s="191">
        <f t="shared" ref="X9:X26" si="2">SUM(S9:W9)</f>
        <v>-4242</v>
      </c>
      <c r="Y9" s="152"/>
      <c r="Z9" s="191">
        <f>'Probois 43 - CF (2)'!G9</f>
        <v>0</v>
      </c>
      <c r="AA9" s="191">
        <f>'SAS EMB - CF (2)'!F9</f>
        <v>0</v>
      </c>
      <c r="AB9" s="191">
        <f>'BSB - CF (2)'!G9</f>
        <v>-178</v>
      </c>
      <c r="AC9" s="191">
        <f>'SC des SUCS - CF (2)'!H9</f>
        <v>0</v>
      </c>
      <c r="AD9" s="191">
        <f>'SCI - CF (2)'!H9</f>
        <v>0</v>
      </c>
      <c r="AE9" s="191">
        <f t="shared" ref="AE9:AE26" si="3">SUM(Z9:AD9)</f>
        <v>-178</v>
      </c>
      <c r="AF9" s="152"/>
      <c r="AG9" s="152"/>
      <c r="AH9" s="191">
        <f>'Probois 43 - CF (2)'!I9</f>
        <v>0</v>
      </c>
      <c r="AI9" s="191">
        <f>'SAS EMB - CF (2)'!H9</f>
        <v>0</v>
      </c>
      <c r="AJ9" s="191">
        <f>'BSB - CF (2)'!I9</f>
        <v>0</v>
      </c>
      <c r="AK9" s="191">
        <f>'Profilyss - CF (2)'!I9</f>
        <v>0</v>
      </c>
      <c r="AL9" s="191">
        <f>'SC des SUCS - CF (2)'!I9</f>
        <v>0</v>
      </c>
      <c r="AM9" s="191">
        <f>'SCI - CF (2)'!I9</f>
        <v>0</v>
      </c>
      <c r="AN9" s="191"/>
      <c r="AO9" s="191">
        <f t="shared" ref="AO9:AO26" si="4">SUM(AH9:AN9)</f>
        <v>0</v>
      </c>
      <c r="AP9" s="152"/>
      <c r="AQ9" s="191">
        <f>'Probois 43 - CF (2)'!J9</f>
        <v>0</v>
      </c>
      <c r="AR9" s="191">
        <f>'SAS EMB - CF (2)'!I9</f>
        <v>0</v>
      </c>
      <c r="AS9" s="191">
        <f>'BSB - CF (2)'!J9</f>
        <v>0</v>
      </c>
      <c r="AT9" s="191">
        <f>'Profilyss - CF (2)'!J9</f>
        <v>0</v>
      </c>
      <c r="AU9" s="191">
        <f>'SC des SUCS - CF (2)'!J9</f>
        <v>0</v>
      </c>
      <c r="AV9" s="191">
        <f>'SCI - CF (2)'!J9</f>
        <v>0</v>
      </c>
      <c r="AW9" s="191">
        <f>'Antreuil - CF (2)'!J9</f>
        <v>0</v>
      </c>
      <c r="AX9" s="191">
        <f t="shared" ref="AX9:AX26" si="5">SUM(AQ9:AW9)</f>
        <v>0</v>
      </c>
      <c r="AY9" s="152"/>
      <c r="AZ9" s="191">
        <f>'Probois 43 - CF (2)'!K9</f>
        <v>0</v>
      </c>
      <c r="BA9" s="191">
        <f>'SAS EMB - CF (2)'!J9</f>
        <v>0</v>
      </c>
      <c r="BB9" s="191">
        <f>'BSB - CF (2)'!K9</f>
        <v>0</v>
      </c>
      <c r="BC9" s="191">
        <f>'Profilyss - CF (2)'!K9</f>
        <v>0</v>
      </c>
      <c r="BD9" s="191">
        <f>'SC des SUCS - CF (2)'!K9</f>
        <v>0</v>
      </c>
      <c r="BE9" s="191">
        <f>'SCI - CF (2)'!K9</f>
        <v>0</v>
      </c>
      <c r="BF9" s="191">
        <f>'Antreuil - CF (2)'!K9</f>
        <v>0</v>
      </c>
      <c r="BG9" s="191">
        <f t="shared" ref="BG9:BG26" si="6">SUM(AZ9:BF9)</f>
        <v>0</v>
      </c>
      <c r="BH9" s="152"/>
      <c r="BI9" s="191">
        <f>'Probois 43 - CF (2)'!L9</f>
        <v>0</v>
      </c>
      <c r="BJ9" s="191">
        <f>'SAS EMB - CF (2)'!K9</f>
        <v>0</v>
      </c>
      <c r="BK9" s="191">
        <f>'BSB - CF (2)'!L9</f>
        <v>0</v>
      </c>
      <c r="BL9" s="191">
        <f>'Profilyss - CF (2)'!L9</f>
        <v>0</v>
      </c>
      <c r="BM9" s="191">
        <f>'SC des SUCS - CF (2)'!L9</f>
        <v>0</v>
      </c>
      <c r="BN9" s="191">
        <f>'SCI - CF (2)'!L9</f>
        <v>0</v>
      </c>
      <c r="BO9" s="191">
        <f>'Antreuil - CF (2)'!L9</f>
        <v>0</v>
      </c>
      <c r="BP9" s="191">
        <f t="shared" ref="BP9:BP26" si="7">SUM(BI9:BO9)</f>
        <v>0</v>
      </c>
    </row>
    <row r="10" spans="2:68">
      <c r="B10" s="148" t="s">
        <v>226</v>
      </c>
      <c r="C10" s="191"/>
      <c r="D10" s="152"/>
      <c r="E10" s="191">
        <f>'Probois 43 - CF'!D10</f>
        <v>0</v>
      </c>
      <c r="F10" s="191"/>
      <c r="G10" s="191">
        <f>'BSB - CF'!D10</f>
        <v>4762</v>
      </c>
      <c r="H10" s="191">
        <f>'SC des SUCS - CF'!D10</f>
        <v>0</v>
      </c>
      <c r="I10" s="191"/>
      <c r="J10" s="191">
        <f t="shared" si="0"/>
        <v>4762</v>
      </c>
      <c r="K10" s="152"/>
      <c r="L10" s="191">
        <f>'Probois 43 - CF'!E10</f>
        <v>1316</v>
      </c>
      <c r="M10" s="191">
        <f>'SAS EMB - CF'!D10</f>
        <v>2548</v>
      </c>
      <c r="N10" s="191">
        <f>'BSB - CF'!E10</f>
        <v>16889</v>
      </c>
      <c r="O10" s="191">
        <f>'SC des SUCS - CF'!E10</f>
        <v>0</v>
      </c>
      <c r="P10" s="191">
        <f>'SCI - CF'!E10</f>
        <v>0</v>
      </c>
      <c r="Q10" s="191">
        <f t="shared" si="1"/>
        <v>20753</v>
      </c>
      <c r="R10" s="152"/>
      <c r="S10" s="191">
        <f>'Probois 43 - CF'!F10</f>
        <v>25834</v>
      </c>
      <c r="T10" s="191">
        <f>'SAS EMB - CF'!E10</f>
        <v>0</v>
      </c>
      <c r="U10" s="191">
        <f>'BSB - CF'!F10</f>
        <v>5636</v>
      </c>
      <c r="V10" s="191">
        <f>'SC des SUCS - CF'!F10</f>
        <v>109515</v>
      </c>
      <c r="W10" s="191">
        <f>'SCI - CF'!F10</f>
        <v>0</v>
      </c>
      <c r="X10" s="191">
        <f t="shared" si="2"/>
        <v>140985</v>
      </c>
      <c r="Y10" s="152"/>
      <c r="Z10" s="191">
        <f>'Probois 43 - CF (2)'!G10</f>
        <v>10750</v>
      </c>
      <c r="AA10" s="191">
        <f>'SAS EMB - CF (2)'!F10</f>
        <v>0</v>
      </c>
      <c r="AB10" s="191">
        <f>'BSB - CF (2)'!G10</f>
        <v>32997</v>
      </c>
      <c r="AC10" s="191">
        <f>'SC des SUCS - CF (2)'!H10</f>
        <v>0</v>
      </c>
      <c r="AD10" s="191">
        <f>'SCI - CF (2)'!H10</f>
        <v>0</v>
      </c>
      <c r="AE10" s="191">
        <f t="shared" si="3"/>
        <v>43747</v>
      </c>
      <c r="AF10" s="152"/>
      <c r="AG10" s="152"/>
      <c r="AH10" s="191">
        <f>'Probois 43 - CF (2)'!I10</f>
        <v>0</v>
      </c>
      <c r="AI10" s="191">
        <f>'SAS EMB - CF (2)'!H10</f>
        <v>0</v>
      </c>
      <c r="AJ10" s="191">
        <f>'BSB - CF (2)'!I10</f>
        <v>10570</v>
      </c>
      <c r="AK10" s="191">
        <f>'Profilyss - CF (2)'!I10</f>
        <v>0</v>
      </c>
      <c r="AL10" s="191">
        <f>'SC des SUCS - CF (2)'!I10</f>
        <v>0</v>
      </c>
      <c r="AM10" s="191">
        <f>'SCI - CF (2)'!I10</f>
        <v>0</v>
      </c>
      <c r="AN10" s="191"/>
      <c r="AO10" s="191">
        <f t="shared" si="4"/>
        <v>10570</v>
      </c>
      <c r="AP10" s="152"/>
      <c r="AQ10" s="191">
        <f>'Probois 43 - CF (2)'!J10</f>
        <v>0</v>
      </c>
      <c r="AR10" s="191">
        <f>'SAS EMB - CF (2)'!I10</f>
        <v>0</v>
      </c>
      <c r="AS10" s="191">
        <f>'BSB - CF (2)'!J10</f>
        <v>10570</v>
      </c>
      <c r="AT10" s="191">
        <f>'Profilyss - CF (2)'!J10</f>
        <v>85714.28571428571</v>
      </c>
      <c r="AU10" s="191">
        <f>'SC des SUCS - CF (2)'!J10</f>
        <v>0</v>
      </c>
      <c r="AV10" s="191">
        <f>'SCI - CF (2)'!J10</f>
        <v>0</v>
      </c>
      <c r="AW10" s="191">
        <f>'Antreuil - CF (2)'!J10</f>
        <v>40000</v>
      </c>
      <c r="AX10" s="191">
        <f t="shared" si="5"/>
        <v>136284.28571428571</v>
      </c>
      <c r="AY10" s="152"/>
      <c r="AZ10" s="191">
        <f>'Probois 43 - CF (2)'!K10</f>
        <v>0</v>
      </c>
      <c r="BA10" s="191">
        <f>'SAS EMB - CF (2)'!J10</f>
        <v>0</v>
      </c>
      <c r="BB10" s="191">
        <f>'BSB - CF (2)'!K10</f>
        <v>10570</v>
      </c>
      <c r="BC10" s="191">
        <f>'Profilyss - CF (2)'!K10</f>
        <v>85714.28571428571</v>
      </c>
      <c r="BD10" s="191">
        <f>'SC des SUCS - CF (2)'!K10</f>
        <v>0</v>
      </c>
      <c r="BE10" s="191">
        <f>'SCI - CF (2)'!K10</f>
        <v>0</v>
      </c>
      <c r="BF10" s="191">
        <f>'Antreuil - CF (2)'!K10</f>
        <v>40000</v>
      </c>
      <c r="BG10" s="191">
        <f t="shared" si="6"/>
        <v>136284.28571428571</v>
      </c>
      <c r="BH10" s="152"/>
      <c r="BI10" s="191">
        <f>'Probois 43 - CF (2)'!L10</f>
        <v>0</v>
      </c>
      <c r="BJ10" s="191">
        <f>'SAS EMB - CF (2)'!K10</f>
        <v>0</v>
      </c>
      <c r="BK10" s="191">
        <f>'BSB - CF (2)'!L10</f>
        <v>10570</v>
      </c>
      <c r="BL10" s="191">
        <f>'Profilyss - CF (2)'!L10</f>
        <v>85714.28571428571</v>
      </c>
      <c r="BM10" s="191">
        <f>'SC des SUCS - CF (2)'!L10</f>
        <v>0</v>
      </c>
      <c r="BN10" s="191">
        <f>'SCI - CF (2)'!L10</f>
        <v>0</v>
      </c>
      <c r="BO10" s="191">
        <f>'Antreuil - CF (2)'!L10</f>
        <v>40000</v>
      </c>
      <c r="BP10" s="191">
        <f t="shared" si="7"/>
        <v>136284.28571428571</v>
      </c>
    </row>
    <row r="11" spans="2:68">
      <c r="B11" s="148" t="s">
        <v>227</v>
      </c>
      <c r="C11" s="152"/>
      <c r="D11" s="152"/>
      <c r="E11" s="152">
        <f>'Probois 43 - CF'!D11</f>
        <v>-9151</v>
      </c>
      <c r="F11" s="152"/>
      <c r="G11" s="152">
        <f>'BSB - CF'!D11</f>
        <v>-4767</v>
      </c>
      <c r="H11" s="152">
        <f>'SC des SUCS - CF'!D11</f>
        <v>-253</v>
      </c>
      <c r="I11" s="152"/>
      <c r="J11" s="152">
        <f t="shared" si="0"/>
        <v>-14171</v>
      </c>
      <c r="K11" s="152"/>
      <c r="L11" s="152">
        <f>'Probois 43 - CF'!E11</f>
        <v>-38086</v>
      </c>
      <c r="M11" s="152">
        <f>'SAS EMB - CF'!D11</f>
        <v>-28374</v>
      </c>
      <c r="N11" s="152">
        <f>'BSB - CF'!E11</f>
        <v>-24523</v>
      </c>
      <c r="O11" s="152">
        <f>'SC des SUCS - CF'!E11</f>
        <v>0</v>
      </c>
      <c r="P11" s="152">
        <f>'SCI - CF'!E11</f>
        <v>0</v>
      </c>
      <c r="Q11" s="152">
        <f t="shared" si="1"/>
        <v>-90983</v>
      </c>
      <c r="R11" s="152"/>
      <c r="S11" s="152">
        <f>'Probois 43 - CF'!F11</f>
        <v>-40979</v>
      </c>
      <c r="T11" s="152">
        <f>'SAS EMB - CF'!E11</f>
        <v>-43013</v>
      </c>
      <c r="U11" s="152">
        <f>'BSB - CF'!F11</f>
        <v>-20079</v>
      </c>
      <c r="V11" s="152">
        <f>'SC des SUCS - CF'!F11</f>
        <v>-2386</v>
      </c>
      <c r="W11" s="152">
        <f>'SCI - CF'!F11</f>
        <v>0</v>
      </c>
      <c r="X11" s="152">
        <f t="shared" si="2"/>
        <v>-106457</v>
      </c>
      <c r="Y11" s="152"/>
      <c r="Z11" s="152">
        <f>'Probois 43 - CF (2)'!G11</f>
        <v>-40815</v>
      </c>
      <c r="AA11" s="152">
        <f>'SAS EMB - CF (2)'!F11</f>
        <v>-24801</v>
      </c>
      <c r="AB11" s="152">
        <f>'BSB - CF (2)'!G11</f>
        <v>-24799</v>
      </c>
      <c r="AC11" s="152">
        <f>'SC des SUCS - CF (2)'!H11</f>
        <v>-5540</v>
      </c>
      <c r="AD11" s="152">
        <f>'SCI - CF (2)'!H11</f>
        <v>0</v>
      </c>
      <c r="AE11" s="152">
        <f t="shared" si="3"/>
        <v>-95955</v>
      </c>
      <c r="AF11" s="152"/>
      <c r="AG11" s="152"/>
      <c r="AH11" s="152">
        <f>'Probois 43 - CF (2)'!I11</f>
        <v>-17967.25</v>
      </c>
      <c r="AI11" s="152">
        <f>'SAS EMB - CF (2)'!H11</f>
        <v>-20829.087499999994</v>
      </c>
      <c r="AJ11" s="152">
        <f>'BSB - CF (2)'!I11</f>
        <v>-3605.1074999999896</v>
      </c>
      <c r="AK11" s="152">
        <f>'Profilyss - CF (2)'!I11</f>
        <v>0</v>
      </c>
      <c r="AL11" s="152">
        <f>'SC des SUCS - CF (2)'!I11</f>
        <v>0</v>
      </c>
      <c r="AM11" s="152">
        <f>'SCI - CF (2)'!I11</f>
        <v>0</v>
      </c>
      <c r="AN11" s="152"/>
      <c r="AO11" s="152">
        <f t="shared" si="4"/>
        <v>-42401.444999999985</v>
      </c>
      <c r="AP11" s="152"/>
      <c r="AQ11" s="152">
        <f>'Probois 43 - CF (2)'!J11</f>
        <v>-23325.190000000002</v>
      </c>
      <c r="AR11" s="152">
        <f>'SAS EMB - CF (2)'!I11</f>
        <v>-15262.423928571399</v>
      </c>
      <c r="AS11" s="152">
        <f>'BSB - CF (2)'!J11</f>
        <v>-9105.859999999986</v>
      </c>
      <c r="AT11" s="152">
        <f>'Profilyss - CF (2)'!J11</f>
        <v>0</v>
      </c>
      <c r="AU11" s="152">
        <f>'SC des SUCS - CF (2)'!J11</f>
        <v>0</v>
      </c>
      <c r="AV11" s="152">
        <f>'SCI - CF (2)'!J11</f>
        <v>0</v>
      </c>
      <c r="AW11" s="152">
        <f>'Antreuil - CF (2)'!J11</f>
        <v>0</v>
      </c>
      <c r="AX11" s="152">
        <f t="shared" si="5"/>
        <v>-47693.473928571388</v>
      </c>
      <c r="AY11" s="152"/>
      <c r="AZ11" s="152">
        <f>'Probois 43 - CF (2)'!K11</f>
        <v>-28479.209999999992</v>
      </c>
      <c r="BA11" s="152">
        <f>'SAS EMB - CF (2)'!J11</f>
        <v>-19811.373928571411</v>
      </c>
      <c r="BB11" s="152">
        <f>'BSB - CF (2)'!K11</f>
        <v>-23199.127500000002</v>
      </c>
      <c r="BC11" s="152">
        <f>'Profilyss - CF (2)'!K11</f>
        <v>0</v>
      </c>
      <c r="BD11" s="152">
        <f>'SC des SUCS - CF (2)'!K11</f>
        <v>0</v>
      </c>
      <c r="BE11" s="152">
        <f>'SCI - CF (2)'!K11</f>
        <v>0</v>
      </c>
      <c r="BF11" s="152">
        <f>'Antreuil - CF (2)'!K11</f>
        <v>0</v>
      </c>
      <c r="BG11" s="152">
        <f t="shared" si="6"/>
        <v>-71489.711428571405</v>
      </c>
      <c r="BH11" s="152"/>
      <c r="BI11" s="152">
        <f>'Probois 43 - CF (2)'!L11</f>
        <v>-33996.369999999995</v>
      </c>
      <c r="BJ11" s="152">
        <f>'SAS EMB - CF (2)'!K11</f>
        <v>-24456.233928571397</v>
      </c>
      <c r="BK11" s="152">
        <f>'BSB - CF (2)'!L11</f>
        <v>-38177.705000000016</v>
      </c>
      <c r="BL11" s="152">
        <f>'Profilyss - CF (2)'!L11</f>
        <v>0</v>
      </c>
      <c r="BM11" s="152">
        <f>'SC des SUCS - CF (2)'!L11</f>
        <v>0</v>
      </c>
      <c r="BN11" s="152">
        <f>'SCI - CF (2)'!L11</f>
        <v>0</v>
      </c>
      <c r="BO11" s="152">
        <f>'Antreuil - CF (2)'!L11</f>
        <v>0</v>
      </c>
      <c r="BP11" s="152">
        <f t="shared" si="7"/>
        <v>-96630.308928571409</v>
      </c>
    </row>
    <row r="12" spans="2:68">
      <c r="B12" s="153" t="s">
        <v>228</v>
      </c>
      <c r="C12" s="154"/>
      <c r="D12" s="154"/>
      <c r="E12" s="154">
        <f>'Probois 43 - CF'!D12</f>
        <v>24628</v>
      </c>
      <c r="F12" s="154"/>
      <c r="G12" s="154">
        <f>'BSB - CF'!D12</f>
        <v>34024</v>
      </c>
      <c r="H12" s="154">
        <f>'SC des SUCS - CF'!D12</f>
        <v>-3430</v>
      </c>
      <c r="I12" s="154"/>
      <c r="J12" s="154">
        <f t="shared" si="0"/>
        <v>55222</v>
      </c>
      <c r="K12" s="154"/>
      <c r="L12" s="154">
        <f>'Probois 43 - CF'!E12</f>
        <v>107573</v>
      </c>
      <c r="M12" s="154">
        <f>'SAS EMB - CF'!D12</f>
        <v>104527</v>
      </c>
      <c r="N12" s="154">
        <f>'BSB - CF'!E12</f>
        <v>90190</v>
      </c>
      <c r="O12" s="154">
        <f>'SC des SUCS - CF'!E12</f>
        <v>-5320</v>
      </c>
      <c r="P12" s="154">
        <f>'SCI - CF'!E12</f>
        <v>7476</v>
      </c>
      <c r="Q12" s="154">
        <f t="shared" si="1"/>
        <v>304446</v>
      </c>
      <c r="R12" s="154"/>
      <c r="S12" s="154">
        <f>'Probois 43 - CF'!F12</f>
        <v>109936</v>
      </c>
      <c r="T12" s="154">
        <f>'SAS EMB - CF'!E12</f>
        <v>127375</v>
      </c>
      <c r="U12" s="154">
        <f>'BSB - CF'!F12</f>
        <v>96876</v>
      </c>
      <c r="V12" s="154">
        <f>'SC des SUCS - CF'!F12</f>
        <v>121465</v>
      </c>
      <c r="W12" s="154">
        <f>'SCI - CF'!F12</f>
        <v>12223</v>
      </c>
      <c r="X12" s="154">
        <f t="shared" si="2"/>
        <v>467875</v>
      </c>
      <c r="Y12" s="154"/>
      <c r="Z12" s="154">
        <f>'Probois 43 - CF (2)'!G12</f>
        <v>110485</v>
      </c>
      <c r="AA12" s="154">
        <f>'SAS EMB - CF (2)'!F12</f>
        <v>79421</v>
      </c>
      <c r="AB12" s="154">
        <f>'BSB - CF (2)'!G12</f>
        <v>125049</v>
      </c>
      <c r="AC12" s="154">
        <f>'SC des SUCS - CF (2)'!H12</f>
        <v>38194</v>
      </c>
      <c r="AD12" s="154">
        <f>'SCI - CF (2)'!H12</f>
        <v>12223</v>
      </c>
      <c r="AE12" s="154">
        <f t="shared" si="3"/>
        <v>365372</v>
      </c>
      <c r="AF12" s="154"/>
      <c r="AG12" s="154"/>
      <c r="AH12" s="154">
        <f>'Probois 43 - CF (2)'!I12</f>
        <v>58248.75</v>
      </c>
      <c r="AI12" s="154">
        <f>'SAS EMB - CF (2)'!H12</f>
        <v>72487.262499999983</v>
      </c>
      <c r="AJ12" s="154">
        <f>'BSB - CF (2)'!I12</f>
        <v>60998.942499999939</v>
      </c>
      <c r="AK12" s="154">
        <f>'Profilyss - CF (2)'!I12</f>
        <v>0</v>
      </c>
      <c r="AL12" s="154">
        <f>'SC des SUCS - CF (2)'!I12</f>
        <v>-77646</v>
      </c>
      <c r="AM12" s="154">
        <f>'SCI - CF (2)'!I12</f>
        <v>12223</v>
      </c>
      <c r="AN12" s="154"/>
      <c r="AO12" s="154">
        <f t="shared" si="4"/>
        <v>126311.95499999993</v>
      </c>
      <c r="AP12" s="154"/>
      <c r="AQ12" s="154">
        <f>'Probois 43 - CF (2)'!J12</f>
        <v>73076.570000000007</v>
      </c>
      <c r="AR12" s="154">
        <f>'SAS EMB - CF (2)'!I12</f>
        <v>55787.271785714198</v>
      </c>
      <c r="AS12" s="154">
        <f>'BSB - CF (2)'!J12</f>
        <v>81887.579999999958</v>
      </c>
      <c r="AT12" s="154">
        <f>'Profilyss - CF (2)'!J12</f>
        <v>-395895.08465608465</v>
      </c>
      <c r="AU12" s="154">
        <f>'SC des SUCS - CF (2)'!J12</f>
        <v>-77646</v>
      </c>
      <c r="AV12" s="154">
        <f>'SCI - CF (2)'!J12</f>
        <v>12223</v>
      </c>
      <c r="AW12" s="154">
        <f>'Antreuil - CF (2)'!J12</f>
        <v>112433</v>
      </c>
      <c r="AX12" s="154">
        <f t="shared" si="5"/>
        <v>-138133.66287037049</v>
      </c>
      <c r="AY12" s="154"/>
      <c r="AZ12" s="154">
        <f>'Probois 43 - CF (2)'!K12</f>
        <v>87592.629999999976</v>
      </c>
      <c r="BA12" s="154">
        <f>'SAS EMB - CF (2)'!J12</f>
        <v>69434.121785714233</v>
      </c>
      <c r="BB12" s="154">
        <f>'BSB - CF (2)'!K12</f>
        <v>120167.38250000001</v>
      </c>
      <c r="BC12" s="154">
        <f>'Profilyss - CF (2)'!K12</f>
        <v>-24503.802005012723</v>
      </c>
      <c r="BD12" s="154">
        <f>'SC des SUCS - CF (2)'!K12</f>
        <v>-77646</v>
      </c>
      <c r="BE12" s="154">
        <f>'SCI - CF (2)'!K12</f>
        <v>12223</v>
      </c>
      <c r="BF12" s="154">
        <f>'Antreuil - CF (2)'!K12</f>
        <v>112433</v>
      </c>
      <c r="BG12" s="154">
        <f t="shared" si="6"/>
        <v>299700.33228070149</v>
      </c>
      <c r="BH12" s="154"/>
      <c r="BI12" s="154">
        <f>'Probois 43 - CF (2)'!L12</f>
        <v>103304.10999999999</v>
      </c>
      <c r="BJ12" s="154">
        <f>'SAS EMB - CF (2)'!K12</f>
        <v>83368.701785714191</v>
      </c>
      <c r="BK12" s="154">
        <f>'BSB - CF (2)'!L12</f>
        <v>162103.11500000005</v>
      </c>
      <c r="BL12" s="154">
        <f>'Profilyss - CF (2)'!L12</f>
        <v>499125.61904761905</v>
      </c>
      <c r="BM12" s="154">
        <f>'SC des SUCS - CF (2)'!L12</f>
        <v>-77646</v>
      </c>
      <c r="BN12" s="154">
        <f>'SCI - CF (2)'!L12</f>
        <v>12223</v>
      </c>
      <c r="BO12" s="154">
        <f>'Antreuil - CF (2)'!L12</f>
        <v>112433</v>
      </c>
      <c r="BP12" s="154">
        <f t="shared" si="7"/>
        <v>894911.54583333328</v>
      </c>
    </row>
    <row r="13" spans="2:68">
      <c r="B13" s="148" t="s">
        <v>229</v>
      </c>
      <c r="C13" s="191"/>
      <c r="D13" s="152"/>
      <c r="E13" s="191">
        <f>'Probois 43 - CF'!D13</f>
        <v>12884</v>
      </c>
      <c r="F13" s="191"/>
      <c r="G13" s="191">
        <f>'BSB - CF'!D13</f>
        <v>39462</v>
      </c>
      <c r="H13" s="191">
        <f>'SC des SUCS - CF'!D13</f>
        <v>0</v>
      </c>
      <c r="I13" s="191"/>
      <c r="J13" s="191">
        <f t="shared" si="0"/>
        <v>52346</v>
      </c>
      <c r="K13" s="152"/>
      <c r="L13" s="191">
        <f>'Probois 43 - CF'!E13</f>
        <v>10781</v>
      </c>
      <c r="M13" s="191">
        <f>'SAS EMB - CF'!D13</f>
        <v>26013</v>
      </c>
      <c r="N13" s="191">
        <f>'BSB - CF'!E13</f>
        <v>40701</v>
      </c>
      <c r="O13" s="191">
        <f>'SC des SUCS - CF'!E13</f>
        <v>0</v>
      </c>
      <c r="P13" s="191">
        <f>'SCI - CF'!E13</f>
        <v>8519</v>
      </c>
      <c r="Q13" s="191">
        <f t="shared" si="1"/>
        <v>86014</v>
      </c>
      <c r="R13" s="152"/>
      <c r="S13" s="191">
        <f>'Probois 43 - CF'!F13</f>
        <v>16255</v>
      </c>
      <c r="T13" s="191">
        <f>'SAS EMB - CF'!E13</f>
        <v>16028</v>
      </c>
      <c r="U13" s="191">
        <f>'BSB - CF'!F13</f>
        <v>40946</v>
      </c>
      <c r="V13" s="191">
        <f>'SC des SUCS - CF'!F13</f>
        <v>0</v>
      </c>
      <c r="W13" s="191">
        <f>'SCI - CF'!F13</f>
        <v>8519</v>
      </c>
      <c r="X13" s="191">
        <f t="shared" si="2"/>
        <v>81748</v>
      </c>
      <c r="Y13" s="152"/>
      <c r="Z13" s="191">
        <f>'Probois 43 - CF (2)'!G13</f>
        <v>18487</v>
      </c>
      <c r="AA13" s="191">
        <f>'SAS EMB - CF (2)'!F13</f>
        <v>16585</v>
      </c>
      <c r="AB13" s="191">
        <f>'BSB - CF (2)'!G13</f>
        <v>53892</v>
      </c>
      <c r="AC13" s="191">
        <f>'SC des SUCS - CF (2)'!H13</f>
        <v>0</v>
      </c>
      <c r="AD13" s="191">
        <f>'SCI - CF (2)'!H13</f>
        <v>8519</v>
      </c>
      <c r="AE13" s="191">
        <f t="shared" si="3"/>
        <v>97483</v>
      </c>
      <c r="AF13" s="152"/>
      <c r="AG13" s="152"/>
      <c r="AH13" s="191">
        <f>'Probois 43 - CF (2)'!I13</f>
        <v>15000</v>
      </c>
      <c r="AI13" s="191">
        <f>'SAS EMB - CF (2)'!H13</f>
        <v>15000</v>
      </c>
      <c r="AJ13" s="191">
        <f>'BSB - CF (2)'!I13</f>
        <v>54000</v>
      </c>
      <c r="AK13" s="191">
        <f>'Profilyss - CF (2)'!I13</f>
        <v>0</v>
      </c>
      <c r="AL13" s="191">
        <f>'SC des SUCS - CF (2)'!I13</f>
        <v>0</v>
      </c>
      <c r="AM13" s="191">
        <f>'SCI - CF (2)'!I13</f>
        <v>8519</v>
      </c>
      <c r="AN13" s="191"/>
      <c r="AO13" s="191">
        <f t="shared" si="4"/>
        <v>92519</v>
      </c>
      <c r="AP13" s="152"/>
      <c r="AQ13" s="191">
        <f>'Probois 43 - CF (2)'!J13</f>
        <v>13000</v>
      </c>
      <c r="AR13" s="191">
        <f>'SAS EMB - CF (2)'!I13</f>
        <v>15000</v>
      </c>
      <c r="AS13" s="191">
        <f>'BSB - CF (2)'!J13</f>
        <v>54000</v>
      </c>
      <c r="AT13" s="191">
        <f>'Profilyss - CF (2)'!J13</f>
        <v>304948</v>
      </c>
      <c r="AU13" s="191">
        <f>'SC des SUCS - CF (2)'!J13</f>
        <v>0</v>
      </c>
      <c r="AV13" s="191">
        <f>'SCI - CF (2)'!J13</f>
        <v>8519</v>
      </c>
      <c r="AW13" s="191">
        <f>'Antreuil - CF (2)'!J13</f>
        <v>168567</v>
      </c>
      <c r="AX13" s="191">
        <f t="shared" si="5"/>
        <v>564034</v>
      </c>
      <c r="AY13" s="152"/>
      <c r="AZ13" s="191">
        <f>'Probois 43 - CF (2)'!K13</f>
        <v>11000</v>
      </c>
      <c r="BA13" s="191">
        <f>'SAS EMB - CF (2)'!J13</f>
        <v>15000</v>
      </c>
      <c r="BB13" s="191">
        <f>'BSB - CF (2)'!K13</f>
        <v>54000</v>
      </c>
      <c r="BC13" s="191">
        <f>'Profilyss - CF (2)'!K13</f>
        <v>304948</v>
      </c>
      <c r="BD13" s="191">
        <f>'SC des SUCS - CF (2)'!K13</f>
        <v>0</v>
      </c>
      <c r="BE13" s="191">
        <f>'SCI - CF (2)'!K13</f>
        <v>8519</v>
      </c>
      <c r="BF13" s="191">
        <f>'Antreuil - CF (2)'!K13</f>
        <v>168567</v>
      </c>
      <c r="BG13" s="191">
        <f t="shared" si="6"/>
        <v>562034</v>
      </c>
      <c r="BH13" s="152"/>
      <c r="BI13" s="191">
        <f>'Probois 43 - CF (2)'!L13</f>
        <v>11000</v>
      </c>
      <c r="BJ13" s="191">
        <f>'SAS EMB - CF (2)'!K13</f>
        <v>15000</v>
      </c>
      <c r="BK13" s="191">
        <f>'BSB - CF (2)'!L13</f>
        <v>54000</v>
      </c>
      <c r="BL13" s="191">
        <f>'Profilyss - CF (2)'!L13</f>
        <v>304948</v>
      </c>
      <c r="BM13" s="191">
        <f>'SC des SUCS - CF (2)'!L13</f>
        <v>0</v>
      </c>
      <c r="BN13" s="191">
        <f>'SCI - CF (2)'!L13</f>
        <v>8519</v>
      </c>
      <c r="BO13" s="191">
        <f>'Antreuil - CF (2)'!L13</f>
        <v>168567</v>
      </c>
      <c r="BP13" s="191">
        <f t="shared" si="7"/>
        <v>562034</v>
      </c>
    </row>
    <row r="14" spans="2:68">
      <c r="B14" s="148" t="s">
        <v>230</v>
      </c>
      <c r="C14" s="191"/>
      <c r="D14" s="152"/>
      <c r="E14" s="191">
        <f>'Probois 43 - CF'!D14</f>
        <v>0</v>
      </c>
      <c r="F14" s="191"/>
      <c r="G14" s="191">
        <f>'BSB - CF'!D14</f>
        <v>-4762</v>
      </c>
      <c r="H14" s="191">
        <f>'SC des SUCS - CF'!D14</f>
        <v>0</v>
      </c>
      <c r="I14" s="191"/>
      <c r="J14" s="191">
        <f t="shared" si="0"/>
        <v>-4762</v>
      </c>
      <c r="K14" s="152"/>
      <c r="L14" s="191">
        <f>'Probois 43 - CF'!E14</f>
        <v>0</v>
      </c>
      <c r="M14" s="191">
        <f>'SAS EMB - CF'!D14</f>
        <v>0</v>
      </c>
      <c r="N14" s="191">
        <f>'BSB - CF'!E14</f>
        <v>-4762</v>
      </c>
      <c r="O14" s="191">
        <f>'SC des SUCS - CF'!E14</f>
        <v>0</v>
      </c>
      <c r="P14" s="191">
        <f>'SCI - CF'!E14</f>
        <v>0</v>
      </c>
      <c r="Q14" s="191">
        <f t="shared" si="1"/>
        <v>-4762</v>
      </c>
      <c r="R14" s="152"/>
      <c r="S14" s="191">
        <f>'Probois 43 - CF'!F14</f>
        <v>0</v>
      </c>
      <c r="T14" s="191">
        <f>'SAS EMB - CF'!E14</f>
        <v>0</v>
      </c>
      <c r="U14" s="191">
        <f>'BSB - CF'!F14</f>
        <v>-5636</v>
      </c>
      <c r="V14" s="191">
        <f>'SC des SUCS - CF'!F14</f>
        <v>0</v>
      </c>
      <c r="W14" s="191">
        <f>'SCI - CF'!F14</f>
        <v>0</v>
      </c>
      <c r="X14" s="191">
        <f t="shared" si="2"/>
        <v>-5636</v>
      </c>
      <c r="Y14" s="152"/>
      <c r="Z14" s="191">
        <f>'Probois 43 - CF (2)'!G14</f>
        <v>0</v>
      </c>
      <c r="AA14" s="191">
        <f>'SAS EMB - CF (2)'!F14</f>
        <v>0</v>
      </c>
      <c r="AB14" s="191">
        <f>'BSB - CF (2)'!G14</f>
        <v>-10570</v>
      </c>
      <c r="AC14" s="191">
        <f>'SC des SUCS - CF (2)'!H14</f>
        <v>0</v>
      </c>
      <c r="AD14" s="191">
        <f>'SCI - CF (2)'!H14</f>
        <v>0</v>
      </c>
      <c r="AE14" s="191">
        <f t="shared" si="3"/>
        <v>-10570</v>
      </c>
      <c r="AF14" s="152"/>
      <c r="AG14" s="152"/>
      <c r="AH14" s="191">
        <f>'Probois 43 - CF (2)'!I14</f>
        <v>0</v>
      </c>
      <c r="AI14" s="191">
        <f>'SAS EMB - CF (2)'!H14</f>
        <v>0</v>
      </c>
      <c r="AJ14" s="191">
        <f>'BSB - CF (2)'!I14</f>
        <v>-10570</v>
      </c>
      <c r="AK14" s="191">
        <f>'Profilyss - CF (2)'!I14</f>
        <v>0</v>
      </c>
      <c r="AL14" s="191">
        <f>'SC des SUCS - CF (2)'!I14</f>
        <v>0</v>
      </c>
      <c r="AM14" s="191">
        <f>'SCI - CF (2)'!I14</f>
        <v>0</v>
      </c>
      <c r="AN14" s="191"/>
      <c r="AO14" s="191">
        <f t="shared" si="4"/>
        <v>-10570</v>
      </c>
      <c r="AP14" s="152"/>
      <c r="AQ14" s="191">
        <f>'Probois 43 - CF (2)'!J14</f>
        <v>0</v>
      </c>
      <c r="AR14" s="191">
        <f>'SAS EMB - CF (2)'!I14</f>
        <v>0</v>
      </c>
      <c r="AS14" s="191">
        <f>'BSB - CF (2)'!J14</f>
        <v>-10570</v>
      </c>
      <c r="AT14" s="191">
        <f>'Profilyss - CF (2)'!J14</f>
        <v>-85714.28571428571</v>
      </c>
      <c r="AU14" s="191">
        <f>'SC des SUCS - CF (2)'!J14</f>
        <v>0</v>
      </c>
      <c r="AV14" s="191">
        <f>'SCI - CF (2)'!J14</f>
        <v>0</v>
      </c>
      <c r="AW14" s="191">
        <f>'Antreuil - CF (2)'!J14</f>
        <v>-40000</v>
      </c>
      <c r="AX14" s="191">
        <f t="shared" si="5"/>
        <v>-136284.28571428571</v>
      </c>
      <c r="AY14" s="152"/>
      <c r="AZ14" s="191">
        <f>'Probois 43 - CF (2)'!K14</f>
        <v>0</v>
      </c>
      <c r="BA14" s="191">
        <f>'SAS EMB - CF (2)'!J14</f>
        <v>0</v>
      </c>
      <c r="BB14" s="191">
        <f>'BSB - CF (2)'!K14</f>
        <v>-10570</v>
      </c>
      <c r="BC14" s="191">
        <f>'Profilyss - CF (2)'!K14</f>
        <v>-85714.28571428571</v>
      </c>
      <c r="BD14" s="191">
        <f>'SC des SUCS - CF (2)'!K14</f>
        <v>0</v>
      </c>
      <c r="BE14" s="191">
        <f>'SCI - CF (2)'!K14</f>
        <v>0</v>
      </c>
      <c r="BF14" s="191">
        <f>'Antreuil - CF (2)'!K14</f>
        <v>-40000</v>
      </c>
      <c r="BG14" s="191">
        <f t="shared" si="6"/>
        <v>-136284.28571428571</v>
      </c>
      <c r="BH14" s="152"/>
      <c r="BI14" s="191">
        <f>'Probois 43 - CF (2)'!L14</f>
        <v>0</v>
      </c>
      <c r="BJ14" s="191">
        <f>'SAS EMB - CF (2)'!K14</f>
        <v>0</v>
      </c>
      <c r="BK14" s="191">
        <f>'BSB - CF (2)'!L14</f>
        <v>-10570</v>
      </c>
      <c r="BL14" s="191">
        <f>'Profilyss - CF (2)'!L14</f>
        <v>-85714.28571428571</v>
      </c>
      <c r="BM14" s="191">
        <f>'SC des SUCS - CF (2)'!L14</f>
        <v>0</v>
      </c>
      <c r="BN14" s="191">
        <f>'SCI - CF (2)'!L14</f>
        <v>0</v>
      </c>
      <c r="BO14" s="191">
        <f>'Antreuil - CF (2)'!L14</f>
        <v>-40000</v>
      </c>
      <c r="BP14" s="191">
        <f t="shared" si="7"/>
        <v>-136284.28571428571</v>
      </c>
    </row>
    <row r="15" spans="2:68">
      <c r="B15" s="153" t="s">
        <v>231</v>
      </c>
      <c r="C15" s="154"/>
      <c r="D15" s="154"/>
      <c r="E15" s="154">
        <f>'Probois 43 - CF'!D15</f>
        <v>-244215</v>
      </c>
      <c r="F15" s="154"/>
      <c r="G15" s="154">
        <f>'BSB - CF'!D15</f>
        <v>-58892</v>
      </c>
      <c r="H15" s="154">
        <f>'SC des SUCS - CF'!D15</f>
        <v>-53695</v>
      </c>
      <c r="I15" s="154"/>
      <c r="J15" s="154">
        <f t="shared" si="0"/>
        <v>-356802</v>
      </c>
      <c r="K15" s="154"/>
      <c r="L15" s="154">
        <f>'Probois 43 - CF'!E15</f>
        <v>-218792</v>
      </c>
      <c r="M15" s="154">
        <f>'SAS EMB - CF'!D15</f>
        <v>-151573</v>
      </c>
      <c r="N15" s="154">
        <f>'BSB - CF'!E15</f>
        <v>23505</v>
      </c>
      <c r="O15" s="154">
        <f>'SC des SUCS - CF'!E15</f>
        <v>-143661</v>
      </c>
      <c r="P15" s="154">
        <f>'SCI - CF'!E15</f>
        <v>-2460</v>
      </c>
      <c r="Q15" s="154">
        <f t="shared" si="1"/>
        <v>-492981</v>
      </c>
      <c r="R15" s="154"/>
      <c r="S15" s="154">
        <f>'Probois 43 - CF'!F15</f>
        <v>307717</v>
      </c>
      <c r="T15" s="154">
        <f>'SAS EMB - CF'!E15</f>
        <v>182803</v>
      </c>
      <c r="U15" s="154">
        <f>'BSB - CF'!F15</f>
        <v>-284571</v>
      </c>
      <c r="V15" s="154">
        <f>'SC des SUCS - CF'!F15</f>
        <v>-202476</v>
      </c>
      <c r="W15" s="154">
        <f>'SCI - CF'!F15</f>
        <v>-2645</v>
      </c>
      <c r="X15" s="154">
        <f t="shared" si="2"/>
        <v>828</v>
      </c>
      <c r="Y15" s="154"/>
      <c r="Z15" s="154">
        <f>'Probois 43 - CF (2)'!G15</f>
        <v>-158240</v>
      </c>
      <c r="AA15" s="154">
        <f>'SAS EMB - CF (2)'!F15</f>
        <v>-172806</v>
      </c>
      <c r="AB15" s="154">
        <f>'BSB - CF (2)'!G15</f>
        <v>1759</v>
      </c>
      <c r="AC15" s="154">
        <f>'SC des SUCS - CF (2)'!H15</f>
        <v>-974070</v>
      </c>
      <c r="AD15" s="154">
        <f>'SCI - CF (2)'!H15</f>
        <v>0</v>
      </c>
      <c r="AE15" s="154">
        <f t="shared" si="3"/>
        <v>-1303357</v>
      </c>
      <c r="AF15" s="154"/>
      <c r="AG15" s="154"/>
      <c r="AH15" s="154">
        <f>'Probois 43 - CF (2)'!I15</f>
        <v>62694</v>
      </c>
      <c r="AI15" s="154">
        <f>'SAS EMB - CF (2)'!H15</f>
        <v>-3577</v>
      </c>
      <c r="AJ15" s="154">
        <f>'BSB - CF (2)'!I15</f>
        <v>-12362</v>
      </c>
      <c r="AK15" s="154">
        <f>'Profilyss - CF (2)'!I15</f>
        <v>0</v>
      </c>
      <c r="AL15" s="154">
        <f>'SC des SUCS - CF (2)'!I15</f>
        <v>-5619</v>
      </c>
      <c r="AM15" s="154">
        <f>'SCI - CF (2)'!I15</f>
        <v>0</v>
      </c>
      <c r="AN15" s="154"/>
      <c r="AO15" s="154">
        <f t="shared" si="4"/>
        <v>41136</v>
      </c>
      <c r="AP15" s="154"/>
      <c r="AQ15" s="154">
        <f>'Probois 43 - CF (2)'!J15</f>
        <v>10000</v>
      </c>
      <c r="AR15" s="154">
        <f>'SAS EMB - CF (2)'!I15</f>
        <v>-9691</v>
      </c>
      <c r="AS15" s="154">
        <f>'BSB - CF (2)'!J15</f>
        <v>-50066</v>
      </c>
      <c r="AT15" s="154">
        <f>'Profilyss - CF (2)'!J15</f>
        <v>-325566.21004566213</v>
      </c>
      <c r="AU15" s="154">
        <f>'SC des SUCS - CF (2)'!J15</f>
        <v>-713</v>
      </c>
      <c r="AV15" s="154">
        <f>'SCI - CF (2)'!J15</f>
        <v>0</v>
      </c>
      <c r="AW15" s="154">
        <f>'Antreuil - CF (2)'!J15</f>
        <v>0</v>
      </c>
      <c r="AX15" s="154">
        <f t="shared" si="5"/>
        <v>-376036.21004566213</v>
      </c>
      <c r="AY15" s="154"/>
      <c r="AZ15" s="154">
        <f>'Probois 43 - CF (2)'!K15</f>
        <v>-10000</v>
      </c>
      <c r="BA15" s="154">
        <f>'SAS EMB - CF (2)'!J15</f>
        <v>5000</v>
      </c>
      <c r="BB15" s="154">
        <f>'BSB - CF (2)'!K15</f>
        <v>-60000</v>
      </c>
      <c r="BC15" s="154">
        <f>'Profilyss - CF (2)'!K15</f>
        <v>-185232.87671232878</v>
      </c>
      <c r="BD15" s="154">
        <f>'SC des SUCS - CF (2)'!K15</f>
        <v>6</v>
      </c>
      <c r="BE15" s="154">
        <f>'SCI - CF (2)'!K15</f>
        <v>0</v>
      </c>
      <c r="BF15" s="154">
        <f>'Antreuil - CF (2)'!K15</f>
        <v>0</v>
      </c>
      <c r="BG15" s="154">
        <f t="shared" si="6"/>
        <v>-250226.87671232878</v>
      </c>
      <c r="BH15" s="154"/>
      <c r="BI15" s="154">
        <f>'Probois 43 - CF (2)'!L15</f>
        <v>0</v>
      </c>
      <c r="BJ15" s="154">
        <f>'SAS EMB - CF (2)'!K15</f>
        <v>0</v>
      </c>
      <c r="BK15" s="154">
        <f>'BSB - CF (2)'!L15</f>
        <v>-40000</v>
      </c>
      <c r="BL15" s="154">
        <f>'Profilyss - CF (2)'!L15</f>
        <v>-227853.88127853879</v>
      </c>
      <c r="BM15" s="154">
        <f>'SC des SUCS - CF (2)'!L15</f>
        <v>-1</v>
      </c>
      <c r="BN15" s="154">
        <f>'SCI - CF (2)'!L15</f>
        <v>0</v>
      </c>
      <c r="BO15" s="154">
        <f>'Antreuil - CF (2)'!L15</f>
        <v>0</v>
      </c>
      <c r="BP15" s="154">
        <f t="shared" si="7"/>
        <v>-267854.88127853879</v>
      </c>
    </row>
    <row r="16" spans="2:68" s="145" customFormat="1" ht="15" hidden="1" outlineLevel="1">
      <c r="B16" s="155" t="s">
        <v>232</v>
      </c>
      <c r="C16" s="156"/>
      <c r="D16" s="156"/>
      <c r="E16" s="156">
        <f>'Probois 43 - CF'!D16</f>
        <v>-54057</v>
      </c>
      <c r="F16" s="156"/>
      <c r="G16" s="156">
        <f>'BSB - CF'!D16</f>
        <v>-58621</v>
      </c>
      <c r="H16" s="156">
        <f>'SC des SUCS - CF'!D16</f>
        <v>0</v>
      </c>
      <c r="I16" s="156"/>
      <c r="J16" s="156">
        <f t="shared" si="0"/>
        <v>-112678</v>
      </c>
      <c r="K16" s="156"/>
      <c r="L16" s="156">
        <f>'Probois 43 - CF'!E16</f>
        <v>-53913</v>
      </c>
      <c r="M16" s="156">
        <f>'SAS EMB - CF'!D16</f>
        <v>-48984</v>
      </c>
      <c r="N16" s="156">
        <f>'BSB - CF'!E16</f>
        <v>-234036</v>
      </c>
      <c r="O16" s="156">
        <f>'SC des SUCS - CF'!E16</f>
        <v>0</v>
      </c>
      <c r="P16" s="156">
        <f>'SCI - CF'!E16</f>
        <v>0</v>
      </c>
      <c r="Q16" s="156">
        <f t="shared" si="1"/>
        <v>-336933</v>
      </c>
      <c r="R16" s="156"/>
      <c r="S16" s="156">
        <f>'Probois 43 - CF'!F16</f>
        <v>141272</v>
      </c>
      <c r="T16" s="156">
        <f>'SAS EMB - CF'!E16</f>
        <v>106555</v>
      </c>
      <c r="U16" s="156">
        <f>'BSB - CF'!F16</f>
        <v>-62510</v>
      </c>
      <c r="V16" s="156">
        <f>'SC des SUCS - CF'!F16</f>
        <v>0</v>
      </c>
      <c r="W16" s="156">
        <f>'SCI - CF'!F16</f>
        <v>0</v>
      </c>
      <c r="X16" s="156">
        <f t="shared" si="2"/>
        <v>185317</v>
      </c>
      <c r="Y16" s="156"/>
      <c r="Z16" s="156">
        <f>'Probois 43 - CF (2)'!G16</f>
        <v>-92791</v>
      </c>
      <c r="AA16" s="156">
        <f>'SAS EMB - CF (2)'!F16</f>
        <v>-70376</v>
      </c>
      <c r="AB16" s="156">
        <f>'BSB - CF (2)'!G16</f>
        <v>-4469</v>
      </c>
      <c r="AC16" s="156">
        <f>'SC des SUCS - CF (2)'!H16</f>
        <v>0</v>
      </c>
      <c r="AD16" s="156">
        <f>'SCI - CF (2)'!H16</f>
        <v>0</v>
      </c>
      <c r="AE16" s="156">
        <f t="shared" si="3"/>
        <v>-167636</v>
      </c>
      <c r="AF16" s="156"/>
      <c r="AG16" s="156"/>
      <c r="AH16" s="156">
        <f>'Probois 43 - CF (2)'!I16</f>
        <v>8270</v>
      </c>
      <c r="AI16" s="156">
        <f>'SAS EMB - CF (2)'!H16</f>
        <v>-3980</v>
      </c>
      <c r="AJ16" s="156">
        <f>'BSB - CF (2)'!I16</f>
        <v>-8263</v>
      </c>
      <c r="AK16" s="156">
        <f>'Profilyss - CF (2)'!I16</f>
        <v>0</v>
      </c>
      <c r="AL16" s="156">
        <f>'SC des SUCS - CF (2)'!I16</f>
        <v>0</v>
      </c>
      <c r="AM16" s="156">
        <f>'SCI - CF (2)'!I16</f>
        <v>0</v>
      </c>
      <c r="AN16" s="156"/>
      <c r="AO16" s="156">
        <f t="shared" si="4"/>
        <v>-3973</v>
      </c>
      <c r="AP16" s="156"/>
      <c r="AQ16" s="156">
        <f>'Probois 43 - CF (2)'!J16</f>
        <v>-20000</v>
      </c>
      <c r="AR16" s="156">
        <f>'SAS EMB - CF (2)'!I16</f>
        <v>-10000</v>
      </c>
      <c r="AS16" s="156">
        <f>'BSB - CF (2)'!J16</f>
        <v>-75000</v>
      </c>
      <c r="AT16" s="156">
        <f>'Profilyss - CF (2)'!J16</f>
        <v>-233333.33333333334</v>
      </c>
      <c r="AU16" s="156">
        <f>'SC des SUCS - CF (2)'!J16</f>
        <v>0</v>
      </c>
      <c r="AV16" s="156">
        <f>'SCI - CF (2)'!J16</f>
        <v>0</v>
      </c>
      <c r="AW16" s="156">
        <f>'Antreuil - CF (2)'!J16</f>
        <v>0</v>
      </c>
      <c r="AX16" s="156">
        <f t="shared" si="5"/>
        <v>-338333.33333333337</v>
      </c>
      <c r="AY16" s="156"/>
      <c r="AZ16" s="156">
        <f>'Probois 43 - CF (2)'!K16</f>
        <v>-20000</v>
      </c>
      <c r="BA16" s="156">
        <f>'SAS EMB - CF (2)'!J16</f>
        <v>0</v>
      </c>
      <c r="BB16" s="156">
        <f>'BSB - CF (2)'!K16</f>
        <v>-50000</v>
      </c>
      <c r="BC16" s="156">
        <f>'Profilyss - CF (2)'!K16</f>
        <v>-100000.00000000003</v>
      </c>
      <c r="BD16" s="156">
        <f>'SC des SUCS - CF (2)'!K16</f>
        <v>0</v>
      </c>
      <c r="BE16" s="156">
        <f>'SCI - CF (2)'!K16</f>
        <v>0</v>
      </c>
      <c r="BF16" s="156">
        <f>'Antreuil - CF (2)'!K16</f>
        <v>0</v>
      </c>
      <c r="BG16" s="156">
        <f t="shared" si="6"/>
        <v>-170000.00000000003</v>
      </c>
      <c r="BH16" s="156"/>
      <c r="BI16" s="156">
        <f>'Probois 43 - CF (2)'!L16</f>
        <v>-10000</v>
      </c>
      <c r="BJ16" s="156">
        <f>'SAS EMB - CF (2)'!K16</f>
        <v>-5000</v>
      </c>
      <c r="BK16" s="156">
        <f>'BSB - CF (2)'!L16</f>
        <v>-40000</v>
      </c>
      <c r="BL16" s="156">
        <f>'Profilyss - CF (2)'!L16</f>
        <v>-133333.33333333331</v>
      </c>
      <c r="BM16" s="156">
        <f>'SC des SUCS - CF (2)'!L16</f>
        <v>0</v>
      </c>
      <c r="BN16" s="156">
        <f>'SCI - CF (2)'!L16</f>
        <v>0</v>
      </c>
      <c r="BO16" s="156">
        <f>'Antreuil - CF (2)'!L16</f>
        <v>0</v>
      </c>
      <c r="BP16" s="156">
        <f t="shared" si="7"/>
        <v>-188333.33333333331</v>
      </c>
    </row>
    <row r="17" spans="2:68" s="145" customFormat="1" ht="15" hidden="1" outlineLevel="1">
      <c r="B17" s="155" t="s">
        <v>233</v>
      </c>
      <c r="C17" s="156"/>
      <c r="D17" s="156"/>
      <c r="E17" s="156">
        <f>'Probois 43 - CF'!D17</f>
        <v>0</v>
      </c>
      <c r="F17" s="156"/>
      <c r="G17" s="156">
        <f>'BSB - CF'!D17</f>
        <v>0</v>
      </c>
      <c r="H17" s="156">
        <f>'SC des SUCS - CF'!D17</f>
        <v>0</v>
      </c>
      <c r="I17" s="156"/>
      <c r="J17" s="156">
        <f t="shared" si="0"/>
        <v>0</v>
      </c>
      <c r="K17" s="156"/>
      <c r="L17" s="156">
        <f>'Probois 43 - CF'!E17</f>
        <v>0</v>
      </c>
      <c r="M17" s="156">
        <f>'SAS EMB - CF'!D17</f>
        <v>0</v>
      </c>
      <c r="N17" s="156">
        <f>'BSB - CF'!E17</f>
        <v>0</v>
      </c>
      <c r="O17" s="156">
        <f>'SC des SUCS - CF'!E17</f>
        <v>0</v>
      </c>
      <c r="P17" s="156">
        <f>'SCI - CF'!E17</f>
        <v>0</v>
      </c>
      <c r="Q17" s="156">
        <f t="shared" si="1"/>
        <v>0</v>
      </c>
      <c r="R17" s="156"/>
      <c r="S17" s="156">
        <f>'Probois 43 - CF'!F17</f>
        <v>0</v>
      </c>
      <c r="T17" s="156">
        <f>'SAS EMB - CF'!E17</f>
        <v>0</v>
      </c>
      <c r="U17" s="156">
        <f>'BSB - CF'!F17</f>
        <v>0</v>
      </c>
      <c r="V17" s="156">
        <f>'SC des SUCS - CF'!F17</f>
        <v>0</v>
      </c>
      <c r="W17" s="156">
        <f>'SCI - CF'!F17</f>
        <v>0</v>
      </c>
      <c r="X17" s="156">
        <f t="shared" si="2"/>
        <v>0</v>
      </c>
      <c r="Y17" s="156"/>
      <c r="Z17" s="156">
        <f>'Probois 43 - CF (2)'!G17</f>
        <v>0</v>
      </c>
      <c r="AA17" s="156">
        <f>'SAS EMB - CF (2)'!F17</f>
        <v>0</v>
      </c>
      <c r="AB17" s="156">
        <f>'BSB - CF (2)'!G17</f>
        <v>0</v>
      </c>
      <c r="AC17" s="156">
        <f>'SC des SUCS - CF (2)'!H17</f>
        <v>0</v>
      </c>
      <c r="AD17" s="156">
        <f>'SCI - CF (2)'!H17</f>
        <v>0</v>
      </c>
      <c r="AE17" s="156">
        <f t="shared" si="3"/>
        <v>0</v>
      </c>
      <c r="AF17" s="156"/>
      <c r="AG17" s="156"/>
      <c r="AH17" s="156">
        <f>'Probois 43 - CF (2)'!I17</f>
        <v>0</v>
      </c>
      <c r="AI17" s="156">
        <f>'SAS EMB - CF (2)'!H17</f>
        <v>0</v>
      </c>
      <c r="AJ17" s="156">
        <f>'BSB - CF (2)'!I17</f>
        <v>0</v>
      </c>
      <c r="AK17" s="156">
        <f>'Profilyss - CF (2)'!I17</f>
        <v>0</v>
      </c>
      <c r="AL17" s="156">
        <f>'SC des SUCS - CF (2)'!I17</f>
        <v>0</v>
      </c>
      <c r="AM17" s="156">
        <f>'SCI - CF (2)'!I17</f>
        <v>0</v>
      </c>
      <c r="AN17" s="156"/>
      <c r="AO17" s="156">
        <f t="shared" si="4"/>
        <v>0</v>
      </c>
      <c r="AP17" s="156"/>
      <c r="AQ17" s="156">
        <f>'Probois 43 - CF (2)'!J17</f>
        <v>0</v>
      </c>
      <c r="AR17" s="156">
        <f>'SAS EMB - CF (2)'!I17</f>
        <v>0</v>
      </c>
      <c r="AS17" s="156">
        <f>'BSB - CF (2)'!J17</f>
        <v>0</v>
      </c>
      <c r="AT17" s="156">
        <f>'Profilyss - CF (2)'!J17</f>
        <v>0</v>
      </c>
      <c r="AU17" s="156">
        <f>'SC des SUCS - CF (2)'!J17</f>
        <v>0</v>
      </c>
      <c r="AV17" s="156">
        <f>'SCI - CF (2)'!J17</f>
        <v>0</v>
      </c>
      <c r="AW17" s="156">
        <f>'Antreuil - CF (2)'!J17</f>
        <v>0</v>
      </c>
      <c r="AX17" s="156">
        <f t="shared" si="5"/>
        <v>0</v>
      </c>
      <c r="AY17" s="156"/>
      <c r="AZ17" s="156">
        <f>'Probois 43 - CF (2)'!K17</f>
        <v>0</v>
      </c>
      <c r="BA17" s="156">
        <f>'SAS EMB - CF (2)'!J17</f>
        <v>0</v>
      </c>
      <c r="BB17" s="156">
        <f>'BSB - CF (2)'!K17</f>
        <v>0</v>
      </c>
      <c r="BC17" s="156">
        <f>'Profilyss - CF (2)'!K17</f>
        <v>0</v>
      </c>
      <c r="BD17" s="156">
        <f>'SC des SUCS - CF (2)'!K17</f>
        <v>0</v>
      </c>
      <c r="BE17" s="156">
        <f>'SCI - CF (2)'!K17</f>
        <v>0</v>
      </c>
      <c r="BF17" s="156">
        <f>'Antreuil - CF (2)'!K17</f>
        <v>0</v>
      </c>
      <c r="BG17" s="156">
        <f t="shared" si="6"/>
        <v>0</v>
      </c>
      <c r="BH17" s="156"/>
      <c r="BI17" s="156">
        <f>'Probois 43 - CF (2)'!L17</f>
        <v>0</v>
      </c>
      <c r="BJ17" s="156">
        <f>'SAS EMB - CF (2)'!K17</f>
        <v>0</v>
      </c>
      <c r="BK17" s="156">
        <f>'BSB - CF (2)'!L17</f>
        <v>0</v>
      </c>
      <c r="BL17" s="156">
        <f>'Profilyss - CF (2)'!L17</f>
        <v>0</v>
      </c>
      <c r="BM17" s="156">
        <f>'SC des SUCS - CF (2)'!L17</f>
        <v>0</v>
      </c>
      <c r="BN17" s="156">
        <f>'SCI - CF (2)'!L17</f>
        <v>0</v>
      </c>
      <c r="BO17" s="156">
        <f>'Antreuil - CF (2)'!L17</f>
        <v>0</v>
      </c>
      <c r="BP17" s="156">
        <f t="shared" si="7"/>
        <v>0</v>
      </c>
    </row>
    <row r="18" spans="2:68" s="145" customFormat="1" ht="15" hidden="1" outlineLevel="1">
      <c r="B18" s="155" t="s">
        <v>234</v>
      </c>
      <c r="C18" s="156"/>
      <c r="D18" s="156"/>
      <c r="E18" s="156">
        <f>'Probois 43 - CF'!D18</f>
        <v>230861</v>
      </c>
      <c r="F18" s="156"/>
      <c r="G18" s="156">
        <f>'BSB - CF'!D18</f>
        <v>24274</v>
      </c>
      <c r="H18" s="156">
        <f>'SC des SUCS - CF'!D18</f>
        <v>0</v>
      </c>
      <c r="I18" s="156"/>
      <c r="J18" s="156">
        <f t="shared" si="0"/>
        <v>255135</v>
      </c>
      <c r="K18" s="156"/>
      <c r="L18" s="156">
        <f>'Probois 43 - CF'!E18</f>
        <v>-106005</v>
      </c>
      <c r="M18" s="156">
        <f>'SAS EMB - CF'!D18</f>
        <v>-24737</v>
      </c>
      <c r="N18" s="156">
        <f>'BSB - CF'!E18</f>
        <v>-144105</v>
      </c>
      <c r="O18" s="156">
        <f>'SC des SUCS - CF'!E18</f>
        <v>0</v>
      </c>
      <c r="P18" s="156">
        <f>'SCI - CF'!E18</f>
        <v>-2606</v>
      </c>
      <c r="Q18" s="156">
        <f t="shared" si="1"/>
        <v>-277453</v>
      </c>
      <c r="R18" s="156"/>
      <c r="S18" s="156">
        <f>'Probois 43 - CF'!F18</f>
        <v>-236421</v>
      </c>
      <c r="T18" s="156">
        <f>'SAS EMB - CF'!E18</f>
        <v>-2162</v>
      </c>
      <c r="U18" s="156">
        <f>'BSB - CF'!F18</f>
        <v>32691</v>
      </c>
      <c r="V18" s="156">
        <f>'SC des SUCS - CF'!F18</f>
        <v>-70800</v>
      </c>
      <c r="W18" s="156">
        <f>'SCI - CF'!F18</f>
        <v>-3568</v>
      </c>
      <c r="X18" s="156">
        <f t="shared" si="2"/>
        <v>-280260</v>
      </c>
      <c r="Y18" s="156"/>
      <c r="Z18" s="156">
        <f>'Probois 43 - CF (2)'!G18</f>
        <v>22580</v>
      </c>
      <c r="AA18" s="156">
        <f>'SAS EMB - CF (2)'!F18</f>
        <v>52208</v>
      </c>
      <c r="AB18" s="156">
        <f>'BSB - CF (2)'!G18</f>
        <v>-60093</v>
      </c>
      <c r="AC18" s="156">
        <f>'SC des SUCS - CF (2)'!H18</f>
        <v>28596</v>
      </c>
      <c r="AD18" s="156">
        <f>'SCI - CF (2)'!H18</f>
        <v>0</v>
      </c>
      <c r="AE18" s="156">
        <f t="shared" si="3"/>
        <v>43291</v>
      </c>
      <c r="AF18" s="156"/>
      <c r="AG18" s="156"/>
      <c r="AH18" s="156">
        <f>'Probois 43 - CF (2)'!I18</f>
        <v>44438</v>
      </c>
      <c r="AI18" s="156">
        <f>'SAS EMB - CF (2)'!H18</f>
        <v>403</v>
      </c>
      <c r="AJ18" s="156">
        <f>'BSB - CF (2)'!I18</f>
        <v>0</v>
      </c>
      <c r="AK18" s="156">
        <f>'Profilyss - CF (2)'!I18</f>
        <v>0</v>
      </c>
      <c r="AL18" s="156">
        <f>'SC des SUCS - CF (2)'!I18</f>
        <v>-996</v>
      </c>
      <c r="AM18" s="156">
        <f>'SCI - CF (2)'!I18</f>
        <v>0</v>
      </c>
      <c r="AN18" s="156"/>
      <c r="AO18" s="156">
        <f t="shared" si="4"/>
        <v>43845</v>
      </c>
      <c r="AP18" s="156"/>
      <c r="AQ18" s="156">
        <f>'Probois 43 - CF (2)'!J18</f>
        <v>-20000</v>
      </c>
      <c r="AR18" s="156">
        <f>'SAS EMB - CF (2)'!I18</f>
        <v>10000</v>
      </c>
      <c r="AS18" s="156">
        <f>'BSB - CF (2)'!J18</f>
        <v>-15066</v>
      </c>
      <c r="AT18" s="156">
        <f>'Profilyss - CF (2)'!J18</f>
        <v>-212301.36986301371</v>
      </c>
      <c r="AU18" s="156">
        <f>'SC des SUCS - CF (2)'!J18</f>
        <v>0</v>
      </c>
      <c r="AV18" s="156">
        <f>'SCI - CF (2)'!J18</f>
        <v>0</v>
      </c>
      <c r="AW18" s="156">
        <f>'Antreuil - CF (2)'!J18</f>
        <v>-20000</v>
      </c>
      <c r="AX18" s="156">
        <f t="shared" si="5"/>
        <v>-257367.36986301371</v>
      </c>
      <c r="AY18" s="156"/>
      <c r="AZ18" s="156">
        <f>'Probois 43 - CF (2)'!K18</f>
        <v>-30000</v>
      </c>
      <c r="BA18" s="156">
        <f>'SAS EMB - CF (2)'!J18</f>
        <v>0</v>
      </c>
      <c r="BB18" s="156">
        <f>'BSB - CF (2)'!K18</f>
        <v>-30000</v>
      </c>
      <c r="BC18" s="156">
        <f>'Profilyss - CF (2)'!K18</f>
        <v>-105780.82191780824</v>
      </c>
      <c r="BD18" s="156">
        <f>'SC des SUCS - CF (2)'!K18</f>
        <v>0</v>
      </c>
      <c r="BE18" s="156">
        <f>'SCI - CF (2)'!K18</f>
        <v>0</v>
      </c>
      <c r="BF18" s="156">
        <f>'Antreuil - CF (2)'!K18</f>
        <v>0</v>
      </c>
      <c r="BG18" s="156">
        <f t="shared" si="6"/>
        <v>-165780.82191780824</v>
      </c>
      <c r="BH18" s="156"/>
      <c r="BI18" s="156">
        <f>'Probois 43 - CF (2)'!L18</f>
        <v>-20000</v>
      </c>
      <c r="BJ18" s="156">
        <f>'SAS EMB - CF (2)'!K18</f>
        <v>0</v>
      </c>
      <c r="BK18" s="156">
        <f>'BSB - CF (2)'!L18</f>
        <v>-20000</v>
      </c>
      <c r="BL18" s="156">
        <f>'Profilyss - CF (2)'!L18</f>
        <v>-147945.20547945204</v>
      </c>
      <c r="BM18" s="156">
        <f>'SC des SUCS - CF (2)'!L18</f>
        <v>0</v>
      </c>
      <c r="BN18" s="156">
        <f>'SCI - CF (2)'!L18</f>
        <v>0</v>
      </c>
      <c r="BO18" s="156">
        <f>'Antreuil - CF (2)'!L18</f>
        <v>0</v>
      </c>
      <c r="BP18" s="156">
        <f t="shared" si="7"/>
        <v>-187945.20547945204</v>
      </c>
    </row>
    <row r="19" spans="2:68" s="145" customFormat="1" ht="15" hidden="1" outlineLevel="1">
      <c r="B19" s="155" t="s">
        <v>235</v>
      </c>
      <c r="C19" s="156"/>
      <c r="D19" s="156"/>
      <c r="E19" s="156">
        <f>'Probois 43 - CF'!D19</f>
        <v>-511419</v>
      </c>
      <c r="F19" s="156"/>
      <c r="G19" s="156">
        <f>'BSB - CF'!D19</f>
        <v>8295</v>
      </c>
      <c r="H19" s="156">
        <f>'SC des SUCS - CF'!D19</f>
        <v>-53948</v>
      </c>
      <c r="I19" s="156"/>
      <c r="J19" s="156">
        <f t="shared" si="0"/>
        <v>-557072</v>
      </c>
      <c r="K19" s="156"/>
      <c r="L19" s="156">
        <f>'Probois 43 - CF'!E19</f>
        <v>-338234</v>
      </c>
      <c r="M19" s="156">
        <f>'SAS EMB - CF'!D19</f>
        <v>-109050</v>
      </c>
      <c r="N19" s="156">
        <f>'BSB - CF'!E19</f>
        <v>-11320</v>
      </c>
      <c r="O19" s="156">
        <f>'SC des SUCS - CF'!E19</f>
        <v>-143726</v>
      </c>
      <c r="P19" s="156">
        <f>'SCI - CF'!E19</f>
        <v>0</v>
      </c>
      <c r="Q19" s="156">
        <f t="shared" si="1"/>
        <v>-602330</v>
      </c>
      <c r="R19" s="156"/>
      <c r="S19" s="156">
        <f>'Probois 43 - CF'!F19</f>
        <v>390554</v>
      </c>
      <c r="T19" s="156">
        <f>'SAS EMB - CF'!E19</f>
        <v>70410</v>
      </c>
      <c r="U19" s="156">
        <f>'BSB - CF'!F19</f>
        <v>-382</v>
      </c>
      <c r="V19" s="156">
        <f>'SC des SUCS - CF'!F19</f>
        <v>-145234</v>
      </c>
      <c r="W19" s="156">
        <f>'SCI - CF'!F19</f>
        <v>0</v>
      </c>
      <c r="X19" s="156">
        <f t="shared" si="2"/>
        <v>315348</v>
      </c>
      <c r="Y19" s="156"/>
      <c r="Z19" s="156">
        <f>'Probois 43 - CF (2)'!G19</f>
        <v>102511</v>
      </c>
      <c r="AA19" s="156">
        <f>'SAS EMB - CF (2)'!F19</f>
        <v>-175017</v>
      </c>
      <c r="AB19" s="156">
        <f>'BSB - CF (2)'!G19</f>
        <v>-57878</v>
      </c>
      <c r="AC19" s="156">
        <f>'SC des SUCS - CF (2)'!H19</f>
        <v>-1000000</v>
      </c>
      <c r="AD19" s="156">
        <f>'SCI - CF (2)'!H19</f>
        <v>0</v>
      </c>
      <c r="AE19" s="156">
        <f t="shared" si="3"/>
        <v>-1130384</v>
      </c>
      <c r="AF19" s="156"/>
      <c r="AG19" s="156"/>
      <c r="AH19" s="156">
        <f>'Probois 43 - CF (2)'!I19</f>
        <v>0</v>
      </c>
      <c r="AI19" s="156">
        <f>'SAS EMB - CF (2)'!H19</f>
        <v>0</v>
      </c>
      <c r="AJ19" s="156">
        <f>'BSB - CF (2)'!I19</f>
        <v>0</v>
      </c>
      <c r="AK19" s="156">
        <f>'Profilyss - CF (2)'!I19</f>
        <v>0</v>
      </c>
      <c r="AL19" s="156">
        <f>'SC des SUCS - CF (2)'!I19</f>
        <v>0</v>
      </c>
      <c r="AM19" s="156">
        <f>'SCI - CF (2)'!I19</f>
        <v>0</v>
      </c>
      <c r="AN19" s="156"/>
      <c r="AO19" s="156">
        <f t="shared" si="4"/>
        <v>0</v>
      </c>
      <c r="AP19" s="156"/>
      <c r="AQ19" s="156">
        <f>'Probois 43 - CF (2)'!J19</f>
        <v>0</v>
      </c>
      <c r="AR19" s="156">
        <f>'SAS EMB - CF (2)'!I19</f>
        <v>0</v>
      </c>
      <c r="AS19" s="156">
        <f>'BSB - CF (2)'!J19</f>
        <v>0</v>
      </c>
      <c r="AT19" s="156">
        <f>'Profilyss - CF (2)'!J19</f>
        <v>-20000</v>
      </c>
      <c r="AU19" s="156">
        <f>'SC des SUCS - CF (2)'!J19</f>
        <v>0</v>
      </c>
      <c r="AV19" s="156">
        <f>'SCI - CF (2)'!J19</f>
        <v>0</v>
      </c>
      <c r="AW19" s="156">
        <f>'Antreuil - CF (2)'!J19</f>
        <v>0</v>
      </c>
      <c r="AX19" s="156">
        <f t="shared" si="5"/>
        <v>-20000</v>
      </c>
      <c r="AY19" s="156"/>
      <c r="AZ19" s="156">
        <f>'Probois 43 - CF (2)'!K19</f>
        <v>0</v>
      </c>
      <c r="BA19" s="156">
        <f>'SAS EMB - CF (2)'!J19</f>
        <v>0</v>
      </c>
      <c r="BB19" s="156">
        <f>'BSB - CF (2)'!K19</f>
        <v>0</v>
      </c>
      <c r="BC19" s="156">
        <f>'Profilyss - CF (2)'!K19</f>
        <v>0</v>
      </c>
      <c r="BD19" s="156">
        <f>'SC des SUCS - CF (2)'!K19</f>
        <v>0</v>
      </c>
      <c r="BE19" s="156">
        <f>'SCI - CF (2)'!K19</f>
        <v>0</v>
      </c>
      <c r="BF19" s="156">
        <f>'Antreuil - CF (2)'!K19</f>
        <v>0</v>
      </c>
      <c r="BG19" s="156">
        <f t="shared" si="6"/>
        <v>0</v>
      </c>
      <c r="BH19" s="156"/>
      <c r="BI19" s="156">
        <f>'Probois 43 - CF (2)'!L19</f>
        <v>0</v>
      </c>
      <c r="BJ19" s="156">
        <f>'SAS EMB - CF (2)'!K19</f>
        <v>0</v>
      </c>
      <c r="BK19" s="156">
        <f>'BSB - CF (2)'!L19</f>
        <v>0</v>
      </c>
      <c r="BL19" s="156">
        <f>'Profilyss - CF (2)'!L19</f>
        <v>0</v>
      </c>
      <c r="BM19" s="156">
        <f>'SC des SUCS - CF (2)'!L19</f>
        <v>0</v>
      </c>
      <c r="BN19" s="156">
        <f>'SCI - CF (2)'!L19</f>
        <v>0</v>
      </c>
      <c r="BO19" s="156">
        <f>'Antreuil - CF (2)'!L19</f>
        <v>0</v>
      </c>
      <c r="BP19" s="156">
        <f t="shared" si="7"/>
        <v>0</v>
      </c>
    </row>
    <row r="20" spans="2:68" s="145" customFormat="1" ht="15" hidden="1" outlineLevel="1">
      <c r="B20" s="155" t="s">
        <v>236</v>
      </c>
      <c r="C20" s="156"/>
      <c r="D20" s="156"/>
      <c r="E20" s="156">
        <f>'Probois 43 - CF'!D20</f>
        <v>3953</v>
      </c>
      <c r="F20" s="156"/>
      <c r="G20" s="156">
        <f>'BSB - CF'!D20</f>
        <v>-225</v>
      </c>
      <c r="H20" s="156">
        <f>'SC des SUCS - CF'!D20</f>
        <v>0</v>
      </c>
      <c r="I20" s="156"/>
      <c r="J20" s="156">
        <f t="shared" si="0"/>
        <v>3728</v>
      </c>
      <c r="K20" s="156"/>
      <c r="L20" s="156">
        <f>'Probois 43 - CF'!E20</f>
        <v>-520</v>
      </c>
      <c r="M20" s="156">
        <f>'SAS EMB - CF'!D20</f>
        <v>-2042</v>
      </c>
      <c r="N20" s="156">
        <f>'BSB - CF'!E20</f>
        <v>-109</v>
      </c>
      <c r="O20" s="156">
        <f>'SC des SUCS - CF'!E20</f>
        <v>0</v>
      </c>
      <c r="P20" s="156">
        <f>'SCI - CF'!E20</f>
        <v>0</v>
      </c>
      <c r="Q20" s="156">
        <f t="shared" si="1"/>
        <v>-2671</v>
      </c>
      <c r="R20" s="156"/>
      <c r="S20" s="156">
        <f>'Probois 43 - CF'!F20</f>
        <v>-4638</v>
      </c>
      <c r="T20" s="156">
        <f>'SAS EMB - CF'!E20</f>
        <v>1022</v>
      </c>
      <c r="U20" s="156">
        <f>'BSB - CF'!F20</f>
        <v>-381</v>
      </c>
      <c r="V20" s="156">
        <f>'SC des SUCS - CF'!F20</f>
        <v>0</v>
      </c>
      <c r="W20" s="156">
        <f>'SCI - CF'!F20</f>
        <v>0</v>
      </c>
      <c r="X20" s="156">
        <f t="shared" si="2"/>
        <v>-3997</v>
      </c>
      <c r="Y20" s="156"/>
      <c r="Z20" s="156">
        <f>'Probois 43 - CF (2)'!G20</f>
        <v>3255</v>
      </c>
      <c r="AA20" s="156">
        <f>'SAS EMB - CF (2)'!F20</f>
        <v>1424</v>
      </c>
      <c r="AB20" s="156">
        <f>'BSB - CF (2)'!G20</f>
        <v>-18280</v>
      </c>
      <c r="AC20" s="156">
        <f>'SC des SUCS - CF (2)'!H20</f>
        <v>0</v>
      </c>
      <c r="AD20" s="156">
        <f>'SCI - CF (2)'!H20</f>
        <v>0</v>
      </c>
      <c r="AE20" s="156">
        <f t="shared" si="3"/>
        <v>-13601</v>
      </c>
      <c r="AF20" s="156"/>
      <c r="AG20" s="156"/>
      <c r="AH20" s="156">
        <f>'Probois 43 - CF (2)'!I20</f>
        <v>0</v>
      </c>
      <c r="AI20" s="156">
        <f>'SAS EMB - CF (2)'!H20</f>
        <v>0</v>
      </c>
      <c r="AJ20" s="156">
        <f>'BSB - CF (2)'!I20</f>
        <v>0</v>
      </c>
      <c r="AK20" s="156">
        <f>'Profilyss - CF (2)'!I20</f>
        <v>0</v>
      </c>
      <c r="AL20" s="156">
        <f>'SC des SUCS - CF (2)'!I20</f>
        <v>0</v>
      </c>
      <c r="AM20" s="156">
        <f>'SCI - CF (2)'!I20</f>
        <v>0</v>
      </c>
      <c r="AN20" s="156"/>
      <c r="AO20" s="156">
        <f t="shared" si="4"/>
        <v>0</v>
      </c>
      <c r="AP20" s="156"/>
      <c r="AQ20" s="156">
        <f>'Probois 43 - CF (2)'!J20</f>
        <v>0</v>
      </c>
      <c r="AR20" s="156">
        <f>'SAS EMB - CF (2)'!I20</f>
        <v>0</v>
      </c>
      <c r="AS20" s="156">
        <f>'BSB - CF (2)'!J20</f>
        <v>0</v>
      </c>
      <c r="AT20" s="156">
        <f>'Profilyss - CF (2)'!J20</f>
        <v>0</v>
      </c>
      <c r="AU20" s="156">
        <f>'SC des SUCS - CF (2)'!J20</f>
        <v>0</v>
      </c>
      <c r="AV20" s="156">
        <f>'SCI - CF (2)'!J20</f>
        <v>0</v>
      </c>
      <c r="AW20" s="156">
        <f>'Antreuil - CF (2)'!J20</f>
        <v>0</v>
      </c>
      <c r="AX20" s="156">
        <f t="shared" si="5"/>
        <v>0</v>
      </c>
      <c r="AY20" s="156"/>
      <c r="AZ20" s="156">
        <f>'Probois 43 - CF (2)'!K20</f>
        <v>0</v>
      </c>
      <c r="BA20" s="156">
        <f>'SAS EMB - CF (2)'!J20</f>
        <v>0</v>
      </c>
      <c r="BB20" s="156">
        <f>'BSB - CF (2)'!K20</f>
        <v>0</v>
      </c>
      <c r="BC20" s="156">
        <f>'Profilyss - CF (2)'!K20</f>
        <v>0</v>
      </c>
      <c r="BD20" s="156">
        <f>'SC des SUCS - CF (2)'!K20</f>
        <v>0</v>
      </c>
      <c r="BE20" s="156">
        <f>'SCI - CF (2)'!K20</f>
        <v>0</v>
      </c>
      <c r="BF20" s="156">
        <f>'Antreuil - CF (2)'!K20</f>
        <v>0</v>
      </c>
      <c r="BG20" s="156">
        <f t="shared" si="6"/>
        <v>0</v>
      </c>
      <c r="BH20" s="156"/>
      <c r="BI20" s="156">
        <f>'Probois 43 - CF (2)'!L20</f>
        <v>0</v>
      </c>
      <c r="BJ20" s="156">
        <f>'SAS EMB - CF (2)'!K20</f>
        <v>0</v>
      </c>
      <c r="BK20" s="156">
        <f>'BSB - CF (2)'!L20</f>
        <v>0</v>
      </c>
      <c r="BL20" s="156">
        <f>'Profilyss - CF (2)'!L20</f>
        <v>0</v>
      </c>
      <c r="BM20" s="156">
        <f>'SC des SUCS - CF (2)'!L20</f>
        <v>0</v>
      </c>
      <c r="BN20" s="156">
        <f>'SCI - CF (2)'!L20</f>
        <v>0</v>
      </c>
      <c r="BO20" s="156">
        <f>'Antreuil - CF (2)'!L20</f>
        <v>0</v>
      </c>
      <c r="BP20" s="156">
        <f t="shared" si="7"/>
        <v>0</v>
      </c>
    </row>
    <row r="21" spans="2:68" s="145" customFormat="1" ht="15" hidden="1" outlineLevel="1">
      <c r="B21" s="155" t="s">
        <v>237</v>
      </c>
      <c r="C21" s="156"/>
      <c r="D21" s="156"/>
      <c r="E21" s="156">
        <f>'Probois 43 - CF'!D21</f>
        <v>0</v>
      </c>
      <c r="F21" s="156"/>
      <c r="G21" s="156">
        <f>'BSB - CF'!D21</f>
        <v>0</v>
      </c>
      <c r="H21" s="156">
        <f>'SC des SUCS - CF'!D21</f>
        <v>0</v>
      </c>
      <c r="I21" s="156"/>
      <c r="J21" s="156">
        <f t="shared" si="0"/>
        <v>0</v>
      </c>
      <c r="K21" s="156"/>
      <c r="L21" s="156">
        <f>'Probois 43 - CF'!E21</f>
        <v>0</v>
      </c>
      <c r="M21" s="156">
        <f>'SAS EMB - CF'!D21</f>
        <v>0</v>
      </c>
      <c r="N21" s="156">
        <f>'BSB - CF'!E21</f>
        <v>0</v>
      </c>
      <c r="O21" s="156">
        <f>'SC des SUCS - CF'!E21</f>
        <v>0</v>
      </c>
      <c r="P21" s="156">
        <f>'SCI - CF'!E21</f>
        <v>0</v>
      </c>
      <c r="Q21" s="156">
        <f t="shared" si="1"/>
        <v>0</v>
      </c>
      <c r="R21" s="156"/>
      <c r="S21" s="156">
        <f>'Probois 43 - CF'!F21</f>
        <v>0</v>
      </c>
      <c r="T21" s="156">
        <f>'SAS EMB - CF'!E21</f>
        <v>0</v>
      </c>
      <c r="U21" s="156">
        <f>'BSB - CF'!F21</f>
        <v>0</v>
      </c>
      <c r="V21" s="156">
        <f>'SC des SUCS - CF'!F21</f>
        <v>0</v>
      </c>
      <c r="W21" s="156">
        <f>'SCI - CF'!F21</f>
        <v>0</v>
      </c>
      <c r="X21" s="156">
        <f t="shared" si="2"/>
        <v>0</v>
      </c>
      <c r="Y21" s="156"/>
      <c r="Z21" s="156">
        <f>'Probois 43 - CF (2)'!G21</f>
        <v>0</v>
      </c>
      <c r="AA21" s="156">
        <f>'SAS EMB - CF (2)'!F21</f>
        <v>0</v>
      </c>
      <c r="AB21" s="156">
        <f>'BSB - CF (2)'!G21</f>
        <v>514</v>
      </c>
      <c r="AC21" s="156">
        <f>'SC des SUCS - CF (2)'!H21</f>
        <v>0</v>
      </c>
      <c r="AD21" s="156">
        <f>'SCI - CF (2)'!H21</f>
        <v>0</v>
      </c>
      <c r="AE21" s="156">
        <f t="shared" si="3"/>
        <v>514</v>
      </c>
      <c r="AF21" s="156"/>
      <c r="AG21" s="156"/>
      <c r="AH21" s="156">
        <f>'Probois 43 - CF (2)'!I21</f>
        <v>0</v>
      </c>
      <c r="AI21" s="156">
        <f>'SAS EMB - CF (2)'!H21</f>
        <v>0</v>
      </c>
      <c r="AJ21" s="156">
        <f>'BSB - CF (2)'!I21</f>
        <v>0</v>
      </c>
      <c r="AK21" s="156">
        <f>'Profilyss - CF (2)'!I21</f>
        <v>0</v>
      </c>
      <c r="AL21" s="156">
        <f>'SC des SUCS - CF (2)'!I21</f>
        <v>0</v>
      </c>
      <c r="AM21" s="156">
        <f>'SCI - CF (2)'!I21</f>
        <v>0</v>
      </c>
      <c r="AN21" s="156"/>
      <c r="AO21" s="156">
        <f t="shared" si="4"/>
        <v>0</v>
      </c>
      <c r="AP21" s="156"/>
      <c r="AQ21" s="156">
        <f>'Probois 43 - CF (2)'!J21</f>
        <v>0</v>
      </c>
      <c r="AR21" s="156">
        <f>'SAS EMB - CF (2)'!I21</f>
        <v>0</v>
      </c>
      <c r="AS21" s="156">
        <f>'BSB - CF (2)'!J21</f>
        <v>0</v>
      </c>
      <c r="AT21" s="156">
        <f>'Profilyss - CF (2)'!J21</f>
        <v>0</v>
      </c>
      <c r="AU21" s="156">
        <f>'SC des SUCS - CF (2)'!J21</f>
        <v>0</v>
      </c>
      <c r="AV21" s="156">
        <f>'SCI - CF (2)'!J21</f>
        <v>0</v>
      </c>
      <c r="AW21" s="156">
        <f>'Antreuil - CF (2)'!J21</f>
        <v>0</v>
      </c>
      <c r="AX21" s="156">
        <f t="shared" si="5"/>
        <v>0</v>
      </c>
      <c r="AY21" s="156"/>
      <c r="AZ21" s="156">
        <f>'Probois 43 - CF (2)'!K21</f>
        <v>0</v>
      </c>
      <c r="BA21" s="156">
        <f>'SAS EMB - CF (2)'!J21</f>
        <v>0</v>
      </c>
      <c r="BB21" s="156">
        <f>'BSB - CF (2)'!K21</f>
        <v>0</v>
      </c>
      <c r="BC21" s="156">
        <f>'Profilyss - CF (2)'!K21</f>
        <v>0</v>
      </c>
      <c r="BD21" s="156">
        <f>'SC des SUCS - CF (2)'!K21</f>
        <v>0</v>
      </c>
      <c r="BE21" s="156">
        <f>'SCI - CF (2)'!K21</f>
        <v>0</v>
      </c>
      <c r="BF21" s="156">
        <f>'Antreuil - CF (2)'!K21</f>
        <v>0</v>
      </c>
      <c r="BG21" s="156">
        <f t="shared" si="6"/>
        <v>0</v>
      </c>
      <c r="BH21" s="156"/>
      <c r="BI21" s="156">
        <f>'Probois 43 - CF (2)'!L21</f>
        <v>0</v>
      </c>
      <c r="BJ21" s="156">
        <f>'SAS EMB - CF (2)'!K21</f>
        <v>0</v>
      </c>
      <c r="BK21" s="156">
        <f>'BSB - CF (2)'!L21</f>
        <v>0</v>
      </c>
      <c r="BL21" s="156">
        <f>'Profilyss - CF (2)'!L21</f>
        <v>0</v>
      </c>
      <c r="BM21" s="156">
        <f>'SC des SUCS - CF (2)'!L21</f>
        <v>0</v>
      </c>
      <c r="BN21" s="156">
        <f>'SCI - CF (2)'!L21</f>
        <v>0</v>
      </c>
      <c r="BO21" s="156">
        <f>'Antreuil - CF (2)'!L21</f>
        <v>0</v>
      </c>
      <c r="BP21" s="156">
        <f t="shared" si="7"/>
        <v>0</v>
      </c>
    </row>
    <row r="22" spans="2:68" s="145" customFormat="1" ht="15" hidden="1" outlineLevel="1">
      <c r="B22" s="155" t="s">
        <v>238</v>
      </c>
      <c r="C22" s="156"/>
      <c r="D22" s="156"/>
      <c r="E22" s="156">
        <f>'Probois 43 - CF'!D22</f>
        <v>47128</v>
      </c>
      <c r="F22" s="156"/>
      <c r="G22" s="156">
        <f>'BSB - CF'!D22</f>
        <v>-24647</v>
      </c>
      <c r="H22" s="156">
        <f>'SC des SUCS - CF'!D22</f>
        <v>0</v>
      </c>
      <c r="I22" s="156"/>
      <c r="J22" s="156">
        <f t="shared" si="0"/>
        <v>22481</v>
      </c>
      <c r="K22" s="156"/>
      <c r="L22" s="156">
        <f>'Probois 43 - CF'!E22</f>
        <v>257942</v>
      </c>
      <c r="M22" s="156">
        <f>'SAS EMB - CF'!D22</f>
        <v>50566</v>
      </c>
      <c r="N22" s="156">
        <f>'BSB - CF'!E22</f>
        <v>382664</v>
      </c>
      <c r="O22" s="156">
        <f>'SC des SUCS - CF'!E22</f>
        <v>318</v>
      </c>
      <c r="P22" s="156">
        <f>'SCI - CF'!E22</f>
        <v>0</v>
      </c>
      <c r="Q22" s="156">
        <f t="shared" si="1"/>
        <v>691490</v>
      </c>
      <c r="R22" s="156"/>
      <c r="S22" s="156">
        <f>'Probois 43 - CF'!F22</f>
        <v>53327</v>
      </c>
      <c r="T22" s="156">
        <f>'SAS EMB - CF'!E22</f>
        <v>-14090</v>
      </c>
      <c r="U22" s="156">
        <f>'BSB - CF'!F22</f>
        <v>-242494</v>
      </c>
      <c r="V22" s="156">
        <f>'SC des SUCS - CF'!F22</f>
        <v>1181</v>
      </c>
      <c r="W22" s="156">
        <f>'SCI - CF'!F22</f>
        <v>0</v>
      </c>
      <c r="X22" s="156">
        <f t="shared" si="2"/>
        <v>-202076</v>
      </c>
      <c r="Y22" s="156"/>
      <c r="Z22" s="156">
        <f>'Probois 43 - CF (2)'!G22</f>
        <v>-214127</v>
      </c>
      <c r="AA22" s="156">
        <f>'SAS EMB - CF (2)'!F22</f>
        <v>68924</v>
      </c>
      <c r="AB22" s="156">
        <f>'BSB - CF (2)'!G22</f>
        <v>135563</v>
      </c>
      <c r="AC22" s="156">
        <f>'SC des SUCS - CF (2)'!H22</f>
        <v>1005</v>
      </c>
      <c r="AD22" s="156">
        <f>'SCI - CF (2)'!H22</f>
        <v>0</v>
      </c>
      <c r="AE22" s="156">
        <f t="shared" si="3"/>
        <v>-8635</v>
      </c>
      <c r="AF22" s="156"/>
      <c r="AG22" s="156"/>
      <c r="AH22" s="156">
        <f>'Probois 43 - CF (2)'!I22</f>
        <v>9986</v>
      </c>
      <c r="AI22" s="156">
        <f>'SAS EMB - CF (2)'!H22</f>
        <v>0</v>
      </c>
      <c r="AJ22" s="156">
        <f>'BSB - CF (2)'!I22</f>
        <v>-4099</v>
      </c>
      <c r="AK22" s="156">
        <f>'Profilyss - CF (2)'!I22</f>
        <v>0</v>
      </c>
      <c r="AL22" s="156">
        <f>'SC des SUCS - CF (2)'!I22</f>
        <v>0</v>
      </c>
      <c r="AM22" s="156">
        <f>'SCI - CF (2)'!I22</f>
        <v>0</v>
      </c>
      <c r="AN22" s="156"/>
      <c r="AO22" s="156">
        <f t="shared" si="4"/>
        <v>5887</v>
      </c>
      <c r="AP22" s="156"/>
      <c r="AQ22" s="156">
        <f>'Probois 43 - CF (2)'!J22</f>
        <v>50000</v>
      </c>
      <c r="AR22" s="156">
        <f>'SAS EMB - CF (2)'!I22</f>
        <v>-9691</v>
      </c>
      <c r="AS22" s="156">
        <f>'BSB - CF (2)'!J22</f>
        <v>40000</v>
      </c>
      <c r="AT22" s="156">
        <f>'Profilyss - CF (2)'!J22</f>
        <v>115068.49315068492</v>
      </c>
      <c r="AU22" s="156">
        <f>'SC des SUCS - CF (2)'!J22</f>
        <v>0</v>
      </c>
      <c r="AV22" s="156">
        <f>'SCI - CF (2)'!J22</f>
        <v>0</v>
      </c>
      <c r="AW22" s="156">
        <f>'Antreuil - CF (2)'!J22</f>
        <v>0</v>
      </c>
      <c r="AX22" s="156">
        <f t="shared" si="5"/>
        <v>195377.49315068492</v>
      </c>
      <c r="AY22" s="156"/>
      <c r="AZ22" s="156">
        <f>'Probois 43 - CF (2)'!K22</f>
        <v>40000</v>
      </c>
      <c r="BA22" s="156">
        <f>'SAS EMB - CF (2)'!J22</f>
        <v>5000</v>
      </c>
      <c r="BB22" s="156">
        <f>'BSB - CF (2)'!K22</f>
        <v>20000</v>
      </c>
      <c r="BC22" s="156">
        <f>'Profilyss - CF (2)'!K22</f>
        <v>20547.945205479482</v>
      </c>
      <c r="BD22" s="156">
        <f>'SC des SUCS - CF (2)'!K22</f>
        <v>0</v>
      </c>
      <c r="BE22" s="156">
        <f>'SCI - CF (2)'!K22</f>
        <v>0</v>
      </c>
      <c r="BF22" s="156">
        <f>'Antreuil - CF (2)'!K22</f>
        <v>0</v>
      </c>
      <c r="BG22" s="156">
        <f t="shared" si="6"/>
        <v>85547.945205479482</v>
      </c>
      <c r="BH22" s="156"/>
      <c r="BI22" s="156">
        <f>'Probois 43 - CF (2)'!L22</f>
        <v>30000</v>
      </c>
      <c r="BJ22" s="156">
        <f>'SAS EMB - CF (2)'!K22</f>
        <v>5000</v>
      </c>
      <c r="BK22" s="156">
        <f>'BSB - CF (2)'!L22</f>
        <v>20000</v>
      </c>
      <c r="BL22" s="156">
        <f>'Profilyss - CF (2)'!L22</f>
        <v>53424.657534246566</v>
      </c>
      <c r="BM22" s="156">
        <f>'SC des SUCS - CF (2)'!L22</f>
        <v>0</v>
      </c>
      <c r="BN22" s="156">
        <f>'SCI - CF (2)'!L22</f>
        <v>0</v>
      </c>
      <c r="BO22" s="156">
        <f>'Antreuil - CF (2)'!L22</f>
        <v>0</v>
      </c>
      <c r="BP22" s="156">
        <f t="shared" si="7"/>
        <v>108424.65753424657</v>
      </c>
    </row>
    <row r="23" spans="2:68" s="145" customFormat="1" ht="15" hidden="1" outlineLevel="1">
      <c r="B23" s="155" t="s">
        <v>239</v>
      </c>
      <c r="C23" s="156"/>
      <c r="D23" s="156"/>
      <c r="E23" s="156">
        <f>'Probois 43 - CF'!D23</f>
        <v>26281</v>
      </c>
      <c r="F23" s="156"/>
      <c r="G23" s="156">
        <f>'BSB - CF'!D23</f>
        <v>-7950</v>
      </c>
      <c r="H23" s="156">
        <f>'SC des SUCS - CF'!D23</f>
        <v>253</v>
      </c>
      <c r="I23" s="156"/>
      <c r="J23" s="156">
        <f t="shared" si="0"/>
        <v>18584</v>
      </c>
      <c r="K23" s="156"/>
      <c r="L23" s="156">
        <f>'Probois 43 - CF'!E23</f>
        <v>28422</v>
      </c>
      <c r="M23" s="156">
        <f>'SAS EMB - CF'!D23</f>
        <v>-5751</v>
      </c>
      <c r="N23" s="156">
        <f>'BSB - CF'!E23</f>
        <v>30408</v>
      </c>
      <c r="O23" s="156">
        <f>'SC des SUCS - CF'!E23</f>
        <v>-253</v>
      </c>
      <c r="P23" s="156">
        <f>'SCI - CF'!E23</f>
        <v>146</v>
      </c>
      <c r="Q23" s="156">
        <f t="shared" si="1"/>
        <v>52972</v>
      </c>
      <c r="R23" s="156"/>
      <c r="S23" s="156">
        <f>'Probois 43 - CF'!F23</f>
        <v>-33905</v>
      </c>
      <c r="T23" s="156">
        <f>'SAS EMB - CF'!E23</f>
        <v>21920</v>
      </c>
      <c r="U23" s="156">
        <f>'BSB - CF'!F23</f>
        <v>-11497</v>
      </c>
      <c r="V23" s="156">
        <f>'SC des SUCS - CF'!F23</f>
        <v>12377</v>
      </c>
      <c r="W23" s="156">
        <f>'SCI - CF'!F23</f>
        <v>923</v>
      </c>
      <c r="X23" s="156">
        <f t="shared" si="2"/>
        <v>-10182</v>
      </c>
      <c r="Y23" s="156"/>
      <c r="Z23" s="156">
        <f>'Probois 43 - CF (2)'!G23</f>
        <v>20339</v>
      </c>
      <c r="AA23" s="156">
        <f>'SAS EMB - CF (2)'!F23</f>
        <v>-49969</v>
      </c>
      <c r="AB23" s="156">
        <f>'BSB - CF (2)'!G23</f>
        <v>6408</v>
      </c>
      <c r="AC23" s="156">
        <f>'SC des SUCS - CF (2)'!H23</f>
        <v>-3671</v>
      </c>
      <c r="AD23" s="156">
        <f>'SCI - CF (2)'!H23</f>
        <v>0</v>
      </c>
      <c r="AE23" s="156">
        <f t="shared" si="3"/>
        <v>-26893</v>
      </c>
      <c r="AF23" s="156"/>
      <c r="AG23" s="156"/>
      <c r="AH23" s="156">
        <f>'Probois 43 - CF (2)'!I23</f>
        <v>0</v>
      </c>
      <c r="AI23" s="156">
        <f>'SAS EMB - CF (2)'!H23</f>
        <v>0</v>
      </c>
      <c r="AJ23" s="156">
        <f>'BSB - CF (2)'!I23</f>
        <v>0</v>
      </c>
      <c r="AK23" s="156">
        <f>'Profilyss - CF (2)'!I23</f>
        <v>0</v>
      </c>
      <c r="AL23" s="156">
        <f>'SC des SUCS - CF (2)'!I23</f>
        <v>-4623</v>
      </c>
      <c r="AM23" s="156">
        <f>'SCI - CF (2)'!I23</f>
        <v>0</v>
      </c>
      <c r="AN23" s="156"/>
      <c r="AO23" s="156">
        <f t="shared" si="4"/>
        <v>-4623</v>
      </c>
      <c r="AP23" s="156"/>
      <c r="AQ23" s="156">
        <f>'Probois 43 - CF (2)'!J23</f>
        <v>0</v>
      </c>
      <c r="AR23" s="156">
        <f>'SAS EMB - CF (2)'!I23</f>
        <v>0</v>
      </c>
      <c r="AS23" s="156">
        <f>'BSB - CF (2)'!J23</f>
        <v>0</v>
      </c>
      <c r="AT23" s="156">
        <f>'Profilyss - CF (2)'!J23</f>
        <v>25000</v>
      </c>
      <c r="AU23" s="156">
        <f>'SC des SUCS - CF (2)'!J23</f>
        <v>-713</v>
      </c>
      <c r="AV23" s="156">
        <f>'SCI - CF (2)'!J23</f>
        <v>0</v>
      </c>
      <c r="AW23" s="156">
        <f>'Antreuil - CF (2)'!J23</f>
        <v>20000</v>
      </c>
      <c r="AX23" s="156">
        <f t="shared" si="5"/>
        <v>44287</v>
      </c>
      <c r="AY23" s="156"/>
      <c r="AZ23" s="156">
        <f>'Probois 43 - CF (2)'!K23</f>
        <v>0</v>
      </c>
      <c r="BA23" s="156">
        <f>'SAS EMB - CF (2)'!J23</f>
        <v>0</v>
      </c>
      <c r="BB23" s="156">
        <f>'BSB - CF (2)'!K23</f>
        <v>0</v>
      </c>
      <c r="BC23" s="156">
        <f>'Profilyss - CF (2)'!K23</f>
        <v>0</v>
      </c>
      <c r="BD23" s="156">
        <f>'SC des SUCS - CF (2)'!K23</f>
        <v>6</v>
      </c>
      <c r="BE23" s="156">
        <f>'SCI - CF (2)'!K23</f>
        <v>0</v>
      </c>
      <c r="BF23" s="156">
        <f>'Antreuil - CF (2)'!K23</f>
        <v>0</v>
      </c>
      <c r="BG23" s="156">
        <f t="shared" si="6"/>
        <v>6</v>
      </c>
      <c r="BH23" s="156"/>
      <c r="BI23" s="156">
        <f>'Probois 43 - CF (2)'!L23</f>
        <v>0</v>
      </c>
      <c r="BJ23" s="156">
        <f>'SAS EMB - CF (2)'!K23</f>
        <v>0</v>
      </c>
      <c r="BK23" s="156">
        <f>'BSB - CF (2)'!L23</f>
        <v>0</v>
      </c>
      <c r="BL23" s="156">
        <f>'Profilyss - CF (2)'!L23</f>
        <v>0</v>
      </c>
      <c r="BM23" s="156">
        <f>'SC des SUCS - CF (2)'!L23</f>
        <v>-1</v>
      </c>
      <c r="BN23" s="156">
        <f>'SCI - CF (2)'!L23</f>
        <v>0</v>
      </c>
      <c r="BO23" s="156">
        <f>'Antreuil - CF (2)'!L23</f>
        <v>0</v>
      </c>
      <c r="BP23" s="156">
        <f t="shared" si="7"/>
        <v>-1</v>
      </c>
    </row>
    <row r="24" spans="2:68" s="145" customFormat="1" ht="15" hidden="1" outlineLevel="1">
      <c r="B24" s="155" t="s">
        <v>251</v>
      </c>
      <c r="C24" s="156"/>
      <c r="D24" s="156"/>
      <c r="E24" s="156">
        <f>'Probois 43 - CF'!D24</f>
        <v>0</v>
      </c>
      <c r="F24" s="156"/>
      <c r="G24" s="156">
        <f>'BSB - CF'!D24</f>
        <v>0</v>
      </c>
      <c r="H24" s="156">
        <f>'SC des SUCS - CF'!D24</f>
        <v>0</v>
      </c>
      <c r="I24" s="156"/>
      <c r="J24" s="156">
        <f t="shared" si="0"/>
        <v>0</v>
      </c>
      <c r="K24" s="156"/>
      <c r="L24" s="156">
        <f>'Probois 43 - CF'!E24</f>
        <v>0</v>
      </c>
      <c r="M24" s="156">
        <f>'SAS EMB - CF'!D24</f>
        <v>0</v>
      </c>
      <c r="N24" s="156">
        <f>'BSB - CF'!E24</f>
        <v>0</v>
      </c>
      <c r="O24" s="156">
        <f>'SC des SUCS - CF'!E24</f>
        <v>0</v>
      </c>
      <c r="P24" s="156">
        <f>'SCI - CF'!E24</f>
        <v>0</v>
      </c>
      <c r="Q24" s="156">
        <f t="shared" si="1"/>
        <v>0</v>
      </c>
      <c r="R24" s="156"/>
      <c r="S24" s="156">
        <f>'Probois 43 - CF'!F24</f>
        <v>0</v>
      </c>
      <c r="T24" s="156">
        <f>'SAS EMB - CF'!E24</f>
        <v>0</v>
      </c>
      <c r="U24" s="156">
        <f>'BSB - CF'!F24</f>
        <v>0</v>
      </c>
      <c r="V24" s="156">
        <f>'SC des SUCS - CF'!F24</f>
        <v>0</v>
      </c>
      <c r="W24" s="156">
        <f>'SCI - CF'!F24</f>
        <v>0</v>
      </c>
      <c r="X24" s="156">
        <f t="shared" si="2"/>
        <v>0</v>
      </c>
      <c r="Y24" s="156"/>
      <c r="Z24" s="156">
        <f>'Probois 43 - CF (2)'!G24</f>
        <v>0</v>
      </c>
      <c r="AA24" s="156">
        <f>'SAS EMB - CF (2)'!F24</f>
        <v>0</v>
      </c>
      <c r="AB24" s="156">
        <f>'BSB - CF (2)'!G24</f>
        <v>0</v>
      </c>
      <c r="AC24" s="156">
        <f>'SC des SUCS - CF (2)'!H24</f>
        <v>0</v>
      </c>
      <c r="AD24" s="156">
        <f>'SCI - CF (2)'!H24</f>
        <v>0</v>
      </c>
      <c r="AE24" s="156">
        <f t="shared" si="3"/>
        <v>0</v>
      </c>
      <c r="AF24" s="156"/>
      <c r="AG24" s="156"/>
      <c r="AH24" s="156">
        <f>'Probois 43 - CF (2)'!I24</f>
        <v>0</v>
      </c>
      <c r="AI24" s="156">
        <f>'SAS EMB - CF (2)'!H24</f>
        <v>0</v>
      </c>
      <c r="AJ24" s="156">
        <f>'BSB - CF (2)'!I24</f>
        <v>0</v>
      </c>
      <c r="AK24" s="156">
        <f>'Profilyss - CF (2)'!I24</f>
        <v>0</v>
      </c>
      <c r="AL24" s="156">
        <f>'SC des SUCS - CF (2)'!I24</f>
        <v>0</v>
      </c>
      <c r="AM24" s="156">
        <f>'SCI - CF (2)'!I24</f>
        <v>0</v>
      </c>
      <c r="AN24" s="156"/>
      <c r="AO24" s="156">
        <f t="shared" si="4"/>
        <v>0</v>
      </c>
      <c r="AP24" s="156"/>
      <c r="AQ24" s="156">
        <f>'Probois 43 - CF (2)'!J24</f>
        <v>0</v>
      </c>
      <c r="AR24" s="156">
        <f>'SAS EMB - CF (2)'!I24</f>
        <v>0</v>
      </c>
      <c r="AS24" s="156">
        <f>'BSB - CF (2)'!J24</f>
        <v>0</v>
      </c>
      <c r="AT24" s="156">
        <f>'Profilyss - CF (2)'!J24</f>
        <v>0</v>
      </c>
      <c r="AU24" s="156">
        <f>'SC des SUCS - CF (2)'!J24</f>
        <v>0</v>
      </c>
      <c r="AV24" s="156">
        <f>'SCI - CF (2)'!J24</f>
        <v>0</v>
      </c>
      <c r="AW24" s="156">
        <f>'Antreuil - CF (2)'!J24</f>
        <v>0</v>
      </c>
      <c r="AX24" s="156">
        <f t="shared" si="5"/>
        <v>0</v>
      </c>
      <c r="AY24" s="156"/>
      <c r="AZ24" s="156">
        <f>'Probois 43 - CF (2)'!K24</f>
        <v>0</v>
      </c>
      <c r="BA24" s="156">
        <f>'SAS EMB - CF (2)'!J24</f>
        <v>0</v>
      </c>
      <c r="BB24" s="156">
        <f>'BSB - CF (2)'!K24</f>
        <v>0</v>
      </c>
      <c r="BC24" s="156">
        <f>'Profilyss - CF (2)'!K24</f>
        <v>0</v>
      </c>
      <c r="BD24" s="156">
        <f>'SC des SUCS - CF (2)'!K24</f>
        <v>0</v>
      </c>
      <c r="BE24" s="156">
        <f>'SCI - CF (2)'!K24</f>
        <v>0</v>
      </c>
      <c r="BF24" s="156">
        <f>'Antreuil - CF (2)'!K24</f>
        <v>0</v>
      </c>
      <c r="BG24" s="156">
        <f t="shared" si="6"/>
        <v>0</v>
      </c>
      <c r="BH24" s="156"/>
      <c r="BI24" s="156">
        <f>'Probois 43 - CF (2)'!L24</f>
        <v>0</v>
      </c>
      <c r="BJ24" s="156">
        <f>'SAS EMB - CF (2)'!K24</f>
        <v>0</v>
      </c>
      <c r="BK24" s="156">
        <f>'BSB - CF (2)'!L24</f>
        <v>0</v>
      </c>
      <c r="BL24" s="156">
        <f>'Profilyss - CF (2)'!L24</f>
        <v>0</v>
      </c>
      <c r="BM24" s="156">
        <f>'SC des SUCS - CF (2)'!L24</f>
        <v>0</v>
      </c>
      <c r="BN24" s="156">
        <f>'SCI - CF (2)'!L24</f>
        <v>0</v>
      </c>
      <c r="BO24" s="156">
        <f>'Antreuil - CF (2)'!L24</f>
        <v>0</v>
      </c>
      <c r="BP24" s="156">
        <f t="shared" si="7"/>
        <v>0</v>
      </c>
    </row>
    <row r="25" spans="2:68" s="145" customFormat="1" ht="15" hidden="1" outlineLevel="1">
      <c r="B25" s="155" t="s">
        <v>240</v>
      </c>
      <c r="C25" s="200"/>
      <c r="D25" s="156"/>
      <c r="E25" s="156">
        <f>'Probois 43 - CF'!D25</f>
        <v>13038</v>
      </c>
      <c r="F25" s="156"/>
      <c r="G25" s="156">
        <f>'BSB - CF'!D25</f>
        <v>-18</v>
      </c>
      <c r="H25" s="156">
        <f>'SC des SUCS - CF'!D25</f>
        <v>0</v>
      </c>
      <c r="I25" s="156"/>
      <c r="J25" s="156">
        <f t="shared" si="0"/>
        <v>13020</v>
      </c>
      <c r="K25" s="156"/>
      <c r="L25" s="156">
        <f>'Probois 43 - CF'!E25</f>
        <v>-6484</v>
      </c>
      <c r="M25" s="156">
        <f>'SAS EMB - CF'!D25</f>
        <v>-4925</v>
      </c>
      <c r="N25" s="156">
        <f>'BSB - CF'!E25</f>
        <v>3</v>
      </c>
      <c r="O25" s="156">
        <f>'SC des SUCS - CF'!E25</f>
        <v>0</v>
      </c>
      <c r="P25" s="156">
        <f>'SCI - CF'!E25</f>
        <v>0</v>
      </c>
      <c r="Q25" s="156">
        <f t="shared" si="1"/>
        <v>-11406</v>
      </c>
      <c r="R25" s="156"/>
      <c r="S25" s="156">
        <f>'Probois 43 - CF'!F25</f>
        <v>-2472</v>
      </c>
      <c r="T25" s="156">
        <f>'SAS EMB - CF'!E25</f>
        <v>-852</v>
      </c>
      <c r="U25" s="156">
        <f>'BSB - CF'!F25</f>
        <v>2</v>
      </c>
      <c r="V25" s="156">
        <f>'SC des SUCS - CF'!F25</f>
        <v>0</v>
      </c>
      <c r="W25" s="156">
        <f>'SCI - CF'!F25</f>
        <v>0</v>
      </c>
      <c r="X25" s="156">
        <f t="shared" si="2"/>
        <v>-3322</v>
      </c>
      <c r="Y25" s="156"/>
      <c r="Z25" s="156">
        <f>'Probois 43 - CF (2)'!G25</f>
        <v>-7</v>
      </c>
      <c r="AA25" s="156">
        <f>'SAS EMB - CF (2)'!F25</f>
        <v>0</v>
      </c>
      <c r="AB25" s="156">
        <f>'BSB - CF (2)'!G25</f>
        <v>-6</v>
      </c>
      <c r="AC25" s="156">
        <f>'SC des SUCS - CF (2)'!H25</f>
        <v>0</v>
      </c>
      <c r="AD25" s="156">
        <f>'SCI - CF (2)'!H25</f>
        <v>0</v>
      </c>
      <c r="AE25" s="156">
        <f t="shared" si="3"/>
        <v>-13</v>
      </c>
      <c r="AF25" s="156"/>
      <c r="AG25" s="156"/>
      <c r="AH25" s="156">
        <f>'Probois 43 - CF (2)'!I25</f>
        <v>0</v>
      </c>
      <c r="AI25" s="156">
        <f>'SAS EMB - CF (2)'!H25</f>
        <v>0</v>
      </c>
      <c r="AJ25" s="156">
        <f>'BSB - CF (2)'!I25</f>
        <v>0</v>
      </c>
      <c r="AK25" s="156">
        <f>'Profilyss - CF (2)'!I25</f>
        <v>0</v>
      </c>
      <c r="AL25" s="156">
        <f>'SC des SUCS - CF (2)'!I25</f>
        <v>0</v>
      </c>
      <c r="AM25" s="156">
        <f>'SCI - CF (2)'!I25</f>
        <v>0</v>
      </c>
      <c r="AN25" s="156"/>
      <c r="AO25" s="156">
        <f t="shared" si="4"/>
        <v>0</v>
      </c>
      <c r="AP25" s="156"/>
      <c r="AQ25" s="156">
        <f>'Probois 43 - CF (2)'!J25</f>
        <v>0</v>
      </c>
      <c r="AR25" s="156">
        <f>'SAS EMB - CF (2)'!I25</f>
        <v>0</v>
      </c>
      <c r="AS25" s="156">
        <f>'BSB - CF (2)'!J25</f>
        <v>0</v>
      </c>
      <c r="AT25" s="156">
        <f>'Profilyss - CF (2)'!J25</f>
        <v>0</v>
      </c>
      <c r="AU25" s="156">
        <f>'SC des SUCS - CF (2)'!J25</f>
        <v>0</v>
      </c>
      <c r="AV25" s="156">
        <f>'SCI - CF (2)'!J25</f>
        <v>0</v>
      </c>
      <c r="AW25" s="156">
        <f>'Antreuil - CF (2)'!J25</f>
        <v>0</v>
      </c>
      <c r="AX25" s="156">
        <f t="shared" si="5"/>
        <v>0</v>
      </c>
      <c r="AY25" s="156"/>
      <c r="AZ25" s="156">
        <f>'Probois 43 - CF (2)'!K25</f>
        <v>0</v>
      </c>
      <c r="BA25" s="156">
        <f>'SAS EMB - CF (2)'!J25</f>
        <v>0</v>
      </c>
      <c r="BB25" s="156">
        <f>'BSB - CF (2)'!K25</f>
        <v>0</v>
      </c>
      <c r="BC25" s="156">
        <f>'Profilyss - CF (2)'!K25</f>
        <v>0</v>
      </c>
      <c r="BD25" s="156">
        <f>'SC des SUCS - CF (2)'!K25</f>
        <v>0</v>
      </c>
      <c r="BE25" s="156">
        <f>'SCI - CF (2)'!K25</f>
        <v>0</v>
      </c>
      <c r="BF25" s="156">
        <f>'Antreuil - CF (2)'!K25</f>
        <v>0</v>
      </c>
      <c r="BG25" s="156">
        <f t="shared" si="6"/>
        <v>0</v>
      </c>
      <c r="BH25" s="156"/>
      <c r="BI25" s="156">
        <f>'Probois 43 - CF (2)'!L25</f>
        <v>0</v>
      </c>
      <c r="BJ25" s="156">
        <f>'SAS EMB - CF (2)'!K25</f>
        <v>0</v>
      </c>
      <c r="BK25" s="156">
        <f>'BSB - CF (2)'!L25</f>
        <v>0</v>
      </c>
      <c r="BL25" s="156">
        <f>'Profilyss - CF (2)'!L25</f>
        <v>0</v>
      </c>
      <c r="BM25" s="156">
        <f>'SC des SUCS - CF (2)'!L25</f>
        <v>0</v>
      </c>
      <c r="BN25" s="156">
        <f>'SCI - CF (2)'!L25</f>
        <v>0</v>
      </c>
      <c r="BO25" s="156">
        <f>'Antreuil - CF (2)'!L25</f>
        <v>0</v>
      </c>
      <c r="BP25" s="156">
        <f t="shared" si="7"/>
        <v>0</v>
      </c>
    </row>
    <row r="26" spans="2:68" s="145" customFormat="1" ht="15" hidden="1" outlineLevel="1">
      <c r="B26" s="157" t="s">
        <v>241</v>
      </c>
      <c r="C26" s="156"/>
      <c r="D26" s="156"/>
      <c r="E26" s="156">
        <f>'Probois 43 - CF'!D26</f>
        <v>0</v>
      </c>
      <c r="F26" s="156"/>
      <c r="G26" s="156">
        <f>'BSB - CF'!D26</f>
        <v>0</v>
      </c>
      <c r="H26" s="156">
        <f>'SC des SUCS - CF'!D26</f>
        <v>0</v>
      </c>
      <c r="I26" s="156"/>
      <c r="J26" s="156">
        <f t="shared" si="0"/>
        <v>0</v>
      </c>
      <c r="K26" s="156"/>
      <c r="L26" s="156">
        <f>'Probois 43 - CF'!E26</f>
        <v>0</v>
      </c>
      <c r="M26" s="156">
        <f>'SAS EMB - CF'!D26</f>
        <v>-6650</v>
      </c>
      <c r="N26" s="156">
        <f>'BSB - CF'!E26</f>
        <v>0</v>
      </c>
      <c r="O26" s="156">
        <f>'SC des SUCS - CF'!E26</f>
        <v>0</v>
      </c>
      <c r="P26" s="156">
        <f>'SCI - CF'!E26</f>
        <v>0</v>
      </c>
      <c r="Q26" s="156">
        <f t="shared" si="1"/>
        <v>-6650</v>
      </c>
      <c r="R26" s="156"/>
      <c r="S26" s="156">
        <f>'Probois 43 - CF'!F26</f>
        <v>0</v>
      </c>
      <c r="T26" s="156">
        <f>'SAS EMB - CF'!E26</f>
        <v>0</v>
      </c>
      <c r="U26" s="156">
        <f>'BSB - CF'!F26</f>
        <v>0</v>
      </c>
      <c r="V26" s="156">
        <f>'SC des SUCS - CF'!F26</f>
        <v>0</v>
      </c>
      <c r="W26" s="156">
        <f>'SCI - CF'!F26</f>
        <v>0</v>
      </c>
      <c r="X26" s="156">
        <f t="shared" si="2"/>
        <v>0</v>
      </c>
      <c r="Y26" s="156"/>
      <c r="Z26" s="156">
        <f>'Probois 43 - CF (2)'!G26</f>
        <v>0</v>
      </c>
      <c r="AA26" s="156">
        <f>'SAS EMB - CF (2)'!F26</f>
        <v>0</v>
      </c>
      <c r="AB26" s="156">
        <f>'BSB - CF (2)'!G26</f>
        <v>0</v>
      </c>
      <c r="AC26" s="156">
        <f>'SC des SUCS - CF (2)'!H26</f>
        <v>0</v>
      </c>
      <c r="AD26" s="156">
        <f>'SCI - CF (2)'!H26</f>
        <v>0</v>
      </c>
      <c r="AE26" s="156">
        <f t="shared" si="3"/>
        <v>0</v>
      </c>
      <c r="AF26" s="156"/>
      <c r="AG26" s="156"/>
      <c r="AH26" s="156">
        <f>'Probois 43 - CF (2)'!I26</f>
        <v>0</v>
      </c>
      <c r="AI26" s="156">
        <f>'SAS EMB - CF (2)'!H26</f>
        <v>0</v>
      </c>
      <c r="AJ26" s="156">
        <f>'BSB - CF (2)'!I26</f>
        <v>0</v>
      </c>
      <c r="AK26" s="156">
        <f>'Profilyss - CF (2)'!I26</f>
        <v>0</v>
      </c>
      <c r="AL26" s="156">
        <f>'SC des SUCS - CF (2)'!I26</f>
        <v>0</v>
      </c>
      <c r="AM26" s="156">
        <f>'SCI - CF (2)'!I26</f>
        <v>0</v>
      </c>
      <c r="AN26" s="156"/>
      <c r="AO26" s="156">
        <f t="shared" si="4"/>
        <v>0</v>
      </c>
      <c r="AP26" s="156"/>
      <c r="AQ26" s="156">
        <f>'Probois 43 - CF (2)'!J26</f>
        <v>0</v>
      </c>
      <c r="AR26" s="156">
        <f>'SAS EMB - CF (2)'!I26</f>
        <v>0</v>
      </c>
      <c r="AS26" s="156">
        <f>'BSB - CF (2)'!J26</f>
        <v>0</v>
      </c>
      <c r="AT26" s="156">
        <f>'Profilyss - CF (2)'!J26</f>
        <v>0</v>
      </c>
      <c r="AU26" s="156">
        <f>'SC des SUCS - CF (2)'!J26</f>
        <v>0</v>
      </c>
      <c r="AV26" s="156">
        <f>'SCI - CF (2)'!J26</f>
        <v>0</v>
      </c>
      <c r="AW26" s="156">
        <f>'Antreuil - CF (2)'!J26</f>
        <v>0</v>
      </c>
      <c r="AX26" s="156">
        <f t="shared" si="5"/>
        <v>0</v>
      </c>
      <c r="AY26" s="156"/>
      <c r="AZ26" s="156">
        <f>'Probois 43 - CF (2)'!K26</f>
        <v>0</v>
      </c>
      <c r="BA26" s="156">
        <f>'SAS EMB - CF (2)'!J26</f>
        <v>0</v>
      </c>
      <c r="BB26" s="156">
        <f>'BSB - CF (2)'!K26</f>
        <v>0</v>
      </c>
      <c r="BC26" s="156">
        <f>'Profilyss - CF (2)'!K26</f>
        <v>0</v>
      </c>
      <c r="BD26" s="156">
        <f>'SC des SUCS - CF (2)'!K26</f>
        <v>0</v>
      </c>
      <c r="BE26" s="156">
        <f>'SCI - CF (2)'!K26</f>
        <v>0</v>
      </c>
      <c r="BF26" s="156">
        <f>'Antreuil - CF (2)'!K26</f>
        <v>0</v>
      </c>
      <c r="BG26" s="156">
        <f t="shared" si="6"/>
        <v>0</v>
      </c>
      <c r="BH26" s="156"/>
      <c r="BI26" s="156">
        <f>'Probois 43 - CF (2)'!L26</f>
        <v>0</v>
      </c>
      <c r="BJ26" s="156">
        <f>'SAS EMB - CF (2)'!K26</f>
        <v>0</v>
      </c>
      <c r="BK26" s="156">
        <f>'BSB - CF (2)'!L26</f>
        <v>0</v>
      </c>
      <c r="BL26" s="156">
        <f>'Profilyss - CF (2)'!L26</f>
        <v>0</v>
      </c>
      <c r="BM26" s="156">
        <f>'SC des SUCS - CF (2)'!L26</f>
        <v>0</v>
      </c>
      <c r="BN26" s="156">
        <f>'SCI - CF (2)'!L26</f>
        <v>0</v>
      </c>
      <c r="BO26" s="156">
        <f>'Antreuil - CF (2)'!L26</f>
        <v>0</v>
      </c>
      <c r="BP26" s="156">
        <f t="shared" si="7"/>
        <v>0</v>
      </c>
    </row>
    <row r="27" spans="2:68" collapsed="1">
      <c r="B27" s="148"/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</row>
    <row r="28" spans="2:68">
      <c r="B28" s="159" t="s">
        <v>242</v>
      </c>
      <c r="C28" s="160"/>
      <c r="D28" s="160"/>
      <c r="E28" s="160">
        <f>'Probois 43 - CF'!D28</f>
        <v>-206703</v>
      </c>
      <c r="F28" s="160"/>
      <c r="G28" s="160">
        <f>'BSB - CF'!D28</f>
        <v>9832</v>
      </c>
      <c r="H28" s="160">
        <f>'SC des SUCS - CF'!D28</f>
        <v>-57125</v>
      </c>
      <c r="I28" s="160"/>
      <c r="J28" s="160">
        <f>SUM(E28:I28)</f>
        <v>-253996</v>
      </c>
      <c r="K28" s="160"/>
      <c r="L28" s="160">
        <f>'Probois 43 - CF'!E28</f>
        <v>-100438</v>
      </c>
      <c r="M28" s="160">
        <f>'SAS EMB - CF'!D28</f>
        <v>-21033</v>
      </c>
      <c r="N28" s="160">
        <f>'BSB - CF'!E28</f>
        <v>149634</v>
      </c>
      <c r="O28" s="160">
        <f>'SC des SUCS - CF'!E28</f>
        <v>-148981</v>
      </c>
      <c r="P28" s="160">
        <f>'SCI - CF'!E28</f>
        <v>13535</v>
      </c>
      <c r="Q28" s="160">
        <f>SUM(L28:P28)</f>
        <v>-107283</v>
      </c>
      <c r="R28" s="160"/>
      <c r="S28" s="160">
        <f>'Probois 43 - CF'!F28</f>
        <v>433908</v>
      </c>
      <c r="T28" s="160">
        <f>'SAS EMB - CF'!E28</f>
        <v>326206</v>
      </c>
      <c r="U28" s="160">
        <f>'BSB - CF'!F28</f>
        <v>-152385</v>
      </c>
      <c r="V28" s="160">
        <f>'SC des SUCS - CF'!F28</f>
        <v>-81011</v>
      </c>
      <c r="W28" s="160">
        <f>'SCI - CF'!F28</f>
        <v>18097</v>
      </c>
      <c r="X28" s="160">
        <f>SUM(S28:W28)</f>
        <v>544815</v>
      </c>
      <c r="Y28" s="160"/>
      <c r="Z28" s="160">
        <f>SUM(Z12:Z15)</f>
        <v>-29268</v>
      </c>
      <c r="AA28" s="160">
        <f t="shared" ref="AA28:AD28" si="8">SUM(AA12:AA15)</f>
        <v>-76800</v>
      </c>
      <c r="AB28" s="160">
        <f t="shared" si="8"/>
        <v>170130</v>
      </c>
      <c r="AC28" s="160">
        <f t="shared" si="8"/>
        <v>-935876</v>
      </c>
      <c r="AD28" s="160">
        <f t="shared" si="8"/>
        <v>20742</v>
      </c>
      <c r="AE28" s="160">
        <f>SUM(Z28:AD28)</f>
        <v>-851072</v>
      </c>
      <c r="AF28" s="160"/>
      <c r="AG28" s="160"/>
      <c r="AH28" s="160">
        <f>SUM(AH12:AH15)</f>
        <v>135942.75</v>
      </c>
      <c r="AI28" s="160">
        <f t="shared" ref="AI28:AM28" si="9">SUM(AI12:AI15)</f>
        <v>83910.262499999983</v>
      </c>
      <c r="AJ28" s="160">
        <f t="shared" si="9"/>
        <v>92066.942499999946</v>
      </c>
      <c r="AK28" s="160">
        <f t="shared" si="9"/>
        <v>0</v>
      </c>
      <c r="AL28" s="160">
        <f t="shared" si="9"/>
        <v>-83265</v>
      </c>
      <c r="AM28" s="160">
        <f t="shared" si="9"/>
        <v>20742</v>
      </c>
      <c r="AN28" s="160">
        <f t="shared" ref="AN28" si="10">SUM(AN12:AN15)</f>
        <v>0</v>
      </c>
      <c r="AO28" s="160">
        <f t="shared" ref="AO28" si="11">SUM(AH28:AN28)</f>
        <v>249396.95499999996</v>
      </c>
      <c r="AP28" s="160"/>
      <c r="AQ28" s="160">
        <f>SUM(AQ12:AQ15)</f>
        <v>96076.57</v>
      </c>
      <c r="AR28" s="160">
        <f t="shared" ref="AR28:AW28" si="12">SUM(AR12:AR15)</f>
        <v>61096.271785714198</v>
      </c>
      <c r="AS28" s="160">
        <f t="shared" si="12"/>
        <v>75251.579999999958</v>
      </c>
      <c r="AT28" s="160">
        <f t="shared" si="12"/>
        <v>-502227.58041603246</v>
      </c>
      <c r="AU28" s="160">
        <f t="shared" si="12"/>
        <v>-78359</v>
      </c>
      <c r="AV28" s="160">
        <f t="shared" si="12"/>
        <v>20742</v>
      </c>
      <c r="AW28" s="160">
        <f t="shared" si="12"/>
        <v>241000</v>
      </c>
      <c r="AX28" s="160">
        <f t="shared" ref="AX28" si="13">SUM(AQ28:AW28)</f>
        <v>-86420.158630318299</v>
      </c>
      <c r="AY28" s="160"/>
      <c r="AZ28" s="160">
        <f>SUM(AZ12:AZ15)</f>
        <v>88592.629999999976</v>
      </c>
      <c r="BA28" s="160">
        <f t="shared" ref="BA28:BE28" si="14">SUM(BA12:BA15)</f>
        <v>89434.121785714233</v>
      </c>
      <c r="BB28" s="160">
        <f t="shared" si="14"/>
        <v>103597.38250000001</v>
      </c>
      <c r="BC28" s="160">
        <f t="shared" si="14"/>
        <v>9497.0355683727539</v>
      </c>
      <c r="BD28" s="160">
        <f t="shared" si="14"/>
        <v>-77640</v>
      </c>
      <c r="BE28" s="160">
        <f t="shared" si="14"/>
        <v>20742</v>
      </c>
      <c r="BF28" s="160">
        <f>'Antreuil - CF (2)'!K28</f>
        <v>241000</v>
      </c>
      <c r="BG28" s="160">
        <f t="shared" ref="BG28" si="15">SUM(AZ28:BF28)</f>
        <v>475223.169854087</v>
      </c>
      <c r="BH28" s="160"/>
      <c r="BI28" s="160">
        <f>SUM(BI12:BI15)</f>
        <v>114304.10999999999</v>
      </c>
      <c r="BJ28" s="160">
        <f t="shared" ref="BJ28:BO28" si="16">SUM(BJ12:BJ15)</f>
        <v>98368.701785714191</v>
      </c>
      <c r="BK28" s="160">
        <f t="shared" si="16"/>
        <v>165533.11500000005</v>
      </c>
      <c r="BL28" s="160">
        <f t="shared" si="16"/>
        <v>490505.45205479459</v>
      </c>
      <c r="BM28" s="160">
        <f t="shared" si="16"/>
        <v>-77647</v>
      </c>
      <c r="BN28" s="160">
        <f t="shared" si="16"/>
        <v>20742</v>
      </c>
      <c r="BO28" s="160">
        <f t="shared" si="16"/>
        <v>241000</v>
      </c>
      <c r="BP28" s="160">
        <f t="shared" ref="BP28" si="17">SUM(BI28:BO28)</f>
        <v>1052806.3788405089</v>
      </c>
    </row>
    <row r="29" spans="2:68">
      <c r="B29" s="151"/>
      <c r="C29" s="151"/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</row>
    <row r="30" spans="2:68">
      <c r="B30" s="149" t="s">
        <v>243</v>
      </c>
      <c r="C30" s="150"/>
      <c r="D30" s="219"/>
      <c r="E30" s="150"/>
      <c r="F30" s="150"/>
      <c r="G30" s="150"/>
      <c r="H30" s="150"/>
      <c r="I30" s="150"/>
      <c r="J30" s="150"/>
      <c r="K30" s="219"/>
      <c r="L30" s="150"/>
      <c r="M30" s="150"/>
      <c r="N30" s="150"/>
      <c r="O30" s="150"/>
      <c r="P30" s="150"/>
      <c r="Q30" s="150"/>
      <c r="R30" s="219"/>
      <c r="S30" s="150"/>
      <c r="T30" s="150"/>
      <c r="U30" s="150"/>
      <c r="V30" s="150"/>
      <c r="W30" s="150"/>
      <c r="X30" s="150"/>
      <c r="Y30" s="219"/>
      <c r="Z30" s="150"/>
      <c r="AA30" s="150"/>
      <c r="AB30" s="150"/>
      <c r="AC30" s="150"/>
      <c r="AD30" s="150"/>
      <c r="AE30" s="150"/>
      <c r="AF30" s="219"/>
      <c r="AG30" s="219"/>
      <c r="AH30" s="150"/>
      <c r="AI30" s="150"/>
      <c r="AJ30" s="150"/>
      <c r="AK30" s="150"/>
      <c r="AL30" s="150"/>
      <c r="AM30" s="150"/>
      <c r="AN30" s="150"/>
      <c r="AO30" s="150"/>
      <c r="AP30" s="219"/>
      <c r="AQ30" s="150"/>
      <c r="AR30" s="150"/>
      <c r="AS30" s="150"/>
      <c r="AT30" s="150"/>
      <c r="AU30" s="150"/>
      <c r="AV30" s="150"/>
      <c r="AW30" s="150"/>
      <c r="AX30" s="150"/>
      <c r="AY30" s="219"/>
      <c r="AZ30" s="150"/>
      <c r="BA30" s="150"/>
      <c r="BB30" s="150"/>
      <c r="BC30" s="150"/>
      <c r="BD30" s="150"/>
      <c r="BE30" s="150"/>
      <c r="BF30" s="150"/>
      <c r="BG30" s="150"/>
      <c r="BH30" s="219"/>
      <c r="BI30" s="150"/>
      <c r="BJ30" s="150"/>
      <c r="BK30" s="150"/>
      <c r="BL30" s="150"/>
      <c r="BM30" s="150"/>
      <c r="BN30" s="150"/>
      <c r="BO30" s="150"/>
      <c r="BP30" s="150"/>
    </row>
    <row r="31" spans="2:68">
      <c r="B31" s="151" t="s">
        <v>195</v>
      </c>
      <c r="C31" s="158"/>
      <c r="D31" s="158"/>
      <c r="E31" s="158">
        <f>'Probois 43 - CF'!D31</f>
        <v>0</v>
      </c>
      <c r="F31" s="158"/>
      <c r="G31" s="158">
        <f>'BSB - CF'!D31</f>
        <v>1</v>
      </c>
      <c r="H31" s="158">
        <f>'SC des SUCS - CF'!D31</f>
        <v>0</v>
      </c>
      <c r="I31" s="158"/>
      <c r="J31" s="158">
        <f t="shared" ref="J31:J33" si="18">SUM(E31:I31)</f>
        <v>1</v>
      </c>
      <c r="K31" s="158"/>
      <c r="L31" s="158">
        <f>'Probois 43 - CF'!E31</f>
        <v>-491</v>
      </c>
      <c r="M31" s="158">
        <f>'SAS EMB - CF'!D31</f>
        <v>0</v>
      </c>
      <c r="N31" s="158">
        <f>'BSB - CF'!E31</f>
        <v>0</v>
      </c>
      <c r="O31" s="158">
        <f>'SC des SUCS - CF'!E31</f>
        <v>0</v>
      </c>
      <c r="P31" s="158">
        <f>'SCI - CF'!E31</f>
        <v>0</v>
      </c>
      <c r="Q31" s="158">
        <f t="shared" ref="Q31:Q33" si="19">SUM(L31:P31)</f>
        <v>-491</v>
      </c>
      <c r="R31" s="158"/>
      <c r="S31" s="158">
        <f>'Probois 43 - CF'!F31</f>
        <v>-5911</v>
      </c>
      <c r="T31" s="158">
        <f>'SAS EMB - CF'!E31</f>
        <v>0</v>
      </c>
      <c r="U31" s="158">
        <f>'BSB - CF'!F31</f>
        <v>0</v>
      </c>
      <c r="V31" s="158">
        <f>'SC des SUCS - CF'!F31</f>
        <v>0</v>
      </c>
      <c r="W31" s="158">
        <f>'SCI - CF'!F31</f>
        <v>0</v>
      </c>
      <c r="X31" s="158">
        <f t="shared" ref="X31:X33" si="20">SUM(S31:W31)</f>
        <v>-5911</v>
      </c>
      <c r="Y31" s="158"/>
      <c r="Z31" s="158">
        <f>'Probois 43 - CF (2)'!G31</f>
        <v>0</v>
      </c>
      <c r="AA31" s="158">
        <f>'SAS EMB - CF (2)'!F31</f>
        <v>0</v>
      </c>
      <c r="AB31" s="158">
        <f>'BSB - CF (2)'!G31</f>
        <v>-2250</v>
      </c>
      <c r="AC31" s="158">
        <f>'SC des SUCS - CF (2)'!H31</f>
        <v>0</v>
      </c>
      <c r="AD31" s="158">
        <f>'SCI - CF (2)'!H31</f>
        <v>0</v>
      </c>
      <c r="AE31" s="158">
        <f t="shared" ref="AE31:AE33" si="21">SUM(Z31:AD31)</f>
        <v>-2250</v>
      </c>
      <c r="AF31" s="158"/>
      <c r="AG31" s="158"/>
      <c r="AH31" s="158">
        <f>'Probois 43 - CF (2)'!I31</f>
        <v>0</v>
      </c>
      <c r="AI31" s="158">
        <f>'SAS EMB - CF (2)'!H31</f>
        <v>0</v>
      </c>
      <c r="AJ31" s="158">
        <f>'BSB - CF (2)'!I31</f>
        <v>0</v>
      </c>
      <c r="AK31" s="158">
        <f>'Profilyss - CF (2)'!I31</f>
        <v>0</v>
      </c>
      <c r="AL31" s="158">
        <f>'SC des SUCS - CF (2)'!I31</f>
        <v>0</v>
      </c>
      <c r="AM31" s="158">
        <f>'SCI - CF (2)'!I31</f>
        <v>0</v>
      </c>
      <c r="AN31" s="158">
        <f>'Profilyss - CF (2)'!L31</f>
        <v>0</v>
      </c>
      <c r="AO31" s="158">
        <f t="shared" ref="AO31:AO33" si="22">SUM(AH31:AN31)</f>
        <v>0</v>
      </c>
      <c r="AP31" s="158"/>
      <c r="AQ31" s="158">
        <f>'Probois 43 - CF (2)'!J31</f>
        <v>0</v>
      </c>
      <c r="AR31" s="158">
        <f>'SAS EMB - CF (2)'!I31</f>
        <v>0</v>
      </c>
      <c r="AS31" s="158">
        <f>'BSB - CF (2)'!J31</f>
        <v>0</v>
      </c>
      <c r="AT31" s="158">
        <f>'Profilyss - CF (2)'!J31</f>
        <v>0</v>
      </c>
      <c r="AU31" s="158">
        <f>'SC des SUCS - CF (2)'!J31</f>
        <v>0</v>
      </c>
      <c r="AV31" s="158">
        <f>'SCI - CF (2)'!J31</f>
        <v>0</v>
      </c>
      <c r="AW31" s="158">
        <f>'Profilyss - CF (2)'!U31</f>
        <v>0</v>
      </c>
      <c r="AX31" s="158">
        <f t="shared" ref="AX31:AX33" si="23">SUM(AQ31:AW31)</f>
        <v>0</v>
      </c>
      <c r="AY31" s="158"/>
      <c r="AZ31" s="158">
        <f>'Probois 43 - CF (2)'!K31</f>
        <v>0</v>
      </c>
      <c r="BA31" s="158">
        <f>'SAS EMB - CF (2)'!J31</f>
        <v>0</v>
      </c>
      <c r="BB31" s="158">
        <f>'BSB - CF (2)'!K31</f>
        <v>0</v>
      </c>
      <c r="BC31" s="158">
        <f>'Profilyss - CF (2)'!K31</f>
        <v>0</v>
      </c>
      <c r="BD31" s="158">
        <f>'SC des SUCS - CF (2)'!K31</f>
        <v>0</v>
      </c>
      <c r="BE31" s="158">
        <f>'SCI - CF (2)'!K31</f>
        <v>0</v>
      </c>
      <c r="BF31" s="158">
        <f>'Antreuil - CF (2)'!K31</f>
        <v>0</v>
      </c>
      <c r="BG31" s="158">
        <f t="shared" ref="BG31:BG33" si="24">SUM(AZ31:BF31)</f>
        <v>0</v>
      </c>
      <c r="BH31" s="158"/>
      <c r="BI31" s="158">
        <f>'Probois 43 - CF (2)'!L31</f>
        <v>0</v>
      </c>
      <c r="BJ31" s="158">
        <f>'SAS EMB - CF (2)'!K31</f>
        <v>0</v>
      </c>
      <c r="BK31" s="158">
        <f>'BSB - CF (2)'!L31</f>
        <v>0</v>
      </c>
      <c r="BL31" s="158">
        <f>'Profilyss - CF (2)'!L31</f>
        <v>0</v>
      </c>
      <c r="BM31" s="158">
        <f>'SC des SUCS - CF (2)'!L31</f>
        <v>0</v>
      </c>
      <c r="BN31" s="158">
        <f>'SCI - CF (2)'!L31</f>
        <v>0</v>
      </c>
      <c r="BO31" s="158">
        <f>'Antreuil - CF (2)'!L31</f>
        <v>0</v>
      </c>
      <c r="BP31" s="158">
        <f t="shared" ref="BP31:BP33" si="25">SUM(BI31:BO31)</f>
        <v>0</v>
      </c>
    </row>
    <row r="32" spans="2:68">
      <c r="B32" s="151" t="s">
        <v>196</v>
      </c>
      <c r="C32" s="158"/>
      <c r="D32" s="158"/>
      <c r="E32" s="158">
        <f>'Probois 43 - CF'!D32</f>
        <v>-1604</v>
      </c>
      <c r="F32" s="158"/>
      <c r="G32" s="158">
        <f>'BSB - CF'!D32</f>
        <v>-85321</v>
      </c>
      <c r="H32" s="158">
        <f>'SC des SUCS - CF'!D32</f>
        <v>0</v>
      </c>
      <c r="I32" s="158"/>
      <c r="J32" s="158">
        <f t="shared" si="18"/>
        <v>-86925</v>
      </c>
      <c r="K32" s="158"/>
      <c r="L32" s="158">
        <f>'Probois 43 - CF'!E32</f>
        <v>-3689</v>
      </c>
      <c r="M32" s="158">
        <f>'SAS EMB - CF'!D32</f>
        <v>-8668</v>
      </c>
      <c r="N32" s="158">
        <f>'BSB - CF'!E32</f>
        <v>-75932</v>
      </c>
      <c r="O32" s="158">
        <f>'SC des SUCS - CF'!E32</f>
        <v>0</v>
      </c>
      <c r="P32" s="158">
        <f>'SCI - CF'!E32</f>
        <v>-36031</v>
      </c>
      <c r="Q32" s="158">
        <f t="shared" si="19"/>
        <v>-124320</v>
      </c>
      <c r="R32" s="158"/>
      <c r="S32" s="158">
        <f>'Probois 43 - CF'!F32</f>
        <v>-62027</v>
      </c>
      <c r="T32" s="158">
        <f>'SAS EMB - CF'!E32</f>
        <v>-26020</v>
      </c>
      <c r="U32" s="158">
        <f>'BSB - CF'!F32</f>
        <v>-85329</v>
      </c>
      <c r="V32" s="158">
        <f>'SC des SUCS - CF'!F32</f>
        <v>0</v>
      </c>
      <c r="W32" s="158">
        <f>'SCI - CF'!F32</f>
        <v>1</v>
      </c>
      <c r="X32" s="158">
        <f t="shared" si="20"/>
        <v>-173375</v>
      </c>
      <c r="Y32" s="158"/>
      <c r="Z32" s="158">
        <f>'Probois 43 - CF (2)'!G32</f>
        <v>-933</v>
      </c>
      <c r="AA32" s="158">
        <f>'SAS EMB - CF (2)'!F32</f>
        <v>-16071</v>
      </c>
      <c r="AB32" s="158">
        <f>'BSB - CF (2)'!G32</f>
        <v>-198589</v>
      </c>
      <c r="AC32" s="158">
        <f>'SC des SUCS - CF (2)'!H32</f>
        <v>0</v>
      </c>
      <c r="AD32" s="158">
        <f>'SCI - CF (2)'!H32</f>
        <v>0</v>
      </c>
      <c r="AE32" s="158">
        <f t="shared" si="21"/>
        <v>-215593</v>
      </c>
      <c r="AF32" s="158"/>
      <c r="AG32" s="158"/>
      <c r="AH32" s="158">
        <f>'Probois 43 - CF (2)'!I32</f>
        <v>-2000</v>
      </c>
      <c r="AI32" s="158">
        <f>'SAS EMB - CF (2)'!H32</f>
        <v>-15000</v>
      </c>
      <c r="AJ32" s="158">
        <f>'BSB - CF (2)'!I32</f>
        <v>-25000</v>
      </c>
      <c r="AK32" s="158">
        <f>'Profilyss - CF (2)'!I32</f>
        <v>0</v>
      </c>
      <c r="AL32" s="158">
        <f>'SC des SUCS - CF (2)'!I32</f>
        <v>0</v>
      </c>
      <c r="AM32" s="158">
        <f>'SCI - CF (2)'!I32</f>
        <v>0</v>
      </c>
      <c r="AN32" s="158">
        <f>'Profilyss - CF (2)'!L32</f>
        <v>0</v>
      </c>
      <c r="AO32" s="158">
        <f t="shared" si="22"/>
        <v>-42000</v>
      </c>
      <c r="AP32" s="158"/>
      <c r="AQ32" s="158">
        <f>'Probois 43 - CF (2)'!J32</f>
        <v>-2000</v>
      </c>
      <c r="AR32" s="158">
        <f>'SAS EMB - CF (2)'!I32</f>
        <v>-15000</v>
      </c>
      <c r="AS32" s="158">
        <f>'BSB - CF (2)'!J32</f>
        <v>-25000</v>
      </c>
      <c r="AT32" s="158">
        <f>'Profilyss - CF (2)'!J32</f>
        <v>-2134636</v>
      </c>
      <c r="AU32" s="158">
        <f>'SC des SUCS - CF (2)'!J32</f>
        <v>0</v>
      </c>
      <c r="AV32" s="158">
        <f>'SCI - CF (2)'!J32</f>
        <v>0</v>
      </c>
      <c r="AW32" s="158">
        <f>'Antreuil - CF (2)'!J32</f>
        <v>-3371340</v>
      </c>
      <c r="AX32" s="158">
        <f t="shared" si="23"/>
        <v>-5547976</v>
      </c>
      <c r="AY32" s="158"/>
      <c r="AZ32" s="158">
        <f>'Probois 43 - CF (2)'!K32</f>
        <v>-2000</v>
      </c>
      <c r="BA32" s="158">
        <f>'SAS EMB - CF (2)'!J32</f>
        <v>-15000</v>
      </c>
      <c r="BB32" s="158">
        <f>'BSB - CF (2)'!K32</f>
        <v>-25000</v>
      </c>
      <c r="BC32" s="158">
        <f>'Profilyss - CF (2)'!K32</f>
        <v>0</v>
      </c>
      <c r="BD32" s="158">
        <f>'SC des SUCS - CF (2)'!K32</f>
        <v>0</v>
      </c>
      <c r="BE32" s="158">
        <f>'SCI - CF (2)'!K32</f>
        <v>0</v>
      </c>
      <c r="BF32" s="158">
        <f>'Antreuil - CF (2)'!K32</f>
        <v>0</v>
      </c>
      <c r="BG32" s="158">
        <f t="shared" si="24"/>
        <v>-42000</v>
      </c>
      <c r="BH32" s="158"/>
      <c r="BI32" s="158">
        <f>'Probois 43 - CF (2)'!L32</f>
        <v>-2000</v>
      </c>
      <c r="BJ32" s="158">
        <f>'SAS EMB - CF (2)'!K32</f>
        <v>-15000</v>
      </c>
      <c r="BK32" s="158">
        <f>'BSB - CF (2)'!L32</f>
        <v>-25000</v>
      </c>
      <c r="BL32" s="158">
        <f>'Profilyss - CF (2)'!L32</f>
        <v>0</v>
      </c>
      <c r="BM32" s="158">
        <f>'SC des SUCS - CF (2)'!L32</f>
        <v>0</v>
      </c>
      <c r="BN32" s="158">
        <f>'SCI - CF (2)'!L32</f>
        <v>0</v>
      </c>
      <c r="BO32" s="158">
        <f>'Antreuil - CF (2)'!L32</f>
        <v>0</v>
      </c>
      <c r="BP32" s="158">
        <f t="shared" si="25"/>
        <v>-42000</v>
      </c>
    </row>
    <row r="33" spans="2:68">
      <c r="B33" s="151" t="s">
        <v>197</v>
      </c>
      <c r="C33" s="158"/>
      <c r="D33" s="158"/>
      <c r="E33" s="158">
        <f>'Probois 43 - CF'!D33</f>
        <v>-10000</v>
      </c>
      <c r="F33" s="158"/>
      <c r="G33" s="158">
        <f>'BSB - CF'!D33</f>
        <v>0</v>
      </c>
      <c r="H33" s="158">
        <f>'SC des SUCS - CF'!D33</f>
        <v>-2100</v>
      </c>
      <c r="I33" s="158"/>
      <c r="J33" s="158">
        <f t="shared" si="18"/>
        <v>-12100</v>
      </c>
      <c r="K33" s="158"/>
      <c r="L33" s="158">
        <f>'Probois 43 - CF'!E33</f>
        <v>-153</v>
      </c>
      <c r="M33" s="158">
        <f>'SAS EMB - CF'!D33</f>
        <v>0</v>
      </c>
      <c r="N33" s="158">
        <f>'BSB - CF'!E33</f>
        <v>0</v>
      </c>
      <c r="O33" s="158">
        <f>'SC des SUCS - CF'!E33</f>
        <v>-510900</v>
      </c>
      <c r="P33" s="158">
        <f>'SCI - CF'!E33</f>
        <v>0</v>
      </c>
      <c r="Q33" s="158">
        <f t="shared" si="19"/>
        <v>-511053</v>
      </c>
      <c r="R33" s="158"/>
      <c r="S33" s="158">
        <f>'Probois 43 - CF'!F33</f>
        <v>0</v>
      </c>
      <c r="T33" s="158">
        <f>'SAS EMB - CF'!E33</f>
        <v>621</v>
      </c>
      <c r="U33" s="158">
        <f>'BSB - CF'!F33</f>
        <v>0</v>
      </c>
      <c r="V33" s="158">
        <f>'SC des SUCS - CF'!F33</f>
        <v>-362739</v>
      </c>
      <c r="W33" s="158">
        <f>'SCI - CF'!F33</f>
        <v>0</v>
      </c>
      <c r="X33" s="158">
        <f t="shared" si="20"/>
        <v>-362118</v>
      </c>
      <c r="Y33" s="158"/>
      <c r="Z33" s="158">
        <f>'Probois 43 - CF (2)'!G33</f>
        <v>0</v>
      </c>
      <c r="AA33" s="158">
        <f>'SAS EMB - CF (2)'!F33</f>
        <v>0</v>
      </c>
      <c r="AB33" s="158">
        <f>'BSB - CF (2)'!G33</f>
        <v>-153</v>
      </c>
      <c r="AC33" s="158">
        <f>'SC des SUCS - CF (2)'!H33</f>
        <v>0</v>
      </c>
      <c r="AD33" s="158">
        <f>'SCI - CF (2)'!H33</f>
        <v>0</v>
      </c>
      <c r="AE33" s="158">
        <f t="shared" si="21"/>
        <v>-153</v>
      </c>
      <c r="AF33" s="158"/>
      <c r="AG33" s="158"/>
      <c r="AH33" s="158">
        <f>'Probois 43 - CF (2)'!I33</f>
        <v>0</v>
      </c>
      <c r="AI33" s="158">
        <f>'SAS EMB - CF (2)'!H33</f>
        <v>0</v>
      </c>
      <c r="AJ33" s="158">
        <f>'BSB - CF (2)'!I33</f>
        <v>0</v>
      </c>
      <c r="AK33" s="158">
        <f>'Profilyss - CF (2)'!I33</f>
        <v>0</v>
      </c>
      <c r="AL33" s="158">
        <f>'SC des SUCS - CF (2)'!I33</f>
        <v>0</v>
      </c>
      <c r="AM33" s="158">
        <f>'SCI - CF (2)'!I33</f>
        <v>0</v>
      </c>
      <c r="AN33" s="158">
        <f>'Profilyss - CF (2)'!L33</f>
        <v>0</v>
      </c>
      <c r="AO33" s="158">
        <f t="shared" si="22"/>
        <v>0</v>
      </c>
      <c r="AP33" s="158"/>
      <c r="AQ33" s="158">
        <f>'Probois 43 - CF (2)'!J33</f>
        <v>0</v>
      </c>
      <c r="AR33" s="158">
        <f>'SAS EMB - CF (2)'!I33</f>
        <v>0</v>
      </c>
      <c r="AS33" s="158">
        <f>'BSB - CF (2)'!J33</f>
        <v>0</v>
      </c>
      <c r="AT33" s="158">
        <f>'Profilyss - CF (2)'!J33</f>
        <v>0</v>
      </c>
      <c r="AU33" s="158">
        <f>'SC des SUCS - CF (2)'!J33</f>
        <v>0</v>
      </c>
      <c r="AV33" s="158">
        <f>'SCI - CF (2)'!J33</f>
        <v>0</v>
      </c>
      <c r="AW33" s="158">
        <f>'Profilyss - CF (2)'!U33</f>
        <v>0</v>
      </c>
      <c r="AX33" s="158">
        <f t="shared" si="23"/>
        <v>0</v>
      </c>
      <c r="AY33" s="158"/>
      <c r="AZ33" s="158">
        <f>'Probois 43 - CF (2)'!K33</f>
        <v>0</v>
      </c>
      <c r="BA33" s="158">
        <f>'SAS EMB - CF (2)'!J33</f>
        <v>0</v>
      </c>
      <c r="BB33" s="158">
        <f>'BSB - CF (2)'!K33</f>
        <v>0</v>
      </c>
      <c r="BC33" s="158">
        <f>'Profilyss - CF (2)'!K33</f>
        <v>0</v>
      </c>
      <c r="BD33" s="158">
        <f>'SC des SUCS - CF (2)'!K33</f>
        <v>0</v>
      </c>
      <c r="BE33" s="158">
        <f>'SCI - CF (2)'!K33</f>
        <v>0</v>
      </c>
      <c r="BF33" s="158">
        <f>'Antreuil - CF (2)'!K33</f>
        <v>0</v>
      </c>
      <c r="BG33" s="158">
        <f t="shared" si="24"/>
        <v>0</v>
      </c>
      <c r="BH33" s="158"/>
      <c r="BI33" s="158">
        <f>'Probois 43 - CF (2)'!L33</f>
        <v>0</v>
      </c>
      <c r="BJ33" s="158">
        <f>'SAS EMB - CF (2)'!K33</f>
        <v>0</v>
      </c>
      <c r="BK33" s="158">
        <f>'BSB - CF (2)'!L33</f>
        <v>0</v>
      </c>
      <c r="BL33" s="158">
        <f>'Profilyss - CF (2)'!L33</f>
        <v>0</v>
      </c>
      <c r="BM33" s="158">
        <f>'SC des SUCS - CF (2)'!L33</f>
        <v>0</v>
      </c>
      <c r="BN33" s="158">
        <f>'SCI - CF (2)'!L33</f>
        <v>0</v>
      </c>
      <c r="BO33" s="158">
        <f>'Antreuil - CF (2)'!L33</f>
        <v>0</v>
      </c>
      <c r="BP33" s="158">
        <f t="shared" si="25"/>
        <v>0</v>
      </c>
    </row>
    <row r="34" spans="2:68">
      <c r="B34" s="151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</row>
    <row r="35" spans="2:68">
      <c r="B35" s="159" t="s">
        <v>244</v>
      </c>
      <c r="C35" s="160"/>
      <c r="D35" s="160"/>
      <c r="E35" s="160">
        <f>'Probois 43 - CF'!D35</f>
        <v>-11604</v>
      </c>
      <c r="F35" s="160"/>
      <c r="G35" s="160">
        <f>'BSB - CF'!D35</f>
        <v>-85320</v>
      </c>
      <c r="H35" s="160">
        <f>'SC des SUCS - CF'!D35</f>
        <v>-2100</v>
      </c>
      <c r="I35" s="160"/>
      <c r="J35" s="160">
        <f>SUM(E35:I35)</f>
        <v>-99024</v>
      </c>
      <c r="K35" s="160"/>
      <c r="L35" s="160">
        <f>'Probois 43 - CF'!E35</f>
        <v>-4333</v>
      </c>
      <c r="M35" s="160">
        <f>'SAS EMB - CF'!D35</f>
        <v>-8668</v>
      </c>
      <c r="N35" s="160">
        <f>'BSB - CF'!E35</f>
        <v>-75932</v>
      </c>
      <c r="O35" s="160">
        <f>'SC des SUCS - CF'!E35</f>
        <v>-510900</v>
      </c>
      <c r="P35" s="160">
        <f>'SCI - CF'!E35</f>
        <v>-36031</v>
      </c>
      <c r="Q35" s="160">
        <f>SUM(L35:P35)</f>
        <v>-635864</v>
      </c>
      <c r="R35" s="160"/>
      <c r="S35" s="160">
        <f>'Probois 43 - CF'!F35</f>
        <v>-67938</v>
      </c>
      <c r="T35" s="160">
        <f>'SAS EMB - CF'!E35</f>
        <v>-25399</v>
      </c>
      <c r="U35" s="160">
        <f>'BSB - CF'!F35</f>
        <v>-85329</v>
      </c>
      <c r="V35" s="160">
        <f>'SC des SUCS - CF'!F35</f>
        <v>-362739</v>
      </c>
      <c r="W35" s="160">
        <f>'SCI - CF'!F35</f>
        <v>1</v>
      </c>
      <c r="X35" s="160">
        <f>SUM(S35:W35)</f>
        <v>-541404</v>
      </c>
      <c r="Y35" s="160"/>
      <c r="Z35" s="160">
        <f>SUM(Z31:Z34)</f>
        <v>-933</v>
      </c>
      <c r="AA35" s="160">
        <f t="shared" ref="AA35:AD35" si="26">SUM(AA31:AA34)</f>
        <v>-16071</v>
      </c>
      <c r="AB35" s="160">
        <f t="shared" si="26"/>
        <v>-200992</v>
      </c>
      <c r="AC35" s="160">
        <f t="shared" si="26"/>
        <v>0</v>
      </c>
      <c r="AD35" s="160">
        <f t="shared" si="26"/>
        <v>0</v>
      </c>
      <c r="AE35" s="160">
        <f>SUM(Z35:AD35)</f>
        <v>-217996</v>
      </c>
      <c r="AF35" s="160"/>
      <c r="AG35" s="160"/>
      <c r="AH35" s="160">
        <f>SUM(AH31:AH34)</f>
        <v>-2000</v>
      </c>
      <c r="AI35" s="160">
        <f t="shared" ref="AI35:AM35" si="27">SUM(AI31:AI34)</f>
        <v>-15000</v>
      </c>
      <c r="AJ35" s="160">
        <f t="shared" si="27"/>
        <v>-25000</v>
      </c>
      <c r="AK35" s="160">
        <f t="shared" si="27"/>
        <v>0</v>
      </c>
      <c r="AL35" s="160">
        <f t="shared" si="27"/>
        <v>0</v>
      </c>
      <c r="AM35" s="160">
        <f t="shared" si="27"/>
        <v>0</v>
      </c>
      <c r="AN35" s="160">
        <f t="shared" ref="AN35" si="28">SUM(AN31:AN34)</f>
        <v>0</v>
      </c>
      <c r="AO35" s="160">
        <f t="shared" ref="AO35" si="29">SUM(AH35:AN35)</f>
        <v>-42000</v>
      </c>
      <c r="AP35" s="160"/>
      <c r="AQ35" s="160">
        <f>SUM(AQ31:AQ34)</f>
        <v>-2000</v>
      </c>
      <c r="AR35" s="160">
        <f t="shared" ref="AR35" si="30">SUM(AR31:AR34)</f>
        <v>-15000</v>
      </c>
      <c r="AS35" s="160">
        <f t="shared" ref="AS35" si="31">SUM(AS31:AS34)</f>
        <v>-25000</v>
      </c>
      <c r="AT35" s="160">
        <f t="shared" ref="AT35" si="32">SUM(AT31:AT34)</f>
        <v>-2134636</v>
      </c>
      <c r="AU35" s="160">
        <f t="shared" ref="AU35" si="33">SUM(AU31:AU34)</f>
        <v>0</v>
      </c>
      <c r="AV35" s="160">
        <f t="shared" ref="AV35:AW35" si="34">SUM(AV31:AV34)</f>
        <v>0</v>
      </c>
      <c r="AW35" s="160">
        <f t="shared" si="34"/>
        <v>-3371340</v>
      </c>
      <c r="AX35" s="160">
        <f t="shared" ref="AX35" si="35">SUM(AQ35:AW35)</f>
        <v>-5547976</v>
      </c>
      <c r="AY35" s="160"/>
      <c r="AZ35" s="160">
        <f>SUM(AZ31:AZ34)</f>
        <v>-2000</v>
      </c>
      <c r="BA35" s="160">
        <f t="shared" ref="BA35" si="36">SUM(BA31:BA34)</f>
        <v>-15000</v>
      </c>
      <c r="BB35" s="160">
        <f t="shared" ref="BB35" si="37">SUM(BB31:BB34)</f>
        <v>-25000</v>
      </c>
      <c r="BC35" s="160">
        <f t="shared" ref="BC35" si="38">SUM(BC31:BC34)</f>
        <v>0</v>
      </c>
      <c r="BD35" s="160">
        <f t="shared" ref="BD35" si="39">SUM(BD31:BD34)</f>
        <v>0</v>
      </c>
      <c r="BE35" s="160">
        <f t="shared" ref="BE35" si="40">SUM(BE31:BE34)</f>
        <v>0</v>
      </c>
      <c r="BF35" s="160">
        <f>'Antreuil - CF (2)'!K35</f>
        <v>0</v>
      </c>
      <c r="BG35" s="160">
        <f t="shared" ref="BG35" si="41">SUM(AZ35:BF35)</f>
        <v>-42000</v>
      </c>
      <c r="BH35" s="160"/>
      <c r="BI35" s="160">
        <f>SUM(BI31:BI34)</f>
        <v>-2000</v>
      </c>
      <c r="BJ35" s="160">
        <f t="shared" ref="BJ35" si="42">SUM(BJ31:BJ34)</f>
        <v>-15000</v>
      </c>
      <c r="BK35" s="160">
        <f t="shared" ref="BK35" si="43">SUM(BK31:BK34)</f>
        <v>-25000</v>
      </c>
      <c r="BL35" s="160">
        <f t="shared" ref="BL35" si="44">SUM(BL31:BL34)</f>
        <v>0</v>
      </c>
      <c r="BM35" s="160">
        <f t="shared" ref="BM35" si="45">SUM(BM31:BM34)</f>
        <v>0</v>
      </c>
      <c r="BN35" s="160">
        <f t="shared" ref="BN35:BO35" si="46">SUM(BN31:BN34)</f>
        <v>0</v>
      </c>
      <c r="BO35" s="160">
        <f t="shared" si="46"/>
        <v>0</v>
      </c>
      <c r="BP35" s="160">
        <f t="shared" ref="BP35" si="47">SUM(BI35:BO35)</f>
        <v>-42000</v>
      </c>
    </row>
    <row r="36" spans="2:68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</row>
    <row r="37" spans="2:68">
      <c r="B37" s="149" t="s">
        <v>245</v>
      </c>
      <c r="C37" s="149"/>
      <c r="D37" s="220"/>
      <c r="E37" s="149"/>
      <c r="F37" s="149"/>
      <c r="G37" s="149"/>
      <c r="H37" s="149"/>
      <c r="I37" s="149"/>
      <c r="J37" s="149"/>
      <c r="K37" s="220"/>
      <c r="L37" s="149"/>
      <c r="M37" s="149"/>
      <c r="N37" s="149"/>
      <c r="O37" s="149"/>
      <c r="P37" s="149"/>
      <c r="Q37" s="149"/>
      <c r="R37" s="220"/>
      <c r="S37" s="149"/>
      <c r="T37" s="149"/>
      <c r="U37" s="149"/>
      <c r="V37" s="149"/>
      <c r="W37" s="149"/>
      <c r="X37" s="149"/>
      <c r="Y37" s="220"/>
      <c r="Z37" s="149"/>
      <c r="AA37" s="149"/>
      <c r="AB37" s="149"/>
      <c r="AC37" s="149"/>
      <c r="AD37" s="149"/>
      <c r="AE37" s="149"/>
      <c r="AF37" s="220"/>
      <c r="AG37" s="220"/>
      <c r="AH37" s="149"/>
      <c r="AI37" s="149"/>
      <c r="AJ37" s="149"/>
      <c r="AK37" s="149"/>
      <c r="AL37" s="149"/>
      <c r="AM37" s="149"/>
      <c r="AN37" s="149"/>
      <c r="AO37" s="149"/>
      <c r="AP37" s="220"/>
      <c r="AQ37" s="149"/>
      <c r="AR37" s="149"/>
      <c r="AS37" s="149"/>
      <c r="AT37" s="149"/>
      <c r="AU37" s="149"/>
      <c r="AV37" s="149"/>
      <c r="AW37" s="149"/>
      <c r="AX37" s="149"/>
      <c r="AY37" s="220"/>
      <c r="AZ37" s="149"/>
      <c r="BA37" s="149"/>
      <c r="BB37" s="149"/>
      <c r="BC37" s="149"/>
      <c r="BD37" s="149"/>
      <c r="BE37" s="149"/>
      <c r="BF37" s="149"/>
      <c r="BG37" s="149"/>
      <c r="BH37" s="220"/>
      <c r="BI37" s="149"/>
      <c r="BJ37" s="149"/>
      <c r="BK37" s="149"/>
      <c r="BL37" s="149"/>
      <c r="BM37" s="149"/>
      <c r="BN37" s="149"/>
      <c r="BO37" s="149"/>
      <c r="BP37" s="149"/>
    </row>
    <row r="38" spans="2:68">
      <c r="B38" s="161" t="s">
        <v>27</v>
      </c>
      <c r="C38" s="205"/>
      <c r="D38" s="134"/>
      <c r="E38" s="205">
        <f>'Probois 43 - CF'!D38</f>
        <v>2246</v>
      </c>
      <c r="F38" s="205"/>
      <c r="G38" s="205">
        <f>'BSB - CF'!D38</f>
        <v>0</v>
      </c>
      <c r="H38" s="205">
        <f>'SC des SUCS - CF'!D38</f>
        <v>29708</v>
      </c>
      <c r="I38" s="205"/>
      <c r="J38" s="205">
        <f t="shared" ref="J38:J44" si="48">SUM(E38:I38)</f>
        <v>31954</v>
      </c>
      <c r="K38" s="134"/>
      <c r="L38" s="205">
        <f>'Probois 43 - CF'!E38</f>
        <v>8640</v>
      </c>
      <c r="M38" s="205">
        <f>'SAS EMB - CF'!D38</f>
        <v>1147</v>
      </c>
      <c r="N38" s="205">
        <f>'BSB - CF'!E38</f>
        <v>0</v>
      </c>
      <c r="O38" s="205">
        <f>'SC des SUCS - CF'!E38</f>
        <v>116786</v>
      </c>
      <c r="P38" s="205">
        <f>'SCI - CF'!E38</f>
        <v>0</v>
      </c>
      <c r="Q38" s="205">
        <f t="shared" ref="Q38:Q44" si="49">SUM(L38:P38)</f>
        <v>126573</v>
      </c>
      <c r="R38" s="134"/>
      <c r="S38" s="205">
        <f>'Probois 43 - CF'!F38</f>
        <v>25108</v>
      </c>
      <c r="T38" s="205">
        <f>'SAS EMB - CF'!E38</f>
        <v>3751</v>
      </c>
      <c r="U38" s="205">
        <f>'BSB - CF'!F38</f>
        <v>0</v>
      </c>
      <c r="V38" s="205">
        <f>'SC des SUCS - CF'!F38</f>
        <v>31669</v>
      </c>
      <c r="W38" s="205">
        <f>'SCI - CF'!F38</f>
        <v>0</v>
      </c>
      <c r="X38" s="205">
        <f t="shared" ref="X38:X44" si="50">SUM(S38:W38)</f>
        <v>60528</v>
      </c>
      <c r="Y38" s="134"/>
      <c r="Z38" s="205">
        <f>'Probois 43 - CF (2)'!G38</f>
        <v>30425</v>
      </c>
      <c r="AA38" s="205">
        <f>'SAS EMB - CF (2)'!F38</f>
        <v>11568</v>
      </c>
      <c r="AB38" s="205">
        <f>'BSB - CF (2)'!G38</f>
        <v>0</v>
      </c>
      <c r="AC38" s="205">
        <f>'SC des SUCS - CF (2)'!H38</f>
        <v>40699</v>
      </c>
      <c r="AD38" s="205">
        <f>'SCI - CF (2)'!H38</f>
        <v>0</v>
      </c>
      <c r="AE38" s="205">
        <f t="shared" ref="AE38:AE44" si="51">SUM(Z38:AD38)</f>
        <v>82692</v>
      </c>
      <c r="AF38" s="134"/>
      <c r="AG38" s="134"/>
      <c r="AH38" s="205">
        <f>'Probois 43 - CF (2)'!I38</f>
        <v>16000</v>
      </c>
      <c r="AI38" s="205">
        <f>'SAS EMB - CF (2)'!H38</f>
        <v>7000</v>
      </c>
      <c r="AJ38" s="205">
        <f>'BSB - CF (2)'!I38</f>
        <v>0</v>
      </c>
      <c r="AK38" s="205">
        <f>'Profilyss - CF (2)'!I38</f>
        <v>0</v>
      </c>
      <c r="AL38" s="205">
        <f>'SC des SUCS - CF (2)'!I38</f>
        <v>41260</v>
      </c>
      <c r="AM38" s="205">
        <f>'SCI - CF (2)'!I38</f>
        <v>0</v>
      </c>
      <c r="AN38" s="205"/>
      <c r="AO38" s="205">
        <f t="shared" ref="AO38:AO44" si="52">SUM(AH38:AN38)</f>
        <v>64260</v>
      </c>
      <c r="AP38" s="134"/>
      <c r="AQ38" s="205">
        <f>'Probois 43 - CF (2)'!J38</f>
        <v>16000</v>
      </c>
      <c r="AR38" s="205">
        <f>'SAS EMB - CF (2)'!I38</f>
        <v>7000</v>
      </c>
      <c r="AS38" s="205">
        <f>'BSB - CF (2)'!J38</f>
        <v>0</v>
      </c>
      <c r="AT38" s="205">
        <f>'Profilyss - CF (2)'!J38</f>
        <v>0</v>
      </c>
      <c r="AU38" s="205">
        <f>'SC des SUCS - CF (2)'!J38</f>
        <v>41756</v>
      </c>
      <c r="AV38" s="205">
        <f>'SCI - CF (2)'!J38</f>
        <v>0</v>
      </c>
      <c r="AW38" s="205"/>
      <c r="AX38" s="205">
        <f t="shared" ref="AX38:AX44" si="53">SUM(AQ38:AW38)</f>
        <v>64756</v>
      </c>
      <c r="AY38" s="134"/>
      <c r="AZ38" s="205">
        <f>'Probois 43 - CF (2)'!K38</f>
        <v>16000</v>
      </c>
      <c r="BA38" s="205">
        <f>'SAS EMB - CF (2)'!J38</f>
        <v>7000</v>
      </c>
      <c r="BB38" s="205">
        <f>'BSB - CF (2)'!K38</f>
        <v>0</v>
      </c>
      <c r="BC38" s="205">
        <f>'Profilyss - CF (2)'!K38</f>
        <v>0</v>
      </c>
      <c r="BD38" s="205">
        <f>'SC des SUCS - CF (2)'!K38</f>
        <v>42259</v>
      </c>
      <c r="BE38" s="205">
        <f>'SCI - CF (2)'!K38</f>
        <v>0</v>
      </c>
      <c r="BF38" s="205"/>
      <c r="BG38" s="205">
        <f t="shared" ref="BG38:BG44" si="54">SUM(AZ38:BF38)</f>
        <v>65259</v>
      </c>
      <c r="BH38" s="134"/>
      <c r="BI38" s="205">
        <f>'Probois 43 - CF (2)'!L38</f>
        <v>16000</v>
      </c>
      <c r="BJ38" s="205">
        <f>'SAS EMB - CF (2)'!K38</f>
        <v>7000</v>
      </c>
      <c r="BK38" s="205">
        <f>'BSB - CF (2)'!L38</f>
        <v>0</v>
      </c>
      <c r="BL38" s="205">
        <f>'Profilyss - CF (2)'!L38</f>
        <v>0</v>
      </c>
      <c r="BM38" s="205">
        <f>'SC des SUCS - CF (2)'!L38</f>
        <v>42766</v>
      </c>
      <c r="BN38" s="205">
        <f>'SCI - CF (2)'!L38</f>
        <v>0</v>
      </c>
      <c r="BO38" s="205"/>
      <c r="BP38" s="205">
        <f t="shared" ref="BP38:BP44" si="55">SUM(BI38:BO38)</f>
        <v>65766</v>
      </c>
    </row>
    <row r="39" spans="2:68">
      <c r="B39" s="161" t="s">
        <v>28</v>
      </c>
      <c r="C39" s="205"/>
      <c r="D39" s="134"/>
      <c r="E39" s="205">
        <f>'Probois 43 - CF'!D43</f>
        <v>-766</v>
      </c>
      <c r="F39" s="205"/>
      <c r="G39" s="205">
        <f>'BSB - CF'!D39</f>
        <v>-7016</v>
      </c>
      <c r="H39" s="205">
        <f>'SC des SUCS - CF'!D46</f>
        <v>-4879</v>
      </c>
      <c r="I39" s="205"/>
      <c r="J39" s="205">
        <f t="shared" si="48"/>
        <v>-12661</v>
      </c>
      <c r="K39" s="134"/>
      <c r="L39" s="205">
        <f>'Probois 43 - CF'!E43</f>
        <v>-6107</v>
      </c>
      <c r="M39" s="205">
        <f>'SAS EMB - CF'!D43</f>
        <v>-400</v>
      </c>
      <c r="N39" s="205">
        <f>'BSB - CF'!E39</f>
        <v>-5632</v>
      </c>
      <c r="O39" s="205">
        <f>'SC des SUCS - CF'!E46</f>
        <v>-14271</v>
      </c>
      <c r="P39" s="205">
        <f>'SCI - CF'!E39</f>
        <v>-1147</v>
      </c>
      <c r="Q39" s="205">
        <f t="shared" si="49"/>
        <v>-27557</v>
      </c>
      <c r="R39" s="134"/>
      <c r="S39" s="205">
        <f>'Probois 43 - CF'!F43</f>
        <v>-6453</v>
      </c>
      <c r="T39" s="205">
        <f>'SAS EMB - CF'!E43</f>
        <v>-58</v>
      </c>
      <c r="U39" s="205">
        <f>'BSB - CF'!F39</f>
        <v>-19080</v>
      </c>
      <c r="V39" s="205">
        <f>'SC des SUCS - CF'!F46</f>
        <v>-43420</v>
      </c>
      <c r="W39" s="205">
        <f>'SCI - CF'!F39</f>
        <v>-4100</v>
      </c>
      <c r="X39" s="205">
        <f t="shared" si="50"/>
        <v>-73111</v>
      </c>
      <c r="Y39" s="134"/>
      <c r="Z39" s="205">
        <f>'Probois 43 - CF (2)'!G43</f>
        <v>-4547</v>
      </c>
      <c r="AA39" s="205">
        <f>'SAS EMB - CF (2)'!F43</f>
        <v>-2</v>
      </c>
      <c r="AB39" s="205">
        <f>'BSB - CF (2)'!G39</f>
        <v>-33649</v>
      </c>
      <c r="AC39" s="205">
        <f>'SC des SUCS - CF (2)'!H46</f>
        <v>0</v>
      </c>
      <c r="AD39" s="205">
        <f>'SCI - CF (2)'!H39</f>
        <v>-4100</v>
      </c>
      <c r="AE39" s="205">
        <f t="shared" si="51"/>
        <v>-42298</v>
      </c>
      <c r="AF39" s="134"/>
      <c r="AG39" s="134"/>
      <c r="AH39" s="205">
        <f>'Probois 43 - CF (2)'!I43</f>
        <v>-3347</v>
      </c>
      <c r="AI39" s="205">
        <v>0</v>
      </c>
      <c r="AJ39" s="205">
        <f>'BSB - CF (2)'!I39</f>
        <v>-30000</v>
      </c>
      <c r="AK39" s="205">
        <v>0</v>
      </c>
      <c r="AL39" s="205">
        <f>'SC des SUCS - CF (2)'!I46</f>
        <v>-90000</v>
      </c>
      <c r="AM39" s="205">
        <f>'SCI - CF (2)'!I39</f>
        <v>-4100</v>
      </c>
      <c r="AN39" s="205"/>
      <c r="AO39" s="205">
        <f t="shared" si="52"/>
        <v>-127447</v>
      </c>
      <c r="AP39" s="134"/>
      <c r="AQ39" s="205">
        <f>'Probois 43 - CF (2)'!J43</f>
        <v>-2101</v>
      </c>
      <c r="AR39" s="205">
        <v>0</v>
      </c>
      <c r="AS39" s="205">
        <f>'BSB - CF (2)'!J39</f>
        <v>-27000</v>
      </c>
      <c r="AT39" s="205">
        <f>'Profilyss - CF (2)'!J40</f>
        <v>-73717</v>
      </c>
      <c r="AU39" s="205">
        <f>'SC des SUCS - CF (2)'!J46</f>
        <v>-90000</v>
      </c>
      <c r="AV39" s="205">
        <f>'SCI - CF (2)'!J39</f>
        <v>-4100</v>
      </c>
      <c r="AW39" s="205">
        <f>'Antreuil - CF (2)'!J39</f>
        <v>-100490</v>
      </c>
      <c r="AX39" s="205">
        <f t="shared" si="53"/>
        <v>-297408</v>
      </c>
      <c r="AY39" s="134"/>
      <c r="AZ39" s="205">
        <f>'Probois 43 - CF (2)'!K43</f>
        <v>-1155</v>
      </c>
      <c r="BA39" s="205">
        <v>0</v>
      </c>
      <c r="BB39" s="205">
        <f>'BSB - CF (2)'!K39</f>
        <v>-23000</v>
      </c>
      <c r="BC39" s="205">
        <f>'Profilyss - CF (2)'!K40</f>
        <v>-65148</v>
      </c>
      <c r="BD39" s="205">
        <f>'SC des SUCS - CF (2)'!K46</f>
        <v>-90000</v>
      </c>
      <c r="BE39" s="205">
        <f>'SCI - CF (2)'!K39</f>
        <v>-4100</v>
      </c>
      <c r="BF39" s="205">
        <f>'Antreuil - CF (2)'!K39</f>
        <v>-95289</v>
      </c>
      <c r="BG39" s="205">
        <f t="shared" si="54"/>
        <v>-278692</v>
      </c>
      <c r="BH39" s="134"/>
      <c r="BI39" s="205">
        <f>'Probois 43 - CF (2)'!L43</f>
        <v>-315</v>
      </c>
      <c r="BJ39" s="205">
        <v>0</v>
      </c>
      <c r="BK39" s="205">
        <f>'BSB - CF (2)'!L39</f>
        <v>-20000</v>
      </c>
      <c r="BL39" s="205">
        <f>'Profilyss - CF (2)'!L40</f>
        <v>-56247</v>
      </c>
      <c r="BM39" s="205">
        <f>'SC des SUCS - CF (2)'!L46</f>
        <v>-90000</v>
      </c>
      <c r="BN39" s="205">
        <f>'SCI - CF (2)'!L39</f>
        <v>-4100</v>
      </c>
      <c r="BO39" s="205">
        <f>'Antreuil - CF (2)'!L39</f>
        <v>-89878</v>
      </c>
      <c r="BP39" s="205">
        <f t="shared" si="55"/>
        <v>-260540</v>
      </c>
    </row>
    <row r="40" spans="2:68">
      <c r="B40" s="161" t="s">
        <v>213</v>
      </c>
      <c r="C40" s="152"/>
      <c r="D40" s="152"/>
      <c r="E40" s="152">
        <f>'Probois 43 - CF'!D51</f>
        <v>199847</v>
      </c>
      <c r="F40" s="152"/>
      <c r="G40" s="152">
        <f>'BSB - CF'!D51</f>
        <v>-78872</v>
      </c>
      <c r="H40" s="152">
        <f>'SC des SUCS - CF'!D51</f>
        <v>-12895</v>
      </c>
      <c r="I40" s="152"/>
      <c r="J40" s="152">
        <f t="shared" si="48"/>
        <v>108080</v>
      </c>
      <c r="K40" s="152"/>
      <c r="L40" s="152">
        <f>'Probois 43 - CF'!E51</f>
        <v>-19500</v>
      </c>
      <c r="M40" s="152">
        <f>'SAS EMB - CF'!D48</f>
        <v>-11577</v>
      </c>
      <c r="N40" s="152">
        <f>'BSB - CF'!E51</f>
        <v>-57211</v>
      </c>
      <c r="O40" s="152">
        <f>'SC des SUCS - CF'!E51</f>
        <v>-13094</v>
      </c>
      <c r="P40" s="152">
        <f>'SCI - CF'!E44</f>
        <v>-9829</v>
      </c>
      <c r="Q40" s="152">
        <f t="shared" si="49"/>
        <v>-111211</v>
      </c>
      <c r="R40" s="152"/>
      <c r="S40" s="152">
        <f>'Probois 43 - CF'!F51</f>
        <v>-69378</v>
      </c>
      <c r="T40" s="152">
        <f>'SAS EMB - CF'!E48</f>
        <v>-4850</v>
      </c>
      <c r="U40" s="152">
        <f>'BSB - CF'!F51</f>
        <v>-91222</v>
      </c>
      <c r="V40" s="152">
        <f>'SC des SUCS - CF'!F51</f>
        <v>214026</v>
      </c>
      <c r="W40" s="152">
        <f>'SCI - CF'!F44</f>
        <v>-5165</v>
      </c>
      <c r="X40" s="152">
        <f t="shared" si="50"/>
        <v>43411</v>
      </c>
      <c r="Y40" s="152"/>
      <c r="Z40" s="152">
        <f>'Probois 43 - CF (2)'!G51</f>
        <v>-100033</v>
      </c>
      <c r="AA40" s="152">
        <v>0</v>
      </c>
      <c r="AB40" s="152">
        <f>'BSB - CF (2)'!G51</f>
        <v>84312</v>
      </c>
      <c r="AC40" s="152">
        <f>'SC des SUCS - CF (2)'!H51</f>
        <v>140827</v>
      </c>
      <c r="AD40" s="152">
        <f>'SCI - CF (2)'!H44</f>
        <v>-5714</v>
      </c>
      <c r="AE40" s="152">
        <f t="shared" si="51"/>
        <v>119392</v>
      </c>
      <c r="AF40" s="152"/>
      <c r="AG40" s="152"/>
      <c r="AH40" s="152">
        <f>'Probois 43 - CF (2)'!I51</f>
        <v>-90817</v>
      </c>
      <c r="AI40" s="152">
        <v>0</v>
      </c>
      <c r="AJ40" s="152">
        <f>'BSB - CF (2)'!I51</f>
        <v>-107000</v>
      </c>
      <c r="AK40" s="152">
        <v>0</v>
      </c>
      <c r="AL40" s="152">
        <f>'SC des SUCS - CF (2)'!I51</f>
        <v>-45745</v>
      </c>
      <c r="AM40" s="152">
        <f>'SCI - CF (2)'!I44</f>
        <v>-5000</v>
      </c>
      <c r="AN40" s="152"/>
      <c r="AO40" s="152">
        <f t="shared" si="52"/>
        <v>-248562</v>
      </c>
      <c r="AP40" s="152"/>
      <c r="AQ40" s="152">
        <f>'Probois 43 - CF (2)'!J51</f>
        <v>-90000</v>
      </c>
      <c r="AR40" s="152">
        <v>0</v>
      </c>
      <c r="AS40" s="152">
        <f>'BSB - CF (2)'!J51</f>
        <v>-85618</v>
      </c>
      <c r="AT40" s="152">
        <f>'Profilyss - CF (2)'!J44</f>
        <v>1520469</v>
      </c>
      <c r="AU40" s="152">
        <f>'SC des SUCS - CF (2)'!J51</f>
        <v>-46241</v>
      </c>
      <c r="AV40" s="152">
        <f>'SCI - CF (2)'!J44</f>
        <v>-5000</v>
      </c>
      <c r="AW40" s="152">
        <f>'Antreuil - CF (2)'!J42</f>
        <v>2442686</v>
      </c>
      <c r="AX40" s="152">
        <f t="shared" si="53"/>
        <v>3736296</v>
      </c>
      <c r="AY40" s="152"/>
      <c r="AZ40" s="152">
        <f>'Probois 43 - CF (2)'!K51</f>
        <v>-40000</v>
      </c>
      <c r="BA40" s="152">
        <v>0</v>
      </c>
      <c r="BB40" s="152">
        <f>'BSB - CF (2)'!K51</f>
        <v>-39000</v>
      </c>
      <c r="BC40" s="152">
        <f>'Profilyss - CF (2)'!K44</f>
        <v>-238100</v>
      </c>
      <c r="BD40" s="152">
        <f>'SC des SUCS - CF (2)'!K51</f>
        <v>-46743</v>
      </c>
      <c r="BE40" s="152">
        <f>'SCI - CF (2)'!K44</f>
        <v>-5000</v>
      </c>
      <c r="BF40" s="152">
        <f>'Antreuil - CF (2)'!K42</f>
        <v>-132855</v>
      </c>
      <c r="BG40" s="152">
        <f t="shared" si="54"/>
        <v>-501698</v>
      </c>
      <c r="BH40" s="152"/>
      <c r="BI40" s="152">
        <f>'Probois 43 - CF (2)'!L51</f>
        <v>-30000</v>
      </c>
      <c r="BJ40" s="152">
        <v>0</v>
      </c>
      <c r="BK40" s="152">
        <f>'BSB - CF (2)'!L51</f>
        <v>-39000</v>
      </c>
      <c r="BL40" s="152">
        <f>'Profilyss - CF (2)'!L44</f>
        <v>-247001</v>
      </c>
      <c r="BM40" s="152">
        <f>'SC des SUCS - CF (2)'!L51</f>
        <v>-43293</v>
      </c>
      <c r="BN40" s="152">
        <f>'SCI - CF (2)'!L44</f>
        <v>-5000</v>
      </c>
      <c r="BO40" s="152">
        <f>'Antreuil - CF (2)'!L42</f>
        <v>-138266</v>
      </c>
      <c r="BP40" s="152">
        <f t="shared" si="55"/>
        <v>-502560</v>
      </c>
    </row>
    <row r="41" spans="2:68">
      <c r="B41" s="161" t="s">
        <v>214</v>
      </c>
      <c r="C41" s="152"/>
      <c r="D41" s="152"/>
      <c r="E41" s="152">
        <f>'Probois 43 - CF'!D56</f>
        <v>-37490</v>
      </c>
      <c r="F41" s="152"/>
      <c r="G41" s="152">
        <f>'BSB - CF'!D64</f>
        <v>-61731</v>
      </c>
      <c r="H41" s="152">
        <f>'SC des SUCS - CF'!D56</f>
        <v>528116</v>
      </c>
      <c r="I41" s="152"/>
      <c r="J41" s="152">
        <f t="shared" si="48"/>
        <v>428895</v>
      </c>
      <c r="K41" s="152"/>
      <c r="L41" s="152">
        <f>'Probois 43 - CF'!E56</f>
        <v>0</v>
      </c>
      <c r="M41" s="152">
        <f>'SAS EMB - CF'!D52</f>
        <v>-30205</v>
      </c>
      <c r="N41" s="152">
        <f>'BSB - CF'!E64</f>
        <v>23221</v>
      </c>
      <c r="O41" s="152">
        <f>'SC des SUCS - CF'!E56</f>
        <v>-209313</v>
      </c>
      <c r="P41" s="152">
        <f>'SCI - CF'!E48</f>
        <v>40563</v>
      </c>
      <c r="Q41" s="152">
        <f t="shared" si="49"/>
        <v>-175734</v>
      </c>
      <c r="R41" s="152"/>
      <c r="S41" s="152">
        <f>'Probois 43 - CF'!F56</f>
        <v>0</v>
      </c>
      <c r="T41" s="152">
        <f>'SAS EMB - CF'!E52</f>
        <v>-40389</v>
      </c>
      <c r="U41" s="152">
        <f>'BSB - CF'!F64</f>
        <v>378219</v>
      </c>
      <c r="V41" s="152">
        <f>'SC des SUCS - CF'!F56</f>
        <v>292495</v>
      </c>
      <c r="W41" s="152">
        <f>'SCI - CF'!F48</f>
        <v>3584</v>
      </c>
      <c r="X41" s="152">
        <f t="shared" si="50"/>
        <v>633909</v>
      </c>
      <c r="Y41" s="152"/>
      <c r="Z41" s="152">
        <f>'Probois 43 - CF (2)'!G56</f>
        <v>0</v>
      </c>
      <c r="AA41" s="152">
        <v>0</v>
      </c>
      <c r="AB41" s="152">
        <f>'BSB - CF (2)'!G64</f>
        <v>43773</v>
      </c>
      <c r="AC41" s="152">
        <f>'SC des SUCS - CF (2)'!H56</f>
        <v>553551</v>
      </c>
      <c r="AD41" s="152">
        <v>0</v>
      </c>
      <c r="AE41" s="152">
        <f t="shared" si="51"/>
        <v>597324</v>
      </c>
      <c r="AF41" s="152"/>
      <c r="AG41" s="152"/>
      <c r="AH41" s="152">
        <v>0</v>
      </c>
      <c r="AI41" s="152">
        <v>0</v>
      </c>
      <c r="AJ41" s="152">
        <v>0</v>
      </c>
      <c r="AK41" s="152">
        <v>0</v>
      </c>
      <c r="AL41" s="152">
        <v>0</v>
      </c>
      <c r="AM41" s="152">
        <v>0</v>
      </c>
      <c r="AN41" s="152"/>
      <c r="AO41" s="152">
        <f t="shared" si="52"/>
        <v>0</v>
      </c>
      <c r="AP41" s="152"/>
      <c r="AQ41" s="152">
        <v>0</v>
      </c>
      <c r="AR41" s="152">
        <v>0</v>
      </c>
      <c r="AS41" s="152">
        <v>0</v>
      </c>
      <c r="AT41" s="152">
        <f>'Profilyss - CF (2)'!J48</f>
        <v>1000000</v>
      </c>
      <c r="AU41" s="152">
        <v>0</v>
      </c>
      <c r="AV41" s="152">
        <v>0</v>
      </c>
      <c r="AW41" s="152"/>
      <c r="AX41" s="152">
        <f t="shared" si="53"/>
        <v>1000000</v>
      </c>
      <c r="AY41" s="152"/>
      <c r="AZ41" s="152">
        <v>0</v>
      </c>
      <c r="BA41" s="152">
        <v>0</v>
      </c>
      <c r="BB41" s="152">
        <v>0</v>
      </c>
      <c r="BC41" s="152">
        <v>0</v>
      </c>
      <c r="BD41" s="152">
        <v>0</v>
      </c>
      <c r="BE41" s="152">
        <v>0</v>
      </c>
      <c r="BF41" s="152"/>
      <c r="BG41" s="152">
        <f t="shared" si="54"/>
        <v>0</v>
      </c>
      <c r="BH41" s="152"/>
      <c r="BI41" s="152">
        <v>0</v>
      </c>
      <c r="BJ41" s="152">
        <v>0</v>
      </c>
      <c r="BK41" s="152">
        <v>0</v>
      </c>
      <c r="BL41" s="152">
        <v>0</v>
      </c>
      <c r="BM41" s="152">
        <v>0</v>
      </c>
      <c r="BN41" s="152">
        <v>0</v>
      </c>
      <c r="BO41" s="152"/>
      <c r="BP41" s="152">
        <f t="shared" si="55"/>
        <v>0</v>
      </c>
    </row>
    <row r="42" spans="2:68">
      <c r="B42" s="161" t="s">
        <v>162</v>
      </c>
      <c r="C42" s="134"/>
      <c r="D42" s="134"/>
      <c r="E42" s="134">
        <f>'Probois 43 - CF'!D60</f>
        <v>0</v>
      </c>
      <c r="F42" s="134"/>
      <c r="G42" s="134"/>
      <c r="H42" s="134"/>
      <c r="I42" s="134"/>
      <c r="J42" s="134">
        <f t="shared" si="48"/>
        <v>0</v>
      </c>
      <c r="K42" s="134"/>
      <c r="L42" s="134">
        <f>'Probois 43 - CF'!E60</f>
        <v>0</v>
      </c>
      <c r="M42" s="134"/>
      <c r="N42" s="134">
        <f>'BSB - CF'!E68</f>
        <v>1</v>
      </c>
      <c r="O42" s="134"/>
      <c r="P42" s="134"/>
      <c r="Q42" s="134">
        <f t="shared" si="49"/>
        <v>1</v>
      </c>
      <c r="R42" s="134"/>
      <c r="S42" s="134">
        <f>'Probois 43 - CF'!F60</f>
        <v>0</v>
      </c>
      <c r="T42" s="134"/>
      <c r="U42" s="134">
        <f>'BSB - CF'!F68</f>
        <v>18887</v>
      </c>
      <c r="V42" s="134"/>
      <c r="W42" s="134"/>
      <c r="X42" s="134">
        <f t="shared" si="50"/>
        <v>18887</v>
      </c>
      <c r="Y42" s="134"/>
      <c r="Z42" s="134">
        <v>0</v>
      </c>
      <c r="AA42" s="134">
        <v>0</v>
      </c>
      <c r="AB42" s="134">
        <f>'BSB - CF (2)'!G68</f>
        <v>58076</v>
      </c>
      <c r="AC42" s="134">
        <v>0</v>
      </c>
      <c r="AD42" s="134">
        <v>0</v>
      </c>
      <c r="AE42" s="134">
        <f t="shared" si="51"/>
        <v>58076</v>
      </c>
      <c r="AF42" s="134"/>
      <c r="AG42" s="134"/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/>
      <c r="AO42" s="134">
        <f t="shared" si="52"/>
        <v>0</v>
      </c>
      <c r="AP42" s="134"/>
      <c r="AQ42" s="134">
        <v>0</v>
      </c>
      <c r="AR42" s="134">
        <v>0</v>
      </c>
      <c r="AS42" s="134">
        <v>0</v>
      </c>
      <c r="AT42" s="134">
        <f>'Profilyss - CF (2)'!J50</f>
        <v>600000</v>
      </c>
      <c r="AU42" s="134">
        <v>0</v>
      </c>
      <c r="AV42" s="134">
        <v>0</v>
      </c>
      <c r="AW42" s="134">
        <f>'Antreuil - CF (2)'!J47</f>
        <v>800000</v>
      </c>
      <c r="AX42" s="134">
        <f t="shared" si="53"/>
        <v>1400000</v>
      </c>
      <c r="AY42" s="134"/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/>
      <c r="BG42" s="134">
        <f t="shared" si="54"/>
        <v>0</v>
      </c>
      <c r="BH42" s="134"/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/>
      <c r="BP42" s="134">
        <f t="shared" si="55"/>
        <v>0</v>
      </c>
    </row>
    <row r="43" spans="2:68" s="137" customFormat="1">
      <c r="B43" s="161" t="s">
        <v>263</v>
      </c>
      <c r="C43" s="134"/>
      <c r="D43" s="134"/>
      <c r="E43" s="134">
        <f>'Probois 43 - CF'!D64</f>
        <v>0</v>
      </c>
      <c r="F43" s="134"/>
      <c r="G43" s="134"/>
      <c r="H43" s="134"/>
      <c r="I43" s="134"/>
      <c r="J43" s="134">
        <f t="shared" si="48"/>
        <v>0</v>
      </c>
      <c r="K43" s="134"/>
      <c r="L43" s="134">
        <f>'Probois 43 - CF'!E62</f>
        <v>-26112</v>
      </c>
      <c r="M43" s="134"/>
      <c r="N43" s="134">
        <f>'BSB - CF'!E72</f>
        <v>0</v>
      </c>
      <c r="O43" s="134"/>
      <c r="P43" s="134"/>
      <c r="Q43" s="134">
        <f t="shared" si="49"/>
        <v>-26112</v>
      </c>
      <c r="R43" s="134"/>
      <c r="S43" s="134">
        <f>'Probois 43 - CF'!F62</f>
        <v>-110112</v>
      </c>
      <c r="T43" s="134">
        <f>'SAS EMB - CF'!E57</f>
        <v>-120000</v>
      </c>
      <c r="U43" s="134">
        <f>'BSB - CF'!F72</f>
        <v>0</v>
      </c>
      <c r="V43" s="134"/>
      <c r="W43" s="134"/>
      <c r="X43" s="134">
        <f t="shared" si="50"/>
        <v>-230112</v>
      </c>
      <c r="Y43" s="134"/>
      <c r="Z43" s="134">
        <v>0</v>
      </c>
      <c r="AA43" s="134">
        <v>0</v>
      </c>
      <c r="AB43" s="134">
        <v>0</v>
      </c>
      <c r="AC43" s="134">
        <v>0</v>
      </c>
      <c r="AD43" s="134">
        <v>0</v>
      </c>
      <c r="AE43" s="134">
        <f t="shared" si="51"/>
        <v>0</v>
      </c>
      <c r="AF43" s="134"/>
      <c r="AG43" s="134"/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  <c r="AN43" s="134"/>
      <c r="AO43" s="134">
        <f t="shared" si="52"/>
        <v>0</v>
      </c>
      <c r="AP43" s="134"/>
      <c r="AQ43" s="134">
        <v>0</v>
      </c>
      <c r="AR43" s="134">
        <v>0</v>
      </c>
      <c r="AS43" s="134">
        <v>0</v>
      </c>
      <c r="AT43" s="134">
        <v>0</v>
      </c>
      <c r="AU43" s="134">
        <v>0</v>
      </c>
      <c r="AV43" s="134">
        <v>0</v>
      </c>
      <c r="AW43" s="134"/>
      <c r="AX43" s="134">
        <f t="shared" si="53"/>
        <v>0</v>
      </c>
      <c r="AY43" s="134"/>
      <c r="AZ43" s="134">
        <v>0</v>
      </c>
      <c r="BA43" s="134">
        <v>0</v>
      </c>
      <c r="BB43" s="134">
        <v>0</v>
      </c>
      <c r="BC43" s="134">
        <v>0</v>
      </c>
      <c r="BD43" s="134">
        <v>0</v>
      </c>
      <c r="BE43" s="134">
        <v>0</v>
      </c>
      <c r="BF43" s="134"/>
      <c r="BG43" s="134">
        <f t="shared" si="54"/>
        <v>0</v>
      </c>
      <c r="BH43" s="134"/>
      <c r="BI43" s="134">
        <v>0</v>
      </c>
      <c r="BJ43" s="134">
        <v>0</v>
      </c>
      <c r="BK43" s="134">
        <v>0</v>
      </c>
      <c r="BL43" s="134">
        <v>0</v>
      </c>
      <c r="BM43" s="134">
        <v>0</v>
      </c>
      <c r="BN43" s="134">
        <v>0</v>
      </c>
      <c r="BO43" s="134"/>
      <c r="BP43" s="134">
        <f t="shared" si="55"/>
        <v>0</v>
      </c>
    </row>
    <row r="44" spans="2:68">
      <c r="B44" s="161" t="s">
        <v>252</v>
      </c>
      <c r="C44" s="205"/>
      <c r="D44" s="134"/>
      <c r="E44" s="205"/>
      <c r="F44" s="205"/>
      <c r="G44" s="205"/>
      <c r="H44" s="205"/>
      <c r="I44" s="205"/>
      <c r="J44" s="205">
        <f t="shared" si="48"/>
        <v>0</v>
      </c>
      <c r="K44" s="134"/>
      <c r="L44" s="205">
        <v>0</v>
      </c>
      <c r="M44" s="205"/>
      <c r="N44" s="205"/>
      <c r="O44" s="205">
        <f>'SC des SUCS - CF'!E65</f>
        <v>510000</v>
      </c>
      <c r="P44" s="205"/>
      <c r="Q44" s="205">
        <f t="shared" si="49"/>
        <v>510000</v>
      </c>
      <c r="R44" s="134"/>
      <c r="S44" s="205">
        <f>'Probois 43 - CF'!F64</f>
        <v>0</v>
      </c>
      <c r="T44" s="205"/>
      <c r="U44" s="205"/>
      <c r="V44" s="205"/>
      <c r="W44" s="205"/>
      <c r="X44" s="205">
        <f t="shared" si="50"/>
        <v>0</v>
      </c>
      <c r="Y44" s="134"/>
      <c r="Z44" s="205">
        <v>0</v>
      </c>
      <c r="AA44" s="205">
        <v>0</v>
      </c>
      <c r="AB44" s="205">
        <v>0</v>
      </c>
      <c r="AC44" s="205">
        <f>'SC des SUCS - CF (2)'!H66</f>
        <v>250000</v>
      </c>
      <c r="AD44" s="205">
        <v>0</v>
      </c>
      <c r="AE44" s="205">
        <f t="shared" si="51"/>
        <v>250000</v>
      </c>
      <c r="AF44" s="134"/>
      <c r="AG44" s="134"/>
      <c r="AH44" s="205">
        <v>0</v>
      </c>
      <c r="AI44" s="205">
        <v>0</v>
      </c>
      <c r="AJ44" s="205">
        <v>0</v>
      </c>
      <c r="AK44" s="205">
        <f>'Profilyss - CF (2)'!I54</f>
        <v>50000</v>
      </c>
      <c r="AL44" s="205">
        <v>0</v>
      </c>
      <c r="AM44" s="205">
        <v>0</v>
      </c>
      <c r="AN44" s="205">
        <f>'Agrégé - Bilan (2)'!AS26</f>
        <v>1000</v>
      </c>
      <c r="AO44" s="205">
        <f t="shared" si="52"/>
        <v>51000</v>
      </c>
      <c r="AP44" s="134"/>
      <c r="AQ44" s="205">
        <v>0</v>
      </c>
      <c r="AR44" s="205">
        <v>0</v>
      </c>
      <c r="AS44" s="205">
        <v>0</v>
      </c>
      <c r="AT44" s="205">
        <v>0</v>
      </c>
      <c r="AU44" s="205">
        <v>0</v>
      </c>
      <c r="AV44" s="205">
        <v>0</v>
      </c>
      <c r="AW44" s="205"/>
      <c r="AX44" s="205">
        <f t="shared" si="53"/>
        <v>0</v>
      </c>
      <c r="AY44" s="134"/>
      <c r="AZ44" s="205">
        <v>0</v>
      </c>
      <c r="BA44" s="205">
        <v>0</v>
      </c>
      <c r="BB44" s="205">
        <v>0</v>
      </c>
      <c r="BC44" s="205">
        <v>0</v>
      </c>
      <c r="BD44" s="205">
        <v>0</v>
      </c>
      <c r="BE44" s="205">
        <v>0</v>
      </c>
      <c r="BF44" s="205"/>
      <c r="BG44" s="205">
        <f t="shared" si="54"/>
        <v>0</v>
      </c>
      <c r="BH44" s="134"/>
      <c r="BI44" s="205">
        <v>0</v>
      </c>
      <c r="BJ44" s="205">
        <v>0</v>
      </c>
      <c r="BK44" s="205">
        <v>0</v>
      </c>
      <c r="BL44" s="205">
        <v>0</v>
      </c>
      <c r="BM44" s="205">
        <v>0</v>
      </c>
      <c r="BN44" s="205">
        <v>0</v>
      </c>
      <c r="BO44" s="205"/>
      <c r="BP44" s="205">
        <f t="shared" si="55"/>
        <v>0</v>
      </c>
    </row>
    <row r="45" spans="2:68" s="137" customFormat="1" ht="12.75">
      <c r="B45" s="162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</row>
    <row r="46" spans="2:68">
      <c r="B46" s="159" t="s">
        <v>246</v>
      </c>
      <c r="C46" s="208"/>
      <c r="D46" s="221"/>
      <c r="E46" s="208">
        <f>'Probois 43 - CF'!D68</f>
        <v>163837</v>
      </c>
      <c r="F46" s="208"/>
      <c r="G46" s="208">
        <f>'BSB - CF'!D76</f>
        <v>-147619</v>
      </c>
      <c r="H46" s="208">
        <f>'SC des SUCS - CF'!D69</f>
        <v>540050</v>
      </c>
      <c r="I46" s="208"/>
      <c r="J46" s="208">
        <f>SUM(E46:I46)</f>
        <v>556268</v>
      </c>
      <c r="K46" s="221"/>
      <c r="L46" s="208">
        <f>'Probois 43 - CF'!E68</f>
        <v>-43079</v>
      </c>
      <c r="M46" s="208">
        <f>'SAS EMB - CF'!D63</f>
        <v>-41035</v>
      </c>
      <c r="N46" s="208">
        <f>'BSB - CF'!E76</f>
        <v>-39621</v>
      </c>
      <c r="O46" s="208">
        <f>'SC des SUCS - CF'!E69</f>
        <v>390108</v>
      </c>
      <c r="P46" s="208">
        <f>'SCI - CF'!E59</f>
        <v>29587</v>
      </c>
      <c r="Q46" s="208">
        <f>SUM(L46:P46)</f>
        <v>295960</v>
      </c>
      <c r="R46" s="221"/>
      <c r="S46" s="208">
        <f>'Probois 43 - CF'!F68</f>
        <v>-160835</v>
      </c>
      <c r="T46" s="208">
        <f>'SAS EMB - CF'!E63</f>
        <v>-161546</v>
      </c>
      <c r="U46" s="208">
        <f>'BSB - CF'!F76</f>
        <v>286804</v>
      </c>
      <c r="V46" s="208">
        <f>'SC des SUCS - CF'!F69</f>
        <v>494770</v>
      </c>
      <c r="W46" s="208">
        <f>'SCI - CF'!F59</f>
        <v>-5681</v>
      </c>
      <c r="X46" s="208">
        <f>SUM(S46:W46)</f>
        <v>453512</v>
      </c>
      <c r="Y46" s="221"/>
      <c r="Z46" s="208">
        <f>SUM(Z38:Z45)</f>
        <v>-74155</v>
      </c>
      <c r="AA46" s="208">
        <f t="shared" ref="AA46:AD46" si="56">SUM(AA38:AA45)</f>
        <v>11566</v>
      </c>
      <c r="AB46" s="208">
        <f t="shared" si="56"/>
        <v>152512</v>
      </c>
      <c r="AC46" s="208">
        <f t="shared" si="56"/>
        <v>985077</v>
      </c>
      <c r="AD46" s="208">
        <f t="shared" si="56"/>
        <v>-9814</v>
      </c>
      <c r="AE46" s="208">
        <f>SUM(Z46:AD46)</f>
        <v>1065186</v>
      </c>
      <c r="AF46" s="221"/>
      <c r="AG46" s="221"/>
      <c r="AH46" s="208">
        <f t="shared" ref="AH46:AM46" si="57">SUM(AH38:AH45)</f>
        <v>-78164</v>
      </c>
      <c r="AI46" s="208">
        <f t="shared" si="57"/>
        <v>7000</v>
      </c>
      <c r="AJ46" s="208">
        <f t="shared" si="57"/>
        <v>-137000</v>
      </c>
      <c r="AK46" s="208">
        <f t="shared" si="57"/>
        <v>50000</v>
      </c>
      <c r="AL46" s="208">
        <f t="shared" si="57"/>
        <v>-94485</v>
      </c>
      <c r="AM46" s="208">
        <f t="shared" si="57"/>
        <v>-9100</v>
      </c>
      <c r="AN46" s="208">
        <f t="shared" ref="AN46" si="58">SUM(AN38:AN45)</f>
        <v>1000</v>
      </c>
      <c r="AO46" s="208">
        <f>SUM(AH46:AN46)</f>
        <v>-260749</v>
      </c>
      <c r="AP46" s="221"/>
      <c r="AQ46" s="208">
        <f t="shared" ref="AQ46" si="59">SUM(AQ38:AQ45)</f>
        <v>-76101</v>
      </c>
      <c r="AR46" s="208">
        <f t="shared" ref="AR46" si="60">SUM(AR38:AR45)</f>
        <v>7000</v>
      </c>
      <c r="AS46" s="208">
        <f t="shared" ref="AS46" si="61">SUM(AS38:AS45)</f>
        <v>-112618</v>
      </c>
      <c r="AT46" s="208">
        <f t="shared" ref="AT46" si="62">SUM(AT38:AT45)</f>
        <v>3046752</v>
      </c>
      <c r="AU46" s="208">
        <f t="shared" ref="AU46" si="63">SUM(AU38:AU45)</f>
        <v>-94485</v>
      </c>
      <c r="AV46" s="208">
        <f t="shared" ref="AV46:AW46" si="64">SUM(AV38:AV45)</f>
        <v>-9100</v>
      </c>
      <c r="AW46" s="208">
        <f t="shared" si="64"/>
        <v>3142196</v>
      </c>
      <c r="AX46" s="208">
        <f>SUM(AQ46:AW46)</f>
        <v>5903644</v>
      </c>
      <c r="AY46" s="221"/>
      <c r="AZ46" s="208">
        <f t="shared" ref="AZ46" si="65">SUM(AZ38:AZ45)</f>
        <v>-25155</v>
      </c>
      <c r="BA46" s="208">
        <f t="shared" ref="BA46" si="66">SUM(BA38:BA45)</f>
        <v>7000</v>
      </c>
      <c r="BB46" s="208">
        <f t="shared" ref="BB46" si="67">SUM(BB38:BB45)</f>
        <v>-62000</v>
      </c>
      <c r="BC46" s="208">
        <f t="shared" ref="BC46" si="68">SUM(BC38:BC45)</f>
        <v>-303248</v>
      </c>
      <c r="BD46" s="208">
        <f t="shared" ref="BD46" si="69">SUM(BD38:BD45)</f>
        <v>-94484</v>
      </c>
      <c r="BE46" s="208">
        <f t="shared" ref="BE46:BF46" si="70">SUM(BE38:BE45)</f>
        <v>-9100</v>
      </c>
      <c r="BF46" s="208">
        <f t="shared" si="70"/>
        <v>-228144</v>
      </c>
      <c r="BG46" s="208">
        <f>SUM(AZ46:BF46)</f>
        <v>-715131</v>
      </c>
      <c r="BH46" s="221"/>
      <c r="BI46" s="208">
        <f t="shared" ref="BI46" si="71">SUM(BI38:BI45)</f>
        <v>-14315</v>
      </c>
      <c r="BJ46" s="208">
        <f t="shared" ref="BJ46" si="72">SUM(BJ38:BJ45)</f>
        <v>7000</v>
      </c>
      <c r="BK46" s="208">
        <f t="shared" ref="BK46" si="73">SUM(BK38:BK45)</f>
        <v>-59000</v>
      </c>
      <c r="BL46" s="208">
        <f t="shared" ref="BL46" si="74">SUM(BL38:BL45)</f>
        <v>-303248</v>
      </c>
      <c r="BM46" s="208">
        <f t="shared" ref="BM46" si="75">SUM(BM38:BM45)</f>
        <v>-90527</v>
      </c>
      <c r="BN46" s="208">
        <f t="shared" ref="BN46:BO46" si="76">SUM(BN38:BN45)</f>
        <v>-9100</v>
      </c>
      <c r="BO46" s="208">
        <f t="shared" si="76"/>
        <v>-228144</v>
      </c>
      <c r="BP46" s="208">
        <f>SUM(BI46:BO46)</f>
        <v>-697334</v>
      </c>
    </row>
    <row r="47" spans="2:68">
      <c r="B47" s="163"/>
      <c r="C47" s="163"/>
      <c r="D47" s="151"/>
      <c r="E47" s="163"/>
      <c r="F47" s="163"/>
      <c r="G47" s="163"/>
      <c r="H47" s="163"/>
      <c r="I47" s="163"/>
      <c r="J47" s="163"/>
      <c r="K47" s="151"/>
      <c r="L47" s="163"/>
      <c r="M47" s="163"/>
      <c r="N47" s="163"/>
      <c r="O47" s="163"/>
      <c r="P47" s="163"/>
      <c r="Q47" s="163"/>
      <c r="R47" s="151"/>
      <c r="S47" s="163"/>
      <c r="T47" s="163"/>
      <c r="U47" s="163"/>
      <c r="V47" s="163"/>
      <c r="W47" s="163"/>
      <c r="X47" s="163"/>
      <c r="Y47" s="151"/>
      <c r="Z47" s="163"/>
      <c r="AA47" s="163"/>
      <c r="AB47" s="163"/>
      <c r="AC47" s="163"/>
      <c r="AD47" s="163"/>
      <c r="AE47" s="163"/>
      <c r="AF47" s="151"/>
      <c r="AG47" s="151"/>
      <c r="AH47" s="163"/>
      <c r="AI47" s="163"/>
      <c r="AJ47" s="163"/>
      <c r="AK47" s="163"/>
      <c r="AL47" s="163"/>
      <c r="AM47" s="163"/>
      <c r="AN47" s="163"/>
      <c r="AO47" s="163"/>
      <c r="AP47" s="151"/>
      <c r="AQ47" s="163"/>
      <c r="AR47" s="163"/>
      <c r="AS47" s="163"/>
      <c r="AT47" s="163"/>
      <c r="AU47" s="163"/>
      <c r="AV47" s="163"/>
      <c r="AW47" s="163"/>
      <c r="AX47" s="163"/>
      <c r="AY47" s="151"/>
      <c r="AZ47" s="163"/>
      <c r="BA47" s="163"/>
      <c r="BB47" s="163"/>
      <c r="BC47" s="163"/>
      <c r="BD47" s="163"/>
      <c r="BE47" s="163"/>
      <c r="BF47" s="163"/>
      <c r="BG47" s="163"/>
      <c r="BH47" s="151"/>
      <c r="BI47" s="163"/>
      <c r="BJ47" s="163"/>
      <c r="BK47" s="163"/>
      <c r="BL47" s="163"/>
      <c r="BM47" s="163"/>
      <c r="BN47" s="163"/>
      <c r="BO47" s="163"/>
      <c r="BP47" s="163"/>
    </row>
    <row r="48" spans="2:68">
      <c r="B48" s="162" t="s">
        <v>247</v>
      </c>
      <c r="C48" s="138"/>
      <c r="D48" s="138"/>
      <c r="E48" s="138">
        <f>'Probois 43 - CF'!D70</f>
        <v>3</v>
      </c>
      <c r="F48" s="138"/>
      <c r="G48" s="138">
        <f>'BSB - CF'!D78</f>
        <v>2</v>
      </c>
      <c r="H48" s="138"/>
      <c r="I48" s="138"/>
      <c r="J48" s="138"/>
      <c r="K48" s="138"/>
      <c r="L48" s="138">
        <f>'Probois 43 - CF'!E70</f>
        <v>7</v>
      </c>
      <c r="M48" s="138">
        <v>1</v>
      </c>
      <c r="N48" s="138">
        <f>'BSB - CF'!E78</f>
        <v>6</v>
      </c>
      <c r="O48" s="138">
        <f>'SC des SUCS - CF'!E71</f>
        <v>1</v>
      </c>
      <c r="P48" s="138">
        <f>'SCI - CF'!E61</f>
        <v>-1</v>
      </c>
      <c r="Q48" s="138"/>
      <c r="R48" s="138"/>
      <c r="S48" s="138">
        <f>'Probois 43 - CF'!F70</f>
        <v>2</v>
      </c>
      <c r="T48" s="138">
        <f>'SAS EMB - CF'!E65</f>
        <v>-2</v>
      </c>
      <c r="U48" s="138">
        <f>'BSB - CF'!F78</f>
        <v>-2</v>
      </c>
      <c r="V48" s="138">
        <f>'SC des SUCS - CF'!F71</f>
        <v>1</v>
      </c>
      <c r="W48" s="138">
        <f>'SCI - CF'!F61</f>
        <v>1</v>
      </c>
      <c r="X48" s="138"/>
      <c r="Y48" s="138"/>
      <c r="Z48" s="138">
        <v>8</v>
      </c>
      <c r="AA48" s="138">
        <v>11</v>
      </c>
      <c r="AB48" s="138">
        <v>2</v>
      </c>
      <c r="AC48" s="138"/>
      <c r="AD48" s="138">
        <v>3</v>
      </c>
      <c r="AE48" s="138"/>
      <c r="AF48" s="138"/>
      <c r="AG48" s="138"/>
      <c r="AH48" s="138"/>
      <c r="AI48" s="138"/>
      <c r="AJ48" s="138"/>
      <c r="AK48" s="138"/>
      <c r="AL48" s="138"/>
      <c r="AM48" s="138">
        <v>2</v>
      </c>
      <c r="AN48" s="138"/>
      <c r="AO48" s="138"/>
      <c r="AP48" s="138"/>
      <c r="AQ48" s="138"/>
      <c r="AR48" s="138"/>
      <c r="AS48" s="138"/>
      <c r="AT48" s="138"/>
      <c r="AU48" s="138"/>
      <c r="AV48" s="138">
        <v>2</v>
      </c>
      <c r="AW48" s="138"/>
      <c r="AX48" s="138"/>
      <c r="AY48" s="138"/>
      <c r="AZ48" s="138"/>
      <c r="BA48" s="138"/>
      <c r="BB48" s="138"/>
      <c r="BC48" s="138"/>
      <c r="BD48" s="138"/>
      <c r="BE48" s="138">
        <v>2</v>
      </c>
      <c r="BF48" s="138"/>
      <c r="BG48" s="138"/>
      <c r="BH48" s="138"/>
      <c r="BI48" s="138"/>
      <c r="BJ48" s="138"/>
      <c r="BK48" s="138"/>
      <c r="BL48" s="138"/>
      <c r="BM48" s="138"/>
      <c r="BN48" s="138">
        <v>2</v>
      </c>
      <c r="BO48" s="138"/>
      <c r="BP48" s="138"/>
    </row>
    <row r="49" spans="2:68">
      <c r="B49" s="159" t="s">
        <v>248</v>
      </c>
      <c r="C49" s="160"/>
      <c r="D49" s="160"/>
      <c r="E49" s="160">
        <f>'Probois 43 - CF'!D71</f>
        <v>-54467</v>
      </c>
      <c r="F49" s="160"/>
      <c r="G49" s="160">
        <f>'BSB - CF'!D79</f>
        <v>-223105</v>
      </c>
      <c r="H49" s="160">
        <f>'SC des SUCS - CF'!D72</f>
        <v>480825</v>
      </c>
      <c r="I49" s="160"/>
      <c r="J49" s="160">
        <f>SUM(E49:I49)</f>
        <v>203253</v>
      </c>
      <c r="K49" s="160"/>
      <c r="L49" s="160">
        <f>L46+L35+L28+L48</f>
        <v>-147843</v>
      </c>
      <c r="M49" s="160">
        <f t="shared" ref="M49:P49" si="77">M46+M35+M28+M48</f>
        <v>-70735</v>
      </c>
      <c r="N49" s="160">
        <f t="shared" si="77"/>
        <v>34087</v>
      </c>
      <c r="O49" s="160">
        <f t="shared" si="77"/>
        <v>-269772</v>
      </c>
      <c r="P49" s="160">
        <f t="shared" si="77"/>
        <v>7090</v>
      </c>
      <c r="Q49" s="160">
        <f>SUM(L49:P49)</f>
        <v>-447173</v>
      </c>
      <c r="R49" s="160"/>
      <c r="S49" s="160">
        <f>S46+S35+S28+S48</f>
        <v>205137</v>
      </c>
      <c r="T49" s="160">
        <f>T46+T35+T28+T48</f>
        <v>139259</v>
      </c>
      <c r="U49" s="160">
        <f>U46+U35+U28+U48</f>
        <v>49088</v>
      </c>
      <c r="V49" s="160">
        <f>'SC des SUCS - CF'!F72</f>
        <v>51021</v>
      </c>
      <c r="W49" s="160">
        <f>'SCI - CF'!F62</f>
        <v>12418</v>
      </c>
      <c r="X49" s="160">
        <f>SUM(S49:W49)</f>
        <v>456923</v>
      </c>
      <c r="Y49" s="160"/>
      <c r="Z49" s="160">
        <f>Z46+Z35+Z28+Z48</f>
        <v>-104348</v>
      </c>
      <c r="AA49" s="160">
        <f>AA46+AA35+AA28+AA48</f>
        <v>-81294</v>
      </c>
      <c r="AB49" s="160">
        <f>AB46+AB35+AB28+AB48</f>
        <v>121652</v>
      </c>
      <c r="AC49" s="160">
        <f>AC46+AC35+AC28+AC48</f>
        <v>49201</v>
      </c>
      <c r="AD49" s="160">
        <f>AD46+AD35+AD28+AD48</f>
        <v>10931</v>
      </c>
      <c r="AE49" s="160">
        <f>SUM(Z49:AD49)</f>
        <v>-3858</v>
      </c>
      <c r="AF49" s="160"/>
      <c r="AG49" s="160"/>
      <c r="AH49" s="160">
        <f t="shared" ref="AH49:AM49" si="78">AH46+AH35+AH28+AH48</f>
        <v>55778.75</v>
      </c>
      <c r="AI49" s="160">
        <f t="shared" si="78"/>
        <v>75910.262499999983</v>
      </c>
      <c r="AJ49" s="160">
        <f t="shared" si="78"/>
        <v>-69933.057500000054</v>
      </c>
      <c r="AK49" s="160">
        <f t="shared" si="78"/>
        <v>50000</v>
      </c>
      <c r="AL49" s="160">
        <f t="shared" si="78"/>
        <v>-177750</v>
      </c>
      <c r="AM49" s="160">
        <f t="shared" si="78"/>
        <v>11644</v>
      </c>
      <c r="AN49" s="160">
        <f t="shared" ref="AN49" si="79">AN46+AN35+AN28+AN48</f>
        <v>1000</v>
      </c>
      <c r="AO49" s="160">
        <f>SUM(AH49:AN49)</f>
        <v>-53350.045000000071</v>
      </c>
      <c r="AP49" s="160"/>
      <c r="AQ49" s="160">
        <f t="shared" ref="AQ49:AW49" si="80">AQ46+AQ35+AQ28+AQ48</f>
        <v>17975.570000000007</v>
      </c>
      <c r="AR49" s="160">
        <f t="shared" si="80"/>
        <v>53096.271785714198</v>
      </c>
      <c r="AS49" s="160">
        <f t="shared" si="80"/>
        <v>-62366.420000000042</v>
      </c>
      <c r="AT49" s="160">
        <f t="shared" si="80"/>
        <v>409888.41958396754</v>
      </c>
      <c r="AU49" s="160">
        <f t="shared" si="80"/>
        <v>-172844</v>
      </c>
      <c r="AV49" s="160">
        <f t="shared" si="80"/>
        <v>11644</v>
      </c>
      <c r="AW49" s="160">
        <f t="shared" si="80"/>
        <v>11856</v>
      </c>
      <c r="AX49" s="160">
        <f>SUM(AQ49:AW49)</f>
        <v>269249.8413696817</v>
      </c>
      <c r="AY49" s="160"/>
      <c r="AZ49" s="160">
        <f t="shared" ref="AZ49:BF49" si="81">AZ46+AZ35+AZ28+AZ48</f>
        <v>61437.629999999976</v>
      </c>
      <c r="BA49" s="160">
        <f t="shared" si="81"/>
        <v>81434.121785714233</v>
      </c>
      <c r="BB49" s="160">
        <f t="shared" si="81"/>
        <v>16597.382500000007</v>
      </c>
      <c r="BC49" s="160">
        <f t="shared" si="81"/>
        <v>-293750.96443162725</v>
      </c>
      <c r="BD49" s="160">
        <f t="shared" si="81"/>
        <v>-172124</v>
      </c>
      <c r="BE49" s="160">
        <f t="shared" si="81"/>
        <v>11644</v>
      </c>
      <c r="BF49" s="160">
        <f t="shared" si="81"/>
        <v>12856</v>
      </c>
      <c r="BG49" s="160">
        <f>SUM(AZ49:BF49)</f>
        <v>-281905.83014591306</v>
      </c>
      <c r="BH49" s="160"/>
      <c r="BI49" s="160">
        <f t="shared" ref="BI49:BO49" si="82">BI46+BI35+BI28+BI48</f>
        <v>97989.109999999986</v>
      </c>
      <c r="BJ49" s="160">
        <f t="shared" si="82"/>
        <v>90368.701785714191</v>
      </c>
      <c r="BK49" s="160">
        <f t="shared" si="82"/>
        <v>81533.115000000049</v>
      </c>
      <c r="BL49" s="160">
        <f t="shared" si="82"/>
        <v>187257.45205479459</v>
      </c>
      <c r="BM49" s="160">
        <f t="shared" si="82"/>
        <v>-168174</v>
      </c>
      <c r="BN49" s="160">
        <f t="shared" si="82"/>
        <v>11644</v>
      </c>
      <c r="BO49" s="160">
        <f t="shared" si="82"/>
        <v>12856</v>
      </c>
      <c r="BP49" s="160">
        <f>SUM(BI49:BO49)</f>
        <v>313474.37884050881</v>
      </c>
    </row>
    <row r="50" spans="2:68"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</row>
    <row r="51" spans="2:68">
      <c r="B51" s="151" t="s">
        <v>249</v>
      </c>
      <c r="C51" s="152"/>
      <c r="D51" s="152"/>
      <c r="E51" s="152">
        <f>'Probois 43 - CF'!D73</f>
        <v>323732</v>
      </c>
      <c r="F51" s="152"/>
      <c r="G51" s="152">
        <f>'BSB - CF'!D81</f>
        <v>261314</v>
      </c>
      <c r="H51" s="152">
        <f>'SC des SUCS - CF'!D74</f>
        <v>89776</v>
      </c>
      <c r="I51" s="152"/>
      <c r="J51" s="152">
        <f>SUM(E51:I51)</f>
        <v>674822</v>
      </c>
      <c r="K51" s="152"/>
      <c r="L51" s="152">
        <f>'Probois 43 - CF'!E73</f>
        <v>269265</v>
      </c>
      <c r="M51" s="152">
        <f>'SAS EMB - CF'!D68</f>
        <v>125296</v>
      </c>
      <c r="N51" s="152">
        <f>'BSB - CF'!E81</f>
        <v>38209</v>
      </c>
      <c r="O51" s="152">
        <f>'SC des SUCS - CF'!E74</f>
        <v>570601</v>
      </c>
      <c r="P51" s="152">
        <f>'SCI - CF'!E64</f>
        <v>7908</v>
      </c>
      <c r="Q51" s="152">
        <f>SUM(L51:P51)</f>
        <v>1011279</v>
      </c>
      <c r="R51" s="152"/>
      <c r="S51" s="152">
        <f>'Probois 43 - CF'!F73</f>
        <v>121422</v>
      </c>
      <c r="T51" s="152">
        <f>'SAS EMB - CF'!E68</f>
        <v>54561</v>
      </c>
      <c r="U51" s="152">
        <f>'BSB - CF'!F81</f>
        <v>72296</v>
      </c>
      <c r="V51" s="152">
        <f>'SC des SUCS - CF'!F74</f>
        <v>300829</v>
      </c>
      <c r="W51" s="152">
        <f>'SCI - CF'!F64</f>
        <v>14998</v>
      </c>
      <c r="X51" s="152">
        <f>SUM(S51:W51)</f>
        <v>564106</v>
      </c>
      <c r="Y51" s="152"/>
      <c r="Z51" s="152">
        <f>S52</f>
        <v>326559</v>
      </c>
      <c r="AA51" s="152">
        <f>T52</f>
        <v>193820</v>
      </c>
      <c r="AB51" s="152">
        <f>U52</f>
        <v>121384</v>
      </c>
      <c r="AC51" s="152">
        <f>V52</f>
        <v>351850</v>
      </c>
      <c r="AD51" s="152">
        <f>W52</f>
        <v>27416</v>
      </c>
      <c r="AE51" s="152">
        <f>SUM(Z51:AD51)</f>
        <v>1021029</v>
      </c>
      <c r="AF51" s="152"/>
      <c r="AG51" s="152"/>
      <c r="AH51" s="152">
        <f>Z52</f>
        <v>222211</v>
      </c>
      <c r="AI51" s="152">
        <f>AA52</f>
        <v>112526</v>
      </c>
      <c r="AJ51" s="152">
        <f>AB52</f>
        <v>243036</v>
      </c>
      <c r="AK51" s="152">
        <f>'BSB - CF'!U81</f>
        <v>0</v>
      </c>
      <c r="AL51" s="152">
        <f>AC52</f>
        <v>401051</v>
      </c>
      <c r="AM51" s="152">
        <f>AD52</f>
        <v>38347</v>
      </c>
      <c r="AN51" s="152">
        <f>'BSB - CF'!X81</f>
        <v>0</v>
      </c>
      <c r="AO51" s="152">
        <f>SUM(AH51:AN51)</f>
        <v>1017171</v>
      </c>
      <c r="AP51" s="152"/>
      <c r="AQ51" s="152">
        <f t="shared" ref="AQ51:AW51" si="83">AH52</f>
        <v>277989.75</v>
      </c>
      <c r="AR51" s="152">
        <f t="shared" si="83"/>
        <v>188436.26249999998</v>
      </c>
      <c r="AS51" s="152">
        <f t="shared" si="83"/>
        <v>173102.94249999995</v>
      </c>
      <c r="AT51" s="152">
        <f t="shared" si="83"/>
        <v>50000</v>
      </c>
      <c r="AU51" s="152">
        <f t="shared" si="83"/>
        <v>223301</v>
      </c>
      <c r="AV51" s="152">
        <f t="shared" si="83"/>
        <v>49991</v>
      </c>
      <c r="AW51" s="152">
        <f t="shared" si="83"/>
        <v>1000</v>
      </c>
      <c r="AX51" s="152">
        <f>SUM(AQ51:AW51)</f>
        <v>963820.95499999984</v>
      </c>
      <c r="AY51" s="152"/>
      <c r="AZ51" s="152">
        <f t="shared" ref="AZ51:BF51" si="84">AQ52</f>
        <v>295965.32</v>
      </c>
      <c r="BA51" s="152">
        <f t="shared" si="84"/>
        <v>241532.53428571418</v>
      </c>
      <c r="BB51" s="152">
        <f t="shared" si="84"/>
        <v>110736.5224999999</v>
      </c>
      <c r="BC51" s="152">
        <f t="shared" si="84"/>
        <v>459888.41958396754</v>
      </c>
      <c r="BD51" s="152">
        <f t="shared" si="84"/>
        <v>50457</v>
      </c>
      <c r="BE51" s="152">
        <f t="shared" si="84"/>
        <v>61635</v>
      </c>
      <c r="BF51" s="152">
        <f t="shared" si="84"/>
        <v>12856</v>
      </c>
      <c r="BG51" s="152">
        <f>SUM(AZ51:BF51)</f>
        <v>1233070.7963696816</v>
      </c>
      <c r="BH51" s="152"/>
      <c r="BI51" s="152">
        <f t="shared" ref="BI51:BO51" si="85">AZ52</f>
        <v>357402.94999999995</v>
      </c>
      <c r="BJ51" s="152">
        <f t="shared" si="85"/>
        <v>322966.65607142844</v>
      </c>
      <c r="BK51" s="152">
        <f t="shared" si="85"/>
        <v>127333.90499999991</v>
      </c>
      <c r="BL51" s="152">
        <f t="shared" si="85"/>
        <v>166137.45515234029</v>
      </c>
      <c r="BM51" s="152">
        <f t="shared" si="85"/>
        <v>-121667</v>
      </c>
      <c r="BN51" s="152">
        <f t="shared" si="85"/>
        <v>73279</v>
      </c>
      <c r="BO51" s="152">
        <f t="shared" si="85"/>
        <v>25712</v>
      </c>
      <c r="BP51" s="152">
        <f>SUM(BI51:BO51)</f>
        <v>951164.96622376866</v>
      </c>
    </row>
    <row r="52" spans="2:68">
      <c r="B52" s="159" t="s">
        <v>250</v>
      </c>
      <c r="C52" s="160">
        <f>'BSB - Bilan'!C18</f>
        <v>261314</v>
      </c>
      <c r="D52" s="160"/>
      <c r="E52" s="160">
        <f>E51+E49</f>
        <v>269265</v>
      </c>
      <c r="F52" s="160">
        <f>'SAS EMB - CF'!C69</f>
        <v>125296</v>
      </c>
      <c r="G52" s="160">
        <f>G51+G49</f>
        <v>38209</v>
      </c>
      <c r="H52" s="160">
        <f>H51+H49+H48</f>
        <v>570601</v>
      </c>
      <c r="I52" s="160">
        <f>'SCI - CF'!D65</f>
        <v>7908</v>
      </c>
      <c r="J52" s="160">
        <f>SUM(E52:I52)</f>
        <v>1011279</v>
      </c>
      <c r="K52" s="160"/>
      <c r="L52" s="160">
        <f>L51+L49</f>
        <v>121422</v>
      </c>
      <c r="M52" s="160">
        <f>M51+M49</f>
        <v>54561</v>
      </c>
      <c r="N52" s="160">
        <f>N51+N49</f>
        <v>72296</v>
      </c>
      <c r="O52" s="160">
        <f>O51+O49+O48</f>
        <v>300830</v>
      </c>
      <c r="P52" s="160">
        <f>P51+P49+P48</f>
        <v>14997</v>
      </c>
      <c r="Q52" s="160">
        <f>SUM(L52:P52)</f>
        <v>564106</v>
      </c>
      <c r="R52" s="160"/>
      <c r="S52" s="160">
        <f>S51+S49</f>
        <v>326559</v>
      </c>
      <c r="T52" s="160">
        <f>T51+T49</f>
        <v>193820</v>
      </c>
      <c r="U52" s="160">
        <f>U51+U49</f>
        <v>121384</v>
      </c>
      <c r="V52" s="160">
        <f>V51+V49</f>
        <v>351850</v>
      </c>
      <c r="W52" s="160">
        <f>W51+W49</f>
        <v>27416</v>
      </c>
      <c r="X52" s="160">
        <f>SUM(S52:W52)</f>
        <v>1021029</v>
      </c>
      <c r="Y52" s="160"/>
      <c r="Z52" s="160">
        <f>Z51+Z49</f>
        <v>222211</v>
      </c>
      <c r="AA52" s="160">
        <f>AA51+AA49</f>
        <v>112526</v>
      </c>
      <c r="AB52" s="160">
        <f>AB51+AB49</f>
        <v>243036</v>
      </c>
      <c r="AC52" s="160">
        <f>AC51+AC49</f>
        <v>401051</v>
      </c>
      <c r="AD52" s="160">
        <f>AD51+AD49</f>
        <v>38347</v>
      </c>
      <c r="AE52" s="160">
        <f>SUM(Z52:AD52)</f>
        <v>1017171</v>
      </c>
      <c r="AF52" s="160"/>
      <c r="AG52" s="160"/>
      <c r="AH52" s="160">
        <f t="shared" ref="AH52:AM52" si="86">AH51+AH49</f>
        <v>277989.75</v>
      </c>
      <c r="AI52" s="160">
        <f t="shared" si="86"/>
        <v>188436.26249999998</v>
      </c>
      <c r="AJ52" s="160">
        <f t="shared" si="86"/>
        <v>173102.94249999995</v>
      </c>
      <c r="AK52" s="160">
        <f t="shared" si="86"/>
        <v>50000</v>
      </c>
      <c r="AL52" s="160">
        <f t="shared" si="86"/>
        <v>223301</v>
      </c>
      <c r="AM52" s="160">
        <f t="shared" si="86"/>
        <v>49991</v>
      </c>
      <c r="AN52" s="160">
        <f t="shared" ref="AN52" si="87">AN51+AN49</f>
        <v>1000</v>
      </c>
      <c r="AO52" s="160">
        <f>SUM(AH52:AN52)</f>
        <v>963820.95499999984</v>
      </c>
      <c r="AP52" s="160"/>
      <c r="AQ52" s="160">
        <f t="shared" ref="AQ52:AW52" si="88">AQ51+AQ49</f>
        <v>295965.32</v>
      </c>
      <c r="AR52" s="160">
        <f t="shared" si="88"/>
        <v>241532.53428571418</v>
      </c>
      <c r="AS52" s="160">
        <f t="shared" si="88"/>
        <v>110736.5224999999</v>
      </c>
      <c r="AT52" s="160">
        <f t="shared" si="88"/>
        <v>459888.41958396754</v>
      </c>
      <c r="AU52" s="160">
        <f t="shared" si="88"/>
        <v>50457</v>
      </c>
      <c r="AV52" s="160">
        <f t="shared" si="88"/>
        <v>61635</v>
      </c>
      <c r="AW52" s="160">
        <f t="shared" si="88"/>
        <v>12856</v>
      </c>
      <c r="AX52" s="160">
        <f>SUM(AQ52:AW52)</f>
        <v>1233070.7963696816</v>
      </c>
      <c r="AY52" s="160"/>
      <c r="AZ52" s="160">
        <f t="shared" ref="AZ52:BF52" si="89">AZ51+AZ49</f>
        <v>357402.94999999995</v>
      </c>
      <c r="BA52" s="160">
        <f t="shared" si="89"/>
        <v>322966.65607142844</v>
      </c>
      <c r="BB52" s="160">
        <f t="shared" si="89"/>
        <v>127333.90499999991</v>
      </c>
      <c r="BC52" s="160">
        <f t="shared" si="89"/>
        <v>166137.45515234029</v>
      </c>
      <c r="BD52" s="160">
        <f t="shared" si="89"/>
        <v>-121667</v>
      </c>
      <c r="BE52" s="160">
        <f t="shared" si="89"/>
        <v>73279</v>
      </c>
      <c r="BF52" s="160">
        <f t="shared" si="89"/>
        <v>25712</v>
      </c>
      <c r="BG52" s="160">
        <f>SUM(AZ52:BF52)</f>
        <v>951164.96622376866</v>
      </c>
      <c r="BH52" s="160"/>
      <c r="BI52" s="160">
        <f t="shared" ref="BI52:BO52" si="90">BI51+BI49</f>
        <v>455392.05999999994</v>
      </c>
      <c r="BJ52" s="160">
        <f t="shared" si="90"/>
        <v>413335.35785714263</v>
      </c>
      <c r="BK52" s="160">
        <f t="shared" si="90"/>
        <v>208867.01999999996</v>
      </c>
      <c r="BL52" s="160">
        <f t="shared" si="90"/>
        <v>353394.90720713488</v>
      </c>
      <c r="BM52" s="160">
        <f t="shared" si="90"/>
        <v>-289841</v>
      </c>
      <c r="BN52" s="160">
        <f t="shared" si="90"/>
        <v>84923</v>
      </c>
      <c r="BO52" s="160">
        <f t="shared" si="90"/>
        <v>38568</v>
      </c>
      <c r="BP52" s="160">
        <f>SUM(BI52:BO52)</f>
        <v>1264639.3450642775</v>
      </c>
    </row>
    <row r="53" spans="2:68">
      <c r="B53" s="159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</row>
    <row r="54" spans="2:68">
      <c r="B54" s="168" t="s">
        <v>221</v>
      </c>
      <c r="C54" s="167"/>
      <c r="D54" s="167"/>
      <c r="E54" s="167"/>
      <c r="F54" s="167"/>
      <c r="G54" s="167"/>
      <c r="H54" s="167"/>
      <c r="I54" s="167"/>
      <c r="J54" s="167" t="e">
        <f>IF(ABS(J52-#REF!)&lt;0.1,"Validé","Erreur")</f>
        <v>#REF!</v>
      </c>
      <c r="K54" s="167"/>
      <c r="L54" s="167"/>
      <c r="M54" s="167"/>
      <c r="N54" s="167"/>
      <c r="O54" s="167"/>
      <c r="P54" s="167"/>
      <c r="Q54" s="167" t="e">
        <f>IF(ABS(Q52-#REF!)&lt;0.1,"Validé","Erreur")</f>
        <v>#REF!</v>
      </c>
      <c r="R54" s="167"/>
      <c r="S54" s="167"/>
      <c r="T54" s="167"/>
      <c r="U54" s="167"/>
      <c r="V54" s="167"/>
      <c r="W54" s="167"/>
      <c r="X54" s="167" t="e">
        <f>IF(ABS(X52-#REF!)&lt;0.1,"Validé","Erreur")</f>
        <v>#REF!</v>
      </c>
      <c r="Y54" s="167"/>
      <c r="Z54" s="167"/>
      <c r="AA54" s="167"/>
      <c r="AB54" s="167"/>
      <c r="AC54" s="167"/>
      <c r="AD54" s="167"/>
      <c r="AE54" s="167" t="e">
        <f>IF(ABS(AE52-#REF!)&lt;0.1,"Validé","Erreur")</f>
        <v>#REF!</v>
      </c>
      <c r="AF54" s="167"/>
      <c r="AG54" s="167"/>
      <c r="AH54" s="167"/>
      <c r="AI54" s="167"/>
      <c r="AJ54" s="167"/>
      <c r="AK54" s="167"/>
      <c r="AL54" s="167"/>
      <c r="AM54" s="167"/>
      <c r="AN54" s="167"/>
      <c r="AO54" s="167" t="str">
        <f>IF(ABS(AO52-'Agrégé - Bilan (2)'!AT18)&lt;0.1,"Validé","Erreur")</f>
        <v>Validé</v>
      </c>
      <c r="AP54" s="167"/>
      <c r="AQ54" s="167"/>
      <c r="AR54" s="167"/>
      <c r="AS54" s="167"/>
      <c r="AT54" s="167"/>
      <c r="AU54" s="167"/>
      <c r="AV54" s="167"/>
      <c r="AW54" s="167"/>
      <c r="AX54" s="167" t="str">
        <f>IF(ABS(AX52-'Agrégé - Bilan (2)'!BC18)&lt;0.1,"Validé","Erreur")</f>
        <v>Validé</v>
      </c>
      <c r="AY54" s="167"/>
      <c r="AZ54" s="167"/>
      <c r="BA54" s="167"/>
      <c r="BB54" s="167"/>
      <c r="BC54" s="167"/>
      <c r="BD54" s="167"/>
      <c r="BE54" s="167"/>
      <c r="BF54" s="167"/>
      <c r="BG54" s="167" t="str">
        <f>IF(ABS(BG52-'Agrégé - Bilan (2)'!BL18)&lt;0.1,"Validé","Erreur")</f>
        <v>Validé</v>
      </c>
      <c r="BH54" s="167"/>
      <c r="BI54" s="167"/>
      <c r="BJ54" s="167"/>
      <c r="BK54" s="167"/>
      <c r="BL54" s="167"/>
      <c r="BM54" s="167"/>
      <c r="BN54" s="167"/>
      <c r="BO54" s="167"/>
      <c r="BP54" s="167" t="str">
        <f>IF(ABS(BP52-'Agrégé - Bilan (2)'!BU18)&lt;0.1,"Validé","Erreur")</f>
        <v>Validé</v>
      </c>
    </row>
    <row r="55" spans="2:68"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</row>
    <row r="56" spans="2:68"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</row>
    <row r="57" spans="2:68"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36"/>
      <c r="BL57" s="136"/>
      <c r="BM57" s="136"/>
      <c r="BN57" s="136"/>
      <c r="BO57" s="136"/>
      <c r="BP57" s="136"/>
    </row>
    <row r="58" spans="2:68"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</row>
  </sheetData>
  <mergeCells count="1">
    <mergeCell ref="B2:B4"/>
  </mergeCells>
  <conditionalFormatting sqref="C51:I51 K51:P51 R51:W51 Y51:AD51">
    <cfRule type="containsText" dxfId="33" priority="76" operator="containsText" text="Erreur">
      <formula>NOT(ISERROR(SEARCH("Erreur",C51)))</formula>
    </cfRule>
    <cfRule type="containsText" dxfId="32" priority="75" operator="containsText" text="Validé">
      <formula>NOT(ISERROR(SEARCH("Validé",C51)))</formula>
    </cfRule>
    <cfRule type="containsText" dxfId="31" priority="74" operator="containsText" text="Erreur">
      <formula>NOT(ISERROR(SEARCH("Erreur",C51)))</formula>
    </cfRule>
    <cfRule type="containsText" dxfId="30" priority="73" operator="containsText" text="Equilibré">
      <formula>NOT(ISERROR(SEARCH("Equilibré",C51)))</formula>
    </cfRule>
  </conditionalFormatting>
  <conditionalFormatting sqref="C54:BP54">
    <cfRule type="containsText" dxfId="29" priority="71" operator="containsText" text="Validé">
      <formula>NOT(ISERROR(SEARCH("Validé",C54)))</formula>
    </cfRule>
    <cfRule type="containsText" dxfId="28" priority="72" operator="containsText" text="Erreur">
      <formula>NOT(ISERROR(SEARCH("Erreur",C54)))</formula>
    </cfRule>
  </conditionalFormatting>
  <conditionalFormatting sqref="R51:W51 K51:P51 C51:I51 Y51:AD51">
    <cfRule type="colorScale" priority="77">
      <colorScale>
        <cfvo type="formula" val="&quot;$F$11=$F$26&quot;"/>
        <cfvo type="max"/>
        <color rgb="FF00B050"/>
        <color rgb="FFFF0000"/>
      </colorScale>
    </cfRule>
  </conditionalFormatting>
  <conditionalFormatting sqref="AG51">
    <cfRule type="colorScale" priority="70">
      <colorScale>
        <cfvo type="formula" val="&quot;$F$11=$F$26&quot;"/>
        <cfvo type="max"/>
        <color rgb="FF00B050"/>
        <color rgb="FFFF0000"/>
      </colorScale>
    </cfRule>
    <cfRule type="containsText" dxfId="27" priority="69" operator="containsText" text="Erreur">
      <formula>NOT(ISERROR(SEARCH("Erreur",AG51)))</formula>
    </cfRule>
    <cfRule type="containsText" dxfId="26" priority="68" operator="containsText" text="Validé">
      <formula>NOT(ISERROR(SEARCH("Validé",AG51)))</formula>
    </cfRule>
  </conditionalFormatting>
  <conditionalFormatting sqref="AG51:AP51">
    <cfRule type="containsText" dxfId="25" priority="49" operator="containsText" text="Erreur">
      <formula>NOT(ISERROR(SEARCH("Erreur",AG51)))</formula>
    </cfRule>
  </conditionalFormatting>
  <conditionalFormatting sqref="AG51:BP51">
    <cfRule type="containsText" dxfId="24" priority="1" operator="containsText" text="Equilibré">
      <formula>NOT(ISERROR(SEARCH("Equilibré",AG51)))</formula>
    </cfRule>
  </conditionalFormatting>
  <conditionalFormatting sqref="AH51:AO51">
    <cfRule type="colorScale" priority="50">
      <colorScale>
        <cfvo type="formula" val="&quot;$F$11=$F$26&quot;"/>
        <cfvo type="max"/>
        <color rgb="FF00B050"/>
        <color rgb="FFFF0000"/>
      </colorScale>
    </cfRule>
  </conditionalFormatting>
  <conditionalFormatting sqref="AH51:AP51">
    <cfRule type="containsText" dxfId="23" priority="48" operator="containsText" text="Validé">
      <formula>NOT(ISERROR(SEARCH("Validé",AH51)))</formula>
    </cfRule>
  </conditionalFormatting>
  <conditionalFormatting sqref="AH51:AW51">
    <cfRule type="containsText" dxfId="22" priority="44" operator="containsText" text="Erreur">
      <formula>NOT(ISERROR(SEARCH("Erreur",AH51)))</formula>
    </cfRule>
  </conditionalFormatting>
  <conditionalFormatting sqref="AP51">
    <cfRule type="colorScale" priority="65">
      <colorScale>
        <cfvo type="formula" val="&quot;$F$11=$F$26&quot;"/>
        <cfvo type="max"/>
        <color rgb="FF00B050"/>
        <color rgb="FFFF0000"/>
      </colorScale>
    </cfRule>
  </conditionalFormatting>
  <conditionalFormatting sqref="AQ51:AW51">
    <cfRule type="containsText" dxfId="21" priority="43" operator="containsText" text="Validé">
      <formula>NOT(ISERROR(SEARCH("Validé",AQ51)))</formula>
    </cfRule>
    <cfRule type="colorScale" priority="45">
      <colorScale>
        <cfvo type="formula" val="&quot;$F$11=$F$26&quot;"/>
        <cfvo type="max"/>
        <color rgb="FF00B050"/>
        <color rgb="FFFF0000"/>
      </colorScale>
    </cfRule>
  </conditionalFormatting>
  <conditionalFormatting sqref="AQ51:AX51">
    <cfRule type="containsText" dxfId="20" priority="24" operator="containsText" text="Erreur">
      <formula>NOT(ISERROR(SEARCH("Erreur",AQ51)))</formula>
    </cfRule>
  </conditionalFormatting>
  <conditionalFormatting sqref="AX51">
    <cfRule type="containsText" dxfId="19" priority="22" operator="containsText" text="Erreur">
      <formula>NOT(ISERROR(SEARCH("Erreur",AX51)))</formula>
    </cfRule>
    <cfRule type="colorScale" priority="25">
      <colorScale>
        <cfvo type="formula" val="&quot;$F$11=$F$26&quot;"/>
        <cfvo type="max"/>
        <color rgb="FF00B050"/>
        <color rgb="FFFF0000"/>
      </colorScale>
    </cfRule>
    <cfRule type="containsText" dxfId="18" priority="23" operator="containsText" text="Validé">
      <formula>NOT(ISERROR(SEARCH("Validé",AX51)))</formula>
    </cfRule>
  </conditionalFormatting>
  <conditionalFormatting sqref="AY51">
    <cfRule type="containsText" dxfId="17" priority="58" operator="containsText" text="Validé">
      <formula>NOT(ISERROR(SEARCH("Validé",AY51)))</formula>
    </cfRule>
    <cfRule type="containsText" dxfId="16" priority="59" operator="containsText" text="Erreur">
      <formula>NOT(ISERROR(SEARCH("Erreur",AY51)))</formula>
    </cfRule>
    <cfRule type="colorScale" priority="60">
      <colorScale>
        <cfvo type="formula" val="&quot;$F$11=$F$26&quot;"/>
        <cfvo type="max"/>
        <color rgb="FF00B050"/>
        <color rgb="FFFF0000"/>
      </colorScale>
    </cfRule>
  </conditionalFormatting>
  <conditionalFormatting sqref="AY51:BF51">
    <cfRule type="containsText" dxfId="15" priority="39" operator="containsText" text="Erreur">
      <formula>NOT(ISERROR(SEARCH("Erreur",AY51)))</formula>
    </cfRule>
  </conditionalFormatting>
  <conditionalFormatting sqref="AZ51:BF51">
    <cfRule type="colorScale" priority="40">
      <colorScale>
        <cfvo type="formula" val="&quot;$F$11=$F$26&quot;"/>
        <cfvo type="max"/>
        <color rgb="FF00B050"/>
        <color rgb="FFFF0000"/>
      </colorScale>
    </cfRule>
    <cfRule type="containsText" dxfId="14" priority="38" operator="containsText" text="Validé">
      <formula>NOT(ISERROR(SEARCH("Validé",AZ51)))</formula>
    </cfRule>
  </conditionalFormatting>
  <conditionalFormatting sqref="AZ51:BG51">
    <cfRule type="containsText" dxfId="13" priority="9" operator="containsText" text="Erreur">
      <formula>NOT(ISERROR(SEARCH("Erreur",AZ51)))</formula>
    </cfRule>
  </conditionalFormatting>
  <conditionalFormatting sqref="BG51">
    <cfRule type="containsText" dxfId="12" priority="7" operator="containsText" text="Erreur">
      <formula>NOT(ISERROR(SEARCH("Erreur",BG51)))</formula>
    </cfRule>
    <cfRule type="colorScale" priority="10">
      <colorScale>
        <cfvo type="formula" val="&quot;$F$11=$F$26&quot;"/>
        <cfvo type="max"/>
        <color rgb="FF00B050"/>
        <color rgb="FFFF0000"/>
      </colorScale>
    </cfRule>
    <cfRule type="containsText" dxfId="11" priority="8" operator="containsText" text="Validé">
      <formula>NOT(ISERROR(SEARCH("Validé",BG51)))</formula>
    </cfRule>
  </conditionalFormatting>
  <conditionalFormatting sqref="BH51">
    <cfRule type="containsText" dxfId="10" priority="53" operator="containsText" text="Validé">
      <formula>NOT(ISERROR(SEARCH("Validé",BH51)))</formula>
    </cfRule>
    <cfRule type="containsText" dxfId="9" priority="54" operator="containsText" text="Erreur">
      <formula>NOT(ISERROR(SEARCH("Erreur",BH51)))</formula>
    </cfRule>
    <cfRule type="colorScale" priority="55">
      <colorScale>
        <cfvo type="formula" val="&quot;$F$11=$F$26&quot;"/>
        <cfvo type="max"/>
        <color rgb="FF00B050"/>
        <color rgb="FFFF0000"/>
      </colorScale>
    </cfRule>
  </conditionalFormatting>
  <conditionalFormatting sqref="BH51:BO51">
    <cfRule type="containsText" dxfId="8" priority="34" operator="containsText" text="Erreur">
      <formula>NOT(ISERROR(SEARCH("Erreur",BH51)))</formula>
    </cfRule>
  </conditionalFormatting>
  <conditionalFormatting sqref="BI51:BO51">
    <cfRule type="colorScale" priority="35">
      <colorScale>
        <cfvo type="formula" val="&quot;$F$11=$F$26&quot;"/>
        <cfvo type="max"/>
        <color rgb="FF00B050"/>
        <color rgb="FFFF0000"/>
      </colorScale>
    </cfRule>
    <cfRule type="containsText" dxfId="7" priority="33" operator="containsText" text="Validé">
      <formula>NOT(ISERROR(SEARCH("Validé",BI51)))</formula>
    </cfRule>
  </conditionalFormatting>
  <conditionalFormatting sqref="BI51:BP51">
    <cfRule type="containsText" dxfId="6" priority="4" operator="containsText" text="Erreur">
      <formula>NOT(ISERROR(SEARCH("Erreur",BI51)))</formula>
    </cfRule>
  </conditionalFormatting>
  <conditionalFormatting sqref="BP51">
    <cfRule type="colorScale" priority="5">
      <colorScale>
        <cfvo type="formula" val="&quot;$F$11=$F$26&quot;"/>
        <cfvo type="max"/>
        <color rgb="FF00B050"/>
        <color rgb="FFFF0000"/>
      </colorScale>
    </cfRule>
    <cfRule type="containsText" dxfId="5" priority="3" operator="containsText" text="Validé">
      <formula>NOT(ISERROR(SEARCH("Validé",BP51)))</formula>
    </cfRule>
    <cfRule type="containsText" dxfId="4" priority="2" operator="containsText" text="Erreur">
      <formula>NOT(ISERROR(SEARCH("Erreur",BP51)))</formula>
    </cfRule>
  </conditionalFormatting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AB2B-9428-BA49-B7CF-35CCEFF66E3B}">
  <sheetPr codeName="Feuil54">
    <tabColor theme="9" tint="0.79998168889431442"/>
  </sheetPr>
  <dimension ref="A1:BU67"/>
  <sheetViews>
    <sheetView showGridLines="0" zoomScale="85" zoomScaleNormal="8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AK69" sqref="AK69"/>
    </sheetView>
  </sheetViews>
  <sheetFormatPr baseColWidth="10" defaultColWidth="10.7109375" defaultRowHeight="15.75" outlineLevelCol="1"/>
  <cols>
    <col min="1" max="1" width="2.7109375" style="122" customWidth="1"/>
    <col min="2" max="2" width="40.7109375" style="122" customWidth="1"/>
    <col min="3" max="7" width="15.7109375" style="145" customWidth="1" outlineLevel="1"/>
    <col min="8" max="8" width="15.7109375" style="145" customWidth="1"/>
    <col min="9" max="14" width="15.7109375" style="145" customWidth="1" outlineLevel="1"/>
    <col min="15" max="15" width="15.7109375" style="145" customWidth="1"/>
    <col min="16" max="21" width="15.7109375" style="145" customWidth="1" outlineLevel="1"/>
    <col min="22" max="22" width="15.7109375" style="145" customWidth="1"/>
    <col min="23" max="28" width="15.7109375" style="145" customWidth="1" outlineLevel="1"/>
    <col min="29" max="29" width="15.7109375" style="145" customWidth="1"/>
    <col min="30" max="35" width="15.7109375" style="145" customWidth="1" outlineLevel="1"/>
    <col min="36" max="37" width="15.7109375" style="145" customWidth="1"/>
    <col min="38" max="45" width="15.7109375" style="145" customWidth="1" outlineLevel="1"/>
    <col min="46" max="46" width="15.7109375" style="145" customWidth="1"/>
    <col min="47" max="54" width="15.7109375" style="145" customWidth="1" outlineLevel="1"/>
    <col min="55" max="55" width="15.7109375" style="145" customWidth="1"/>
    <col min="56" max="63" width="15.7109375" style="145" customWidth="1" outlineLevel="1"/>
    <col min="64" max="64" width="15.7109375" style="145" customWidth="1"/>
    <col min="65" max="72" width="15.7109375" style="145" customWidth="1" outlineLevel="1"/>
    <col min="73" max="73" width="15.7109375" style="145" customWidth="1"/>
    <col min="74" max="16384" width="10.7109375" style="122"/>
  </cols>
  <sheetData>
    <row r="1" spans="2:73">
      <c r="C1" s="181" t="s">
        <v>261</v>
      </c>
      <c r="D1" s="181" t="s">
        <v>261</v>
      </c>
      <c r="E1" s="181" t="s">
        <v>261</v>
      </c>
      <c r="F1" s="181" t="s">
        <v>261</v>
      </c>
      <c r="G1" s="181" t="s">
        <v>261</v>
      </c>
      <c r="H1" s="181" t="s">
        <v>261</v>
      </c>
      <c r="J1" s="181" t="s">
        <v>261</v>
      </c>
      <c r="K1" s="181" t="s">
        <v>261</v>
      </c>
      <c r="L1" s="181" t="s">
        <v>261</v>
      </c>
      <c r="M1" s="181" t="s">
        <v>261</v>
      </c>
      <c r="N1" s="181" t="s">
        <v>261</v>
      </c>
      <c r="O1" s="181" t="s">
        <v>261</v>
      </c>
      <c r="Q1" s="181" t="s">
        <v>261</v>
      </c>
      <c r="R1" s="181" t="s">
        <v>261</v>
      </c>
      <c r="S1" s="181" t="s">
        <v>261</v>
      </c>
      <c r="T1" s="181" t="s">
        <v>261</v>
      </c>
      <c r="U1" s="181" t="s">
        <v>261</v>
      </c>
      <c r="V1" s="181" t="s">
        <v>261</v>
      </c>
      <c r="X1" s="181" t="s">
        <v>261</v>
      </c>
      <c r="Y1" s="181" t="s">
        <v>261</v>
      </c>
      <c r="Z1" s="181" t="s">
        <v>261</v>
      </c>
      <c r="AA1" s="181" t="s">
        <v>261</v>
      </c>
      <c r="AB1" s="181" t="s">
        <v>261</v>
      </c>
      <c r="AC1" s="181" t="s">
        <v>261</v>
      </c>
      <c r="AD1" s="246"/>
      <c r="AE1" s="181" t="s">
        <v>261</v>
      </c>
      <c r="AF1" s="181" t="s">
        <v>261</v>
      </c>
      <c r="AG1" s="181" t="s">
        <v>261</v>
      </c>
      <c r="AH1" s="181" t="s">
        <v>261</v>
      </c>
      <c r="AI1" s="181" t="s">
        <v>261</v>
      </c>
      <c r="AJ1" s="181" t="s">
        <v>261</v>
      </c>
      <c r="AK1" s="246"/>
      <c r="AL1" s="246"/>
      <c r="AM1" s="181" t="s">
        <v>893</v>
      </c>
      <c r="AN1" s="181" t="s">
        <v>893</v>
      </c>
      <c r="AO1" s="181" t="s">
        <v>893</v>
      </c>
      <c r="AP1" s="181" t="s">
        <v>893</v>
      </c>
      <c r="AQ1" s="181" t="s">
        <v>893</v>
      </c>
      <c r="AR1" s="181" t="s">
        <v>893</v>
      </c>
      <c r="AS1" s="181" t="s">
        <v>893</v>
      </c>
      <c r="AT1" s="181" t="s">
        <v>893</v>
      </c>
      <c r="AU1" s="246"/>
      <c r="AV1" s="181" t="s">
        <v>893</v>
      </c>
      <c r="AW1" s="181" t="s">
        <v>893</v>
      </c>
      <c r="AX1" s="181" t="s">
        <v>893</v>
      </c>
      <c r="AY1" s="181" t="s">
        <v>893</v>
      </c>
      <c r="AZ1" s="181" t="s">
        <v>893</v>
      </c>
      <c r="BA1" s="181" t="s">
        <v>893</v>
      </c>
      <c r="BB1" s="181" t="s">
        <v>893</v>
      </c>
      <c r="BC1" s="181" t="s">
        <v>893</v>
      </c>
      <c r="BD1" s="246"/>
      <c r="BE1" s="181" t="s">
        <v>893</v>
      </c>
      <c r="BF1" s="181" t="s">
        <v>893</v>
      </c>
      <c r="BG1" s="181" t="s">
        <v>893</v>
      </c>
      <c r="BH1" s="181" t="s">
        <v>893</v>
      </c>
      <c r="BI1" s="181" t="s">
        <v>893</v>
      </c>
      <c r="BJ1" s="181" t="s">
        <v>893</v>
      </c>
      <c r="BK1" s="181" t="s">
        <v>893</v>
      </c>
      <c r="BL1" s="181" t="s">
        <v>893</v>
      </c>
      <c r="BM1" s="246"/>
      <c r="BN1" s="181" t="s">
        <v>893</v>
      </c>
      <c r="BO1" s="181" t="s">
        <v>893</v>
      </c>
      <c r="BP1" s="181" t="s">
        <v>893</v>
      </c>
      <c r="BQ1" s="181" t="s">
        <v>893</v>
      </c>
      <c r="BR1" s="181" t="s">
        <v>893</v>
      </c>
      <c r="BS1" s="181" t="s">
        <v>893</v>
      </c>
      <c r="BT1" s="181" t="s">
        <v>893</v>
      </c>
      <c r="BU1" s="181" t="s">
        <v>893</v>
      </c>
    </row>
    <row r="2" spans="2:73">
      <c r="B2" s="344" t="s">
        <v>192</v>
      </c>
      <c r="C2" s="251" t="s">
        <v>664</v>
      </c>
      <c r="D2" s="251" t="s">
        <v>894</v>
      </c>
      <c r="E2" s="251" t="s">
        <v>274</v>
      </c>
      <c r="F2" s="251" t="s">
        <v>665</v>
      </c>
      <c r="G2" s="251" t="s">
        <v>723</v>
      </c>
      <c r="H2" s="251" t="s">
        <v>662</v>
      </c>
      <c r="I2" s="193"/>
      <c r="J2" s="251" t="s">
        <v>664</v>
      </c>
      <c r="K2" s="251" t="s">
        <v>894</v>
      </c>
      <c r="L2" s="251" t="s">
        <v>274</v>
      </c>
      <c r="M2" s="251" t="s">
        <v>665</v>
      </c>
      <c r="N2" s="251" t="s">
        <v>723</v>
      </c>
      <c r="O2" s="251" t="s">
        <v>662</v>
      </c>
      <c r="P2" s="193"/>
      <c r="Q2" s="251" t="s">
        <v>664</v>
      </c>
      <c r="R2" s="251" t="s">
        <v>894</v>
      </c>
      <c r="S2" s="251" t="s">
        <v>274</v>
      </c>
      <c r="T2" s="251" t="s">
        <v>665</v>
      </c>
      <c r="U2" s="251" t="s">
        <v>723</v>
      </c>
      <c r="V2" s="251" t="s">
        <v>662</v>
      </c>
      <c r="W2" s="193"/>
      <c r="X2" s="251" t="s">
        <v>664</v>
      </c>
      <c r="Y2" s="251" t="s">
        <v>894</v>
      </c>
      <c r="Z2" s="251" t="s">
        <v>274</v>
      </c>
      <c r="AA2" s="251" t="s">
        <v>665</v>
      </c>
      <c r="AB2" s="251" t="s">
        <v>723</v>
      </c>
      <c r="AC2" s="251" t="s">
        <v>662</v>
      </c>
      <c r="AD2" s="255"/>
      <c r="AE2" s="251" t="s">
        <v>664</v>
      </c>
      <c r="AF2" s="251" t="s">
        <v>894</v>
      </c>
      <c r="AG2" s="251" t="s">
        <v>274</v>
      </c>
      <c r="AH2" s="251" t="s">
        <v>665</v>
      </c>
      <c r="AI2" s="251" t="s">
        <v>723</v>
      </c>
      <c r="AJ2" s="251" t="s">
        <v>662</v>
      </c>
      <c r="AK2" s="255"/>
      <c r="AL2" s="255"/>
      <c r="AM2" s="251" t="s">
        <v>664</v>
      </c>
      <c r="AN2" s="251" t="s">
        <v>894</v>
      </c>
      <c r="AO2" s="251" t="s">
        <v>274</v>
      </c>
      <c r="AP2" s="251" t="s">
        <v>830</v>
      </c>
      <c r="AQ2" s="251" t="s">
        <v>665</v>
      </c>
      <c r="AR2" s="251" t="s">
        <v>723</v>
      </c>
      <c r="AS2" s="251" t="s">
        <v>922</v>
      </c>
      <c r="AT2" s="251" t="s">
        <v>662</v>
      </c>
      <c r="AU2" s="255"/>
      <c r="AV2" s="251" t="s">
        <v>664</v>
      </c>
      <c r="AW2" s="251" t="s">
        <v>894</v>
      </c>
      <c r="AX2" s="251" t="s">
        <v>274</v>
      </c>
      <c r="AY2" s="251" t="s">
        <v>830</v>
      </c>
      <c r="AZ2" s="251" t="s">
        <v>665</v>
      </c>
      <c r="BA2" s="251" t="s">
        <v>723</v>
      </c>
      <c r="BB2" s="251" t="s">
        <v>922</v>
      </c>
      <c r="BC2" s="251" t="s">
        <v>662</v>
      </c>
      <c r="BD2" s="255"/>
      <c r="BE2" s="251" t="s">
        <v>664</v>
      </c>
      <c r="BF2" s="251" t="s">
        <v>894</v>
      </c>
      <c r="BG2" s="251" t="s">
        <v>274</v>
      </c>
      <c r="BH2" s="251" t="s">
        <v>830</v>
      </c>
      <c r="BI2" s="251" t="s">
        <v>665</v>
      </c>
      <c r="BJ2" s="251" t="s">
        <v>723</v>
      </c>
      <c r="BK2" s="251" t="s">
        <v>922</v>
      </c>
      <c r="BL2" s="251" t="s">
        <v>662</v>
      </c>
      <c r="BM2" s="255"/>
      <c r="BN2" s="251" t="s">
        <v>664</v>
      </c>
      <c r="BO2" s="251" t="s">
        <v>894</v>
      </c>
      <c r="BP2" s="251" t="s">
        <v>274</v>
      </c>
      <c r="BQ2" s="251" t="s">
        <v>830</v>
      </c>
      <c r="BR2" s="251" t="s">
        <v>665</v>
      </c>
      <c r="BS2" s="251" t="s">
        <v>723</v>
      </c>
      <c r="BT2" s="251" t="s">
        <v>922</v>
      </c>
      <c r="BU2" s="251" t="s">
        <v>662</v>
      </c>
    </row>
    <row r="3" spans="2:73" s="214" customFormat="1" ht="21.95" customHeight="1">
      <c r="B3" s="344"/>
      <c r="C3" s="248">
        <v>44074</v>
      </c>
      <c r="D3" s="248">
        <v>44074</v>
      </c>
      <c r="E3" s="248">
        <v>44074</v>
      </c>
      <c r="F3" s="248">
        <v>44196</v>
      </c>
      <c r="G3" s="248">
        <v>44196</v>
      </c>
      <c r="H3" s="248">
        <v>44074</v>
      </c>
      <c r="I3" s="244"/>
      <c r="J3" s="248">
        <v>44439</v>
      </c>
      <c r="K3" s="248">
        <v>44439</v>
      </c>
      <c r="L3" s="248">
        <v>44439</v>
      </c>
      <c r="M3" s="248">
        <v>44561</v>
      </c>
      <c r="N3" s="248">
        <v>44561</v>
      </c>
      <c r="O3" s="248">
        <v>44439</v>
      </c>
      <c r="P3" s="244"/>
      <c r="Q3" s="248">
        <v>44804</v>
      </c>
      <c r="R3" s="248">
        <v>44804</v>
      </c>
      <c r="S3" s="248">
        <v>44804</v>
      </c>
      <c r="T3" s="248">
        <v>44926</v>
      </c>
      <c r="U3" s="248">
        <v>44926</v>
      </c>
      <c r="V3" s="248">
        <v>44804</v>
      </c>
      <c r="W3" s="244"/>
      <c r="X3" s="248">
        <v>45169</v>
      </c>
      <c r="Y3" s="248">
        <v>45169</v>
      </c>
      <c r="Z3" s="248">
        <v>45169</v>
      </c>
      <c r="AA3" s="248">
        <v>45291</v>
      </c>
      <c r="AB3" s="248">
        <v>45291</v>
      </c>
      <c r="AC3" s="248">
        <v>45169</v>
      </c>
      <c r="AD3" s="248"/>
      <c r="AE3" s="248">
        <v>45535</v>
      </c>
      <c r="AF3" s="248">
        <v>45535</v>
      </c>
      <c r="AG3" s="248">
        <v>45535</v>
      </c>
      <c r="AH3" s="248">
        <v>45657</v>
      </c>
      <c r="AI3" s="248">
        <v>45657</v>
      </c>
      <c r="AJ3" s="248">
        <v>45535</v>
      </c>
      <c r="AK3" s="248"/>
      <c r="AL3" s="248"/>
      <c r="AM3" s="248">
        <v>45900</v>
      </c>
      <c r="AN3" s="248">
        <v>45900</v>
      </c>
      <c r="AO3" s="248">
        <v>45900</v>
      </c>
      <c r="AP3" s="248">
        <v>45900</v>
      </c>
      <c r="AQ3" s="248">
        <v>46022</v>
      </c>
      <c r="AR3" s="248">
        <v>46022</v>
      </c>
      <c r="AS3" s="248">
        <v>46022</v>
      </c>
      <c r="AT3" s="248">
        <v>45900</v>
      </c>
      <c r="AU3" s="248"/>
      <c r="AV3" s="248">
        <v>46265</v>
      </c>
      <c r="AW3" s="248">
        <v>46265</v>
      </c>
      <c r="AX3" s="248">
        <v>46265</v>
      </c>
      <c r="AY3" s="248">
        <v>46265</v>
      </c>
      <c r="AZ3" s="248">
        <v>46387</v>
      </c>
      <c r="BA3" s="248">
        <v>46387</v>
      </c>
      <c r="BB3" s="248">
        <v>46387</v>
      </c>
      <c r="BC3" s="248">
        <v>46265</v>
      </c>
      <c r="BD3" s="248"/>
      <c r="BE3" s="248">
        <v>46630</v>
      </c>
      <c r="BF3" s="248">
        <v>46630</v>
      </c>
      <c r="BG3" s="248">
        <v>46630</v>
      </c>
      <c r="BH3" s="248">
        <v>46630</v>
      </c>
      <c r="BI3" s="248">
        <v>46752</v>
      </c>
      <c r="BJ3" s="248">
        <v>46752</v>
      </c>
      <c r="BK3" s="248">
        <v>46752</v>
      </c>
      <c r="BL3" s="248">
        <v>46630</v>
      </c>
      <c r="BM3" s="248"/>
      <c r="BN3" s="248">
        <v>46996</v>
      </c>
      <c r="BO3" s="248">
        <v>46996</v>
      </c>
      <c r="BP3" s="248">
        <v>46996</v>
      </c>
      <c r="BQ3" s="248">
        <v>46996</v>
      </c>
      <c r="BR3" s="248">
        <v>47118</v>
      </c>
      <c r="BS3" s="248">
        <v>47118</v>
      </c>
      <c r="BT3" s="248">
        <v>47118</v>
      </c>
      <c r="BU3" s="248">
        <v>46996</v>
      </c>
    </row>
    <row r="4" spans="2:73" ht="15" customHeight="1">
      <c r="B4" s="344"/>
      <c r="C4" s="123" t="s">
        <v>3</v>
      </c>
      <c r="D4" s="123" t="s">
        <v>3</v>
      </c>
      <c r="E4" s="123" t="s">
        <v>3</v>
      </c>
      <c r="F4" s="123" t="s">
        <v>3</v>
      </c>
      <c r="G4" s="123" t="s">
        <v>3</v>
      </c>
      <c r="H4" s="123" t="s">
        <v>3</v>
      </c>
      <c r="I4" s="124"/>
      <c r="J4" s="123" t="s">
        <v>3</v>
      </c>
      <c r="K4" s="123" t="s">
        <v>3</v>
      </c>
      <c r="L4" s="123" t="s">
        <v>3</v>
      </c>
      <c r="M4" s="123" t="s">
        <v>3</v>
      </c>
      <c r="N4" s="123" t="s">
        <v>3</v>
      </c>
      <c r="O4" s="123" t="s">
        <v>3</v>
      </c>
      <c r="P4" s="124"/>
      <c r="Q4" s="123" t="s">
        <v>3</v>
      </c>
      <c r="R4" s="123" t="s">
        <v>663</v>
      </c>
      <c r="S4" s="123" t="s">
        <v>3</v>
      </c>
      <c r="T4" s="123" t="s">
        <v>3</v>
      </c>
      <c r="U4" s="123" t="s">
        <v>3</v>
      </c>
      <c r="V4" s="123" t="s">
        <v>3</v>
      </c>
      <c r="W4" s="124"/>
      <c r="X4" s="123" t="s">
        <v>3</v>
      </c>
      <c r="Y4" s="123" t="s">
        <v>3</v>
      </c>
      <c r="Z4" s="123" t="s">
        <v>3</v>
      </c>
      <c r="AA4" s="123" t="s">
        <v>3</v>
      </c>
      <c r="AB4" s="123" t="s">
        <v>3</v>
      </c>
      <c r="AC4" s="123" t="s">
        <v>3</v>
      </c>
      <c r="AD4" s="121"/>
      <c r="AE4" s="123" t="s">
        <v>3</v>
      </c>
      <c r="AF4" s="123" t="s">
        <v>3</v>
      </c>
      <c r="AG4" s="123" t="s">
        <v>3</v>
      </c>
      <c r="AH4" s="123" t="s">
        <v>3</v>
      </c>
      <c r="AI4" s="123" t="s">
        <v>3</v>
      </c>
      <c r="AJ4" s="124" t="s">
        <v>3</v>
      </c>
      <c r="AK4" s="218"/>
      <c r="AL4" s="121"/>
      <c r="AM4" s="123" t="s">
        <v>3</v>
      </c>
      <c r="AN4" s="123" t="s">
        <v>3</v>
      </c>
      <c r="AO4" s="123" t="s">
        <v>3</v>
      </c>
      <c r="AP4" s="123" t="s">
        <v>3</v>
      </c>
      <c r="AQ4" s="123" t="s">
        <v>3</v>
      </c>
      <c r="AR4" s="123" t="s">
        <v>3</v>
      </c>
      <c r="AS4" s="123" t="s">
        <v>3</v>
      </c>
      <c r="AT4" s="124" t="s">
        <v>3</v>
      </c>
      <c r="AU4" s="121"/>
      <c r="AV4" s="123" t="s">
        <v>3</v>
      </c>
      <c r="AW4" s="123" t="s">
        <v>3</v>
      </c>
      <c r="AX4" s="123" t="s">
        <v>3</v>
      </c>
      <c r="AY4" s="123" t="s">
        <v>3</v>
      </c>
      <c r="AZ4" s="123" t="s">
        <v>3</v>
      </c>
      <c r="BA4" s="123" t="s">
        <v>3</v>
      </c>
      <c r="BB4" s="123" t="s">
        <v>3</v>
      </c>
      <c r="BC4" s="124" t="s">
        <v>3</v>
      </c>
      <c r="BD4" s="121"/>
      <c r="BE4" s="123" t="s">
        <v>3</v>
      </c>
      <c r="BF4" s="123" t="s">
        <v>3</v>
      </c>
      <c r="BG4" s="123" t="s">
        <v>3</v>
      </c>
      <c r="BH4" s="123" t="s">
        <v>3</v>
      </c>
      <c r="BI4" s="123" t="s">
        <v>3</v>
      </c>
      <c r="BJ4" s="123" t="s">
        <v>3</v>
      </c>
      <c r="BK4" s="123" t="s">
        <v>3</v>
      </c>
      <c r="BL4" s="124" t="s">
        <v>3</v>
      </c>
      <c r="BM4" s="121"/>
      <c r="BN4" s="123" t="s">
        <v>3</v>
      </c>
      <c r="BO4" s="123" t="s">
        <v>3</v>
      </c>
      <c r="BP4" s="123" t="s">
        <v>3</v>
      </c>
      <c r="BQ4" s="123" t="s">
        <v>3</v>
      </c>
      <c r="BR4" s="123" t="s">
        <v>3</v>
      </c>
      <c r="BS4" s="123" t="s">
        <v>3</v>
      </c>
      <c r="BT4" s="123" t="s">
        <v>3</v>
      </c>
      <c r="BU4" s="124" t="s">
        <v>3</v>
      </c>
    </row>
    <row r="5" spans="2:73" ht="15" customHeight="1">
      <c r="B5" s="120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</row>
    <row r="6" spans="2:73">
      <c r="B6" s="127" t="s">
        <v>193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</row>
    <row r="7" spans="2:73">
      <c r="B7" s="127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</row>
    <row r="8" spans="2:73">
      <c r="B8" s="130" t="s">
        <v>194</v>
      </c>
      <c r="C8" s="128">
        <f>SUM(C9:C12)</f>
        <v>82005</v>
      </c>
      <c r="D8" s="128">
        <f>SUM(D9:D12)</f>
        <v>0</v>
      </c>
      <c r="E8" s="128">
        <f>SUM(E9:E12)</f>
        <v>353743</v>
      </c>
      <c r="F8" s="128">
        <f>SUM(F9:F12)</f>
        <v>687078</v>
      </c>
      <c r="G8" s="128">
        <f>SUM(G9:G12)</f>
        <v>0</v>
      </c>
      <c r="H8" s="128">
        <f>SUM(C8:G8)</f>
        <v>1122826</v>
      </c>
      <c r="I8" s="128"/>
      <c r="J8" s="128">
        <f>SUM(J9:J12)</f>
        <v>80725</v>
      </c>
      <c r="K8" s="128">
        <f>SUM(K9:K12)</f>
        <v>123835</v>
      </c>
      <c r="L8" s="128">
        <f>SUM(L9:L12)</f>
        <v>399601</v>
      </c>
      <c r="M8" s="128">
        <f>SUM(M9:M12)</f>
        <v>689178</v>
      </c>
      <c r="N8" s="128">
        <f>SUM(N9:N12)</f>
        <v>109279</v>
      </c>
      <c r="O8" s="128">
        <f>SUM(J8:N8)</f>
        <v>1402618</v>
      </c>
      <c r="P8" s="128"/>
      <c r="Q8" s="128">
        <f>SUM(Q9:Q12)</f>
        <v>74277</v>
      </c>
      <c r="R8" s="128">
        <f>SUM(R9:R12)</f>
        <v>106490</v>
      </c>
      <c r="S8" s="128">
        <f>SUM(S9:S12)</f>
        <v>434832</v>
      </c>
      <c r="T8" s="128">
        <f>SUM(T9:T12)</f>
        <v>1200078</v>
      </c>
      <c r="U8" s="128">
        <f>SUM(U9:U12)</f>
        <v>136791</v>
      </c>
      <c r="V8" s="128">
        <f>SUM(Q8:U8)</f>
        <v>1952468</v>
      </c>
      <c r="W8" s="128"/>
      <c r="X8" s="128">
        <f>SUM(X9:X12)</f>
        <v>125960</v>
      </c>
      <c r="Y8" s="128">
        <f>SUM(Y9:Y12)</f>
        <v>115861</v>
      </c>
      <c r="Z8" s="128">
        <f>SUM(Z9:Z12)</f>
        <v>479215</v>
      </c>
      <c r="AA8" s="128">
        <f>SUM(AA9:AA12)</f>
        <v>1562817</v>
      </c>
      <c r="AB8" s="128">
        <f>SUM(AB9:AB12)</f>
        <v>128271</v>
      </c>
      <c r="AC8" s="128">
        <f>SUM(X8:AB8)</f>
        <v>2412124</v>
      </c>
      <c r="AD8" s="128"/>
      <c r="AE8" s="128">
        <f>SUM(AE9:AE12)</f>
        <v>108406</v>
      </c>
      <c r="AF8" s="128">
        <f>SUM(AF9:AF12)</f>
        <v>115347</v>
      </c>
      <c r="AG8" s="128">
        <f>SUM(AG9:AG12)</f>
        <v>626315</v>
      </c>
      <c r="AH8" s="128">
        <f>SUM(AH9:AH12)</f>
        <v>1562816</v>
      </c>
      <c r="AI8" s="128">
        <f>SUM(AI9:AI12)</f>
        <v>119752</v>
      </c>
      <c r="AJ8" s="128">
        <f t="shared" ref="AJ8" si="0">SUM(AJ9:AJ11)</f>
        <v>2532636</v>
      </c>
      <c r="AK8" s="128"/>
      <c r="AL8" s="128"/>
      <c r="AM8" s="128">
        <f t="shared" ref="AM8:AR8" si="1">SUM(AM9:AM12)</f>
        <v>95406</v>
      </c>
      <c r="AN8" s="128">
        <f t="shared" si="1"/>
        <v>115347</v>
      </c>
      <c r="AO8" s="128">
        <f t="shared" si="1"/>
        <v>597315</v>
      </c>
      <c r="AP8" s="128">
        <f t="shared" si="1"/>
        <v>0</v>
      </c>
      <c r="AQ8" s="128">
        <f t="shared" si="1"/>
        <v>1562816</v>
      </c>
      <c r="AR8" s="128">
        <f t="shared" si="1"/>
        <v>111233</v>
      </c>
      <c r="AS8" s="128">
        <f t="shared" ref="AS8" si="2">SUM(AS9:AS12)</f>
        <v>0</v>
      </c>
      <c r="AT8" s="128">
        <f>SUM(AT9:AT11)</f>
        <v>2482117</v>
      </c>
      <c r="AU8" s="128"/>
      <c r="AV8" s="128">
        <f t="shared" ref="AV8:BB8" si="3">SUM(AV9:AV12)</f>
        <v>84406</v>
      </c>
      <c r="AW8" s="128">
        <f t="shared" si="3"/>
        <v>115347</v>
      </c>
      <c r="AX8" s="128">
        <f t="shared" si="3"/>
        <v>568315</v>
      </c>
      <c r="AY8" s="128">
        <f t="shared" si="3"/>
        <v>1829688</v>
      </c>
      <c r="AZ8" s="128">
        <f t="shared" si="3"/>
        <v>1562816</v>
      </c>
      <c r="BA8" s="128">
        <f t="shared" si="3"/>
        <v>102714</v>
      </c>
      <c r="BB8" s="128">
        <f t="shared" si="3"/>
        <v>3202773</v>
      </c>
      <c r="BC8" s="128">
        <f>SUM(BC9:BC11)</f>
        <v>7466059</v>
      </c>
      <c r="BD8" s="128"/>
      <c r="BE8" s="128">
        <f t="shared" ref="BE8:BK8" si="4">SUM(BE9:BE12)</f>
        <v>75406</v>
      </c>
      <c r="BF8" s="128">
        <f t="shared" si="4"/>
        <v>115347</v>
      </c>
      <c r="BG8" s="128">
        <f t="shared" si="4"/>
        <v>539315</v>
      </c>
      <c r="BH8" s="128">
        <f t="shared" si="4"/>
        <v>1524740</v>
      </c>
      <c r="BI8" s="128">
        <f t="shared" si="4"/>
        <v>1562816</v>
      </c>
      <c r="BJ8" s="128">
        <f t="shared" si="4"/>
        <v>94195</v>
      </c>
      <c r="BK8" s="128">
        <f t="shared" si="4"/>
        <v>3034206</v>
      </c>
      <c r="BL8" s="128">
        <f>SUM(BL9:BL11)</f>
        <v>6946025</v>
      </c>
      <c r="BM8" s="128"/>
      <c r="BN8" s="128">
        <f t="shared" ref="BN8:BT8" si="5">SUM(BN9:BN12)</f>
        <v>66406</v>
      </c>
      <c r="BO8" s="128">
        <f t="shared" si="5"/>
        <v>115347</v>
      </c>
      <c r="BP8" s="128">
        <f t="shared" si="5"/>
        <v>510315</v>
      </c>
      <c r="BQ8" s="128">
        <f t="shared" si="5"/>
        <v>1219792</v>
      </c>
      <c r="BR8" s="128">
        <f t="shared" si="5"/>
        <v>1562816</v>
      </c>
      <c r="BS8" s="128">
        <f t="shared" si="5"/>
        <v>85676</v>
      </c>
      <c r="BT8" s="128">
        <f t="shared" si="5"/>
        <v>2865639</v>
      </c>
      <c r="BU8" s="128">
        <f>SUM(BU9:BU11)</f>
        <v>6425991</v>
      </c>
    </row>
    <row r="9" spans="2:73">
      <c r="B9" s="131" t="s">
        <v>195</v>
      </c>
      <c r="C9" s="132">
        <f>'Probois 43 - Bilan'!C9</f>
        <v>45363</v>
      </c>
      <c r="D9" s="132"/>
      <c r="E9" s="132">
        <f>'BSB - Bilan'!C9</f>
        <v>7832</v>
      </c>
      <c r="F9" s="132">
        <f>'SC des SUCS - Bilan'!C9</f>
        <v>0</v>
      </c>
      <c r="G9" s="132"/>
      <c r="H9" s="132">
        <f t="shared" ref="H9:H11" si="6">SUM(C9:G9)</f>
        <v>53195</v>
      </c>
      <c r="I9" s="132"/>
      <c r="J9" s="132">
        <f>'Probois 43 - Bilan'!D9</f>
        <v>45066</v>
      </c>
      <c r="K9" s="132">
        <f>'SAS EMB - Bilan'!C9</f>
        <v>51048</v>
      </c>
      <c r="L9" s="132">
        <f>'BSB - Bilan'!D9</f>
        <v>6439</v>
      </c>
      <c r="M9" s="132">
        <f>'SC des SUCS - Bilan'!D9</f>
        <v>0</v>
      </c>
      <c r="N9" s="132">
        <f>'SCI - Bilan'!D9</f>
        <v>0</v>
      </c>
      <c r="O9" s="132">
        <f t="shared" ref="O9:O11" si="7">SUM(J9:N9)</f>
        <v>102553</v>
      </c>
      <c r="P9" s="132"/>
      <c r="Q9" s="132">
        <f>'Probois 43 - Bilan'!E9</f>
        <v>45377</v>
      </c>
      <c r="R9" s="132">
        <f>'SAS EMB - Bilan'!D9</f>
        <v>48130</v>
      </c>
      <c r="S9" s="132">
        <f>'BSB - Bilan'!E9</f>
        <v>5169</v>
      </c>
      <c r="T9" s="132">
        <f>'SC des SUCS - Bilan'!E9</f>
        <v>0</v>
      </c>
      <c r="U9" s="132">
        <f>'SCI - Bilan'!E9</f>
        <v>0</v>
      </c>
      <c r="V9" s="132">
        <f t="shared" ref="V9:V11" si="8">SUM(Q9:U9)</f>
        <v>98676</v>
      </c>
      <c r="W9" s="132"/>
      <c r="X9" s="132">
        <f>'Probois 43 - Bilan'!F9</f>
        <v>50079</v>
      </c>
      <c r="Y9" s="132">
        <f>'SAS EMB - Bilan'!E9</f>
        <v>46218</v>
      </c>
      <c r="Z9" s="132">
        <f>'BSB - Bilan'!F9</f>
        <v>5000</v>
      </c>
      <c r="AA9" s="132">
        <f>'SC des SUCS - Bilan'!F9</f>
        <v>0</v>
      </c>
      <c r="AB9" s="132">
        <f>'SCI - Bilan'!F9</f>
        <v>0</v>
      </c>
      <c r="AC9" s="132">
        <f t="shared" ref="AC9:AC11" si="9">SUM(X9:AB9)</f>
        <v>101297</v>
      </c>
      <c r="AD9" s="132"/>
      <c r="AE9" s="132">
        <f>'Probois 43 - Bilan'!G9</f>
        <v>47945</v>
      </c>
      <c r="AF9" s="132">
        <f>'SAS EMB - Bilan'!F9</f>
        <v>45735</v>
      </c>
      <c r="AG9" s="132">
        <f>'BSB - Bilan'!G9</f>
        <v>7250</v>
      </c>
      <c r="AH9" s="132">
        <v>0</v>
      </c>
      <c r="AI9" s="132">
        <v>0</v>
      </c>
      <c r="AJ9" s="132">
        <f>SUM(AE9:AI9)</f>
        <v>100930</v>
      </c>
      <c r="AK9" s="132"/>
      <c r="AL9" s="132"/>
      <c r="AM9" s="132">
        <f>'Probois 43 - Bilan (2)'!I9</f>
        <v>46945</v>
      </c>
      <c r="AN9" s="132">
        <f>'SAS EMB - Bilan (2)'!H9</f>
        <v>45735</v>
      </c>
      <c r="AO9" s="132">
        <f>'BSB - Bilan (2)'!I9</f>
        <v>7250</v>
      </c>
      <c r="AP9" s="132">
        <f>'Profilyss - Bilan (2)'!I9</f>
        <v>0</v>
      </c>
      <c r="AQ9" s="132">
        <f>'SC des SUCS - Bilan (2)'!I9</f>
        <v>0</v>
      </c>
      <c r="AR9" s="132">
        <f>'SCI - Bilan (2)'!I9</f>
        <v>0</v>
      </c>
      <c r="AS9" s="132"/>
      <c r="AT9" s="132">
        <f>SUM(AM9:AS9)</f>
        <v>99930</v>
      </c>
      <c r="AU9" s="132"/>
      <c r="AV9" s="132">
        <f>'Probois 43 - Bilan (2)'!J9</f>
        <v>45945</v>
      </c>
      <c r="AW9" s="132">
        <f>'SAS EMB - Bilan (2)'!I9</f>
        <v>45735</v>
      </c>
      <c r="AX9" s="132">
        <f>'BSB - Bilan (2)'!J9</f>
        <v>7250</v>
      </c>
      <c r="AY9" s="132">
        <f>'Profilyss - Bilan (2)'!J9</f>
        <v>0</v>
      </c>
      <c r="AZ9" s="132">
        <v>0</v>
      </c>
      <c r="BA9" s="132">
        <f>'SCI - Bilan (2)'!J9</f>
        <v>0</v>
      </c>
      <c r="BB9" s="132">
        <f>'Antreuil - Bilan (2)'!J9</f>
        <v>0</v>
      </c>
      <c r="BC9" s="132">
        <f t="shared" ref="BC9:BC11" si="10">SUM(AV9:BB9)</f>
        <v>98930</v>
      </c>
      <c r="BD9" s="132"/>
      <c r="BE9" s="132">
        <f>'Probois 43 - Bilan (2)'!K9</f>
        <v>44945</v>
      </c>
      <c r="BF9" s="132">
        <f>'SAS EMB - Bilan (2)'!J9</f>
        <v>45735</v>
      </c>
      <c r="BG9" s="132">
        <f>'BSB - Bilan (2)'!K9</f>
        <v>7250</v>
      </c>
      <c r="BH9" s="132">
        <f>'Profilyss - Bilan (2)'!K9</f>
        <v>0</v>
      </c>
      <c r="BI9" s="132">
        <v>0</v>
      </c>
      <c r="BJ9" s="132">
        <f>'SCI - Bilan (2)'!K9</f>
        <v>0</v>
      </c>
      <c r="BK9" s="132">
        <f>'Antreuil - Bilan (2)'!K9</f>
        <v>0</v>
      </c>
      <c r="BL9" s="132">
        <f t="shared" ref="BL9:BL11" si="11">SUM(BE9:BK9)</f>
        <v>97930</v>
      </c>
      <c r="BM9" s="132"/>
      <c r="BN9" s="132">
        <f>'Probois 43 - Bilan (2)'!L9</f>
        <v>43945</v>
      </c>
      <c r="BO9" s="132">
        <f>'SAS EMB - Bilan (2)'!K9</f>
        <v>45735</v>
      </c>
      <c r="BP9" s="132">
        <f>'BSB - Bilan (2)'!L9</f>
        <v>7250</v>
      </c>
      <c r="BQ9" s="132">
        <f>'Profilyss - Bilan (2)'!L9</f>
        <v>0</v>
      </c>
      <c r="BR9" s="132">
        <v>0</v>
      </c>
      <c r="BS9" s="132">
        <f>'SCI - Bilan (2)'!L9</f>
        <v>0</v>
      </c>
      <c r="BT9" s="132">
        <f>'Antreuil - Bilan (2)'!L9</f>
        <v>0</v>
      </c>
      <c r="BU9" s="132">
        <f t="shared" ref="BU9:BU11" si="12">SUM(BN9:BT9)</f>
        <v>96930</v>
      </c>
    </row>
    <row r="10" spans="2:73">
      <c r="B10" s="131" t="s">
        <v>196</v>
      </c>
      <c r="C10" s="132">
        <f>'Probois 43 - Bilan'!C10</f>
        <v>36642</v>
      </c>
      <c r="D10" s="132"/>
      <c r="E10" s="132">
        <f>'BSB - Bilan'!C10</f>
        <v>345911</v>
      </c>
      <c r="F10" s="132">
        <f>'SC des SUCS - Bilan'!C10</f>
        <v>0</v>
      </c>
      <c r="G10" s="132"/>
      <c r="H10" s="132">
        <f t="shared" si="6"/>
        <v>382553</v>
      </c>
      <c r="I10" s="132"/>
      <c r="J10" s="132">
        <f>'Probois 43 - Bilan'!D10</f>
        <v>25659</v>
      </c>
      <c r="K10" s="132">
        <f>'SAS EMB - Bilan'!C10</f>
        <v>59042</v>
      </c>
      <c r="L10" s="132">
        <f>'BSB - Bilan'!D10</f>
        <v>393162</v>
      </c>
      <c r="M10" s="132">
        <f>'SC des SUCS - Bilan'!D10</f>
        <v>0</v>
      </c>
      <c r="N10" s="132">
        <f>'SCI - Bilan'!D10</f>
        <v>109279</v>
      </c>
      <c r="O10" s="132">
        <f t="shared" si="7"/>
        <v>587142</v>
      </c>
      <c r="P10" s="132"/>
      <c r="Q10" s="132">
        <f>'Probois 43 - Bilan'!E10</f>
        <v>18747</v>
      </c>
      <c r="R10" s="132">
        <f>'SAS EMB - Bilan'!D10</f>
        <v>44615</v>
      </c>
      <c r="S10" s="132">
        <f>'BSB - Bilan'!E10</f>
        <v>429663</v>
      </c>
      <c r="T10" s="132">
        <f>'SC des SUCS - Bilan'!E10</f>
        <v>0</v>
      </c>
      <c r="U10" s="132">
        <f>'SCI - Bilan'!E10</f>
        <v>136791</v>
      </c>
      <c r="V10" s="132">
        <f t="shared" si="8"/>
        <v>629816</v>
      </c>
      <c r="W10" s="132"/>
      <c r="X10" s="132">
        <f>'Probois 43 - Bilan'!F10</f>
        <v>65728</v>
      </c>
      <c r="Y10" s="132">
        <f>'SAS EMB - Bilan'!E10</f>
        <v>56519</v>
      </c>
      <c r="Z10" s="132">
        <f>'BSB - Bilan'!F10</f>
        <v>474215</v>
      </c>
      <c r="AA10" s="132">
        <f>'SC des SUCS - Bilan'!F10</f>
        <v>0</v>
      </c>
      <c r="AB10" s="132">
        <f>'SCI - Bilan'!F10</f>
        <v>128271</v>
      </c>
      <c r="AC10" s="132">
        <f t="shared" si="9"/>
        <v>724733</v>
      </c>
      <c r="AD10" s="132"/>
      <c r="AE10" s="132">
        <f>'Probois 43 - Bilan'!G10</f>
        <v>50308</v>
      </c>
      <c r="AF10" s="132">
        <f>'SAS EMB - Bilan'!F10</f>
        <v>56488</v>
      </c>
      <c r="AG10" s="132">
        <f>'BSB - Bilan'!G10</f>
        <v>618912</v>
      </c>
      <c r="AH10" s="132">
        <v>0</v>
      </c>
      <c r="AI10" s="132">
        <f>'SCI - Bilan'!H10</f>
        <v>119752</v>
      </c>
      <c r="AJ10" s="132">
        <f>SUM(AE10:AI10)</f>
        <v>845460</v>
      </c>
      <c r="AK10" s="132"/>
      <c r="AL10" s="132"/>
      <c r="AM10" s="132">
        <f>'Probois 43 - Bilan (2)'!I10</f>
        <v>38308</v>
      </c>
      <c r="AN10" s="132">
        <f>'SAS EMB - Bilan (2)'!H10</f>
        <v>56488</v>
      </c>
      <c r="AO10" s="132">
        <f>'BSB - Bilan (2)'!I10</f>
        <v>589912</v>
      </c>
      <c r="AP10" s="132">
        <f>'Profilyss - Bilan (2)'!I10</f>
        <v>0</v>
      </c>
      <c r="AQ10" s="132">
        <f>'SC des SUCS - Bilan (2)'!I10</f>
        <v>0</v>
      </c>
      <c r="AR10" s="132">
        <f>'SCI - Bilan (2)'!I10</f>
        <v>111233</v>
      </c>
      <c r="AS10" s="132"/>
      <c r="AT10" s="132">
        <f>SUM(AM10:AS10)</f>
        <v>795941</v>
      </c>
      <c r="AU10" s="132"/>
      <c r="AV10" s="132">
        <f>'Probois 43 - Bilan (2)'!J10</f>
        <v>28308</v>
      </c>
      <c r="AW10" s="132">
        <f>'SAS EMB - Bilan (2)'!I10</f>
        <v>56488</v>
      </c>
      <c r="AX10" s="132">
        <f>'BSB - Bilan (2)'!J10</f>
        <v>560912</v>
      </c>
      <c r="AY10" s="132">
        <f>'Profilyss - Bilan (2)'!J10</f>
        <v>1829688</v>
      </c>
      <c r="AZ10" s="132">
        <v>0</v>
      </c>
      <c r="BA10" s="132">
        <f>'SCI - Bilan (2)'!J10</f>
        <v>102714</v>
      </c>
      <c r="BB10" s="132">
        <f>'Antreuil - Bilan (2)'!J10</f>
        <v>3202773</v>
      </c>
      <c r="BC10" s="132">
        <f t="shared" si="10"/>
        <v>5780883</v>
      </c>
      <c r="BD10" s="132"/>
      <c r="BE10" s="132">
        <f>'Probois 43 - Bilan (2)'!K10</f>
        <v>20308</v>
      </c>
      <c r="BF10" s="132">
        <f>'SAS EMB - Bilan (2)'!J10</f>
        <v>56488</v>
      </c>
      <c r="BG10" s="132">
        <f>'BSB - Bilan (2)'!K10</f>
        <v>531912</v>
      </c>
      <c r="BH10" s="132">
        <f>'Profilyss - Bilan (2)'!K10</f>
        <v>1524740</v>
      </c>
      <c r="BI10" s="132">
        <v>0</v>
      </c>
      <c r="BJ10" s="132">
        <f>'SCI - Bilan (2)'!K10</f>
        <v>94195</v>
      </c>
      <c r="BK10" s="132">
        <f>'Antreuil - Bilan (2)'!K10</f>
        <v>3034206</v>
      </c>
      <c r="BL10" s="132">
        <f t="shared" si="11"/>
        <v>5261849</v>
      </c>
      <c r="BM10" s="132"/>
      <c r="BN10" s="132">
        <f>'Probois 43 - Bilan (2)'!L10</f>
        <v>12308</v>
      </c>
      <c r="BO10" s="132">
        <f>'SAS EMB - Bilan (2)'!K10</f>
        <v>56488</v>
      </c>
      <c r="BP10" s="132">
        <f>'BSB - Bilan (2)'!L10</f>
        <v>502912</v>
      </c>
      <c r="BQ10" s="132">
        <f>'Profilyss - Bilan (2)'!L10</f>
        <v>1219792</v>
      </c>
      <c r="BR10" s="132">
        <v>0</v>
      </c>
      <c r="BS10" s="132">
        <f>'SCI - Bilan (2)'!L10</f>
        <v>85676</v>
      </c>
      <c r="BT10" s="132">
        <f>'Antreuil - Bilan (2)'!L10</f>
        <v>2865639</v>
      </c>
      <c r="BU10" s="132">
        <f t="shared" si="12"/>
        <v>4742815</v>
      </c>
    </row>
    <row r="11" spans="2:73">
      <c r="B11" s="131" t="s">
        <v>197</v>
      </c>
      <c r="C11" s="132">
        <f>'Probois 43 - Bilan'!C11</f>
        <v>0</v>
      </c>
      <c r="D11" s="132"/>
      <c r="E11" s="132">
        <f>'BSB - Bilan'!C11</f>
        <v>0</v>
      </c>
      <c r="F11" s="132">
        <f>'SC des SUCS - Bilan'!C11</f>
        <v>687078</v>
      </c>
      <c r="G11" s="132"/>
      <c r="H11" s="132">
        <f t="shared" si="6"/>
        <v>687078</v>
      </c>
      <c r="I11" s="132"/>
      <c r="J11" s="132">
        <f>'Probois 43 - Bilan'!D11</f>
        <v>10000</v>
      </c>
      <c r="K11" s="132">
        <f>'SAS EMB - Bilan'!C11</f>
        <v>13745</v>
      </c>
      <c r="L11" s="132">
        <f>'BSB - Bilan'!D11</f>
        <v>0</v>
      </c>
      <c r="M11" s="132">
        <f>'SC des SUCS - Bilan'!D11</f>
        <v>689178</v>
      </c>
      <c r="N11" s="132">
        <f>'SCI - Bilan'!D11</f>
        <v>0</v>
      </c>
      <c r="O11" s="132">
        <f t="shared" si="7"/>
        <v>712923</v>
      </c>
      <c r="P11" s="132"/>
      <c r="Q11" s="132">
        <f>'Probois 43 - Bilan'!E11</f>
        <v>10153</v>
      </c>
      <c r="R11" s="132">
        <f>'SAS EMB - Bilan'!D11</f>
        <v>13745</v>
      </c>
      <c r="S11" s="132">
        <f>'BSB - Bilan'!E11</f>
        <v>0</v>
      </c>
      <c r="T11" s="132">
        <f>'SC des SUCS - Bilan'!E11</f>
        <v>1200078</v>
      </c>
      <c r="U11" s="132">
        <f>'SCI - Bilan'!E11</f>
        <v>0</v>
      </c>
      <c r="V11" s="132">
        <f t="shared" si="8"/>
        <v>1223976</v>
      </c>
      <c r="W11" s="132"/>
      <c r="X11" s="132">
        <f>'Probois 43 - Bilan'!F11</f>
        <v>10153</v>
      </c>
      <c r="Y11" s="132">
        <f>'SAS EMB - Bilan'!E11</f>
        <v>13124</v>
      </c>
      <c r="Z11" s="132">
        <f>'BSB - Bilan'!F11</f>
        <v>0</v>
      </c>
      <c r="AA11" s="132">
        <f>'SC des SUCS - Bilan'!F11</f>
        <v>1562817</v>
      </c>
      <c r="AB11" s="132">
        <f>'SCI - Bilan'!F11</f>
        <v>0</v>
      </c>
      <c r="AC11" s="132">
        <f t="shared" si="9"/>
        <v>1586094</v>
      </c>
      <c r="AD11" s="132"/>
      <c r="AE11" s="132">
        <f>'Probois 43 - Bilan'!G11</f>
        <v>10153</v>
      </c>
      <c r="AF11" s="132">
        <f>'SAS EMB - Bilan'!F11</f>
        <v>13124</v>
      </c>
      <c r="AG11" s="132">
        <f>'BSB - Bilan'!G11</f>
        <v>153</v>
      </c>
      <c r="AH11" s="132">
        <f>'SC des SUCS - Bilan'!H8</f>
        <v>1562816</v>
      </c>
      <c r="AI11" s="132">
        <v>0</v>
      </c>
      <c r="AJ11" s="132">
        <f>SUM(AE11:AI11)</f>
        <v>1586246</v>
      </c>
      <c r="AK11" s="132"/>
      <c r="AL11" s="132"/>
      <c r="AM11" s="132">
        <f>'Probois 43 - Bilan (2)'!I11</f>
        <v>10153</v>
      </c>
      <c r="AN11" s="132">
        <f>'SAS EMB - Bilan (2)'!H11</f>
        <v>13124</v>
      </c>
      <c r="AO11" s="132">
        <f>'BSB - Bilan (2)'!I11</f>
        <v>153</v>
      </c>
      <c r="AP11" s="132">
        <f>'Profilyss - Bilan (2)'!I11</f>
        <v>0</v>
      </c>
      <c r="AQ11" s="132">
        <f>'SC des SUCS - Bilan (2)'!I8</f>
        <v>1562816</v>
      </c>
      <c r="AR11" s="132">
        <f>'SCI - Bilan (2)'!I11</f>
        <v>0</v>
      </c>
      <c r="AS11" s="132"/>
      <c r="AT11" s="132">
        <f>SUM(AM11:AS11)</f>
        <v>1586246</v>
      </c>
      <c r="AU11" s="132"/>
      <c r="AV11" s="132">
        <f>'Probois 43 - Bilan (2)'!J11</f>
        <v>10153</v>
      </c>
      <c r="AW11" s="132">
        <f>'SAS EMB - Bilan (2)'!I11</f>
        <v>13124</v>
      </c>
      <c r="AX11" s="132">
        <f>'BSB - Bilan (2)'!J11</f>
        <v>153</v>
      </c>
      <c r="AY11" s="132">
        <f>'Profilyss - Bilan (2)'!J11</f>
        <v>0</v>
      </c>
      <c r="AZ11" s="132">
        <f>'SC des SUCS - Bilan (2)'!J8</f>
        <v>1562816</v>
      </c>
      <c r="BA11" s="132">
        <f>'SCI - Bilan (2)'!J11</f>
        <v>0</v>
      </c>
      <c r="BB11" s="132">
        <f>'Antreuil - Bilan (2)'!J11</f>
        <v>0</v>
      </c>
      <c r="BC11" s="132">
        <f t="shared" si="10"/>
        <v>1586246</v>
      </c>
      <c r="BD11" s="132"/>
      <c r="BE11" s="132">
        <f>'Probois 43 - Bilan (2)'!K11</f>
        <v>10153</v>
      </c>
      <c r="BF11" s="132">
        <f>'SAS EMB - Bilan (2)'!J11</f>
        <v>13124</v>
      </c>
      <c r="BG11" s="132">
        <f>'BSB - Bilan (2)'!K11</f>
        <v>153</v>
      </c>
      <c r="BH11" s="132">
        <f>'Profilyss - Bilan (2)'!K11</f>
        <v>0</v>
      </c>
      <c r="BI11" s="132">
        <f>'SC des SUCS - Bilan (2)'!K8</f>
        <v>1562816</v>
      </c>
      <c r="BJ11" s="132">
        <f>'SCI - Bilan (2)'!K11</f>
        <v>0</v>
      </c>
      <c r="BK11" s="132">
        <f>'Antreuil - Bilan (2)'!K11</f>
        <v>0</v>
      </c>
      <c r="BL11" s="132">
        <f t="shared" si="11"/>
        <v>1586246</v>
      </c>
      <c r="BM11" s="132"/>
      <c r="BN11" s="132">
        <f>'Probois 43 - Bilan (2)'!L11</f>
        <v>10153</v>
      </c>
      <c r="BO11" s="132">
        <f>'SAS EMB - Bilan (2)'!K11</f>
        <v>13124</v>
      </c>
      <c r="BP11" s="132">
        <f>'BSB - Bilan (2)'!L11</f>
        <v>153</v>
      </c>
      <c r="BQ11" s="132">
        <f>'Profilyss - Bilan (2)'!L11</f>
        <v>0</v>
      </c>
      <c r="BR11" s="132">
        <f>'SC des SUCS - Bilan (2)'!L8</f>
        <v>1562816</v>
      </c>
      <c r="BS11" s="132">
        <f>'SCI - Bilan (2)'!L11</f>
        <v>0</v>
      </c>
      <c r="BT11" s="132">
        <f>'Antreuil - Bilan (2)'!L11</f>
        <v>0</v>
      </c>
      <c r="BU11" s="132">
        <f t="shared" si="12"/>
        <v>1586246</v>
      </c>
    </row>
    <row r="12" spans="2:73">
      <c r="B12" s="127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</row>
    <row r="13" spans="2:73">
      <c r="B13" s="130" t="s">
        <v>198</v>
      </c>
      <c r="C13" s="128">
        <f>SUM(C14:C20)</f>
        <v>1003366</v>
      </c>
      <c r="D13" s="128">
        <f t="shared" ref="D13:G13" si="13">SUM(D14:D20)</f>
        <v>0</v>
      </c>
      <c r="E13" s="128">
        <f t="shared" si="13"/>
        <v>699197</v>
      </c>
      <c r="F13" s="128">
        <f t="shared" si="13"/>
        <v>328862</v>
      </c>
      <c r="G13" s="128">
        <f t="shared" si="13"/>
        <v>0</v>
      </c>
      <c r="H13" s="128">
        <f>SUM(C13:G13)</f>
        <v>2031425</v>
      </c>
      <c r="I13" s="128"/>
      <c r="J13" s="128">
        <f>SUM(J14:J20)</f>
        <v>1279561</v>
      </c>
      <c r="K13" s="128">
        <f t="shared" ref="K13:N13" si="14">SUM(K14:K20)</f>
        <v>550116</v>
      </c>
      <c r="L13" s="128">
        <f t="shared" si="14"/>
        <v>502369</v>
      </c>
      <c r="M13" s="128">
        <f t="shared" si="14"/>
        <v>863635</v>
      </c>
      <c r="N13" s="128">
        <f t="shared" si="14"/>
        <v>13507</v>
      </c>
      <c r="O13" s="128">
        <f>SUM(J13:N13)</f>
        <v>3209188</v>
      </c>
      <c r="P13" s="128"/>
      <c r="Q13" s="128">
        <f>SUM(Q14:Q20)</f>
        <v>1630390</v>
      </c>
      <c r="R13" s="128">
        <f t="shared" ref="R13:U13" si="15">SUM(R14:R20)</f>
        <v>664194</v>
      </c>
      <c r="S13" s="128">
        <f t="shared" si="15"/>
        <v>926026</v>
      </c>
      <c r="T13" s="128">
        <f t="shared" si="15"/>
        <v>737589</v>
      </c>
      <c r="U13" s="128">
        <f t="shared" si="15"/>
        <v>23203</v>
      </c>
      <c r="V13" s="128">
        <f>SUM(Q13:U13)</f>
        <v>3981402</v>
      </c>
      <c r="W13" s="128"/>
      <c r="X13" s="128">
        <f>SUM(X14:X20)</f>
        <v>1544760</v>
      </c>
      <c r="Y13" s="128">
        <f t="shared" ref="Y13:AB13" si="16">SUM(Y14:Y20)</f>
        <v>627628</v>
      </c>
      <c r="Z13" s="128">
        <f t="shared" si="16"/>
        <v>1005696</v>
      </c>
      <c r="AA13" s="128">
        <f t="shared" si="16"/>
        <v>1004644</v>
      </c>
      <c r="AB13" s="128">
        <f t="shared" si="16"/>
        <v>39189</v>
      </c>
      <c r="AC13" s="128">
        <f>SUM(X13:AB13)</f>
        <v>4221917</v>
      </c>
      <c r="AD13" s="128"/>
      <c r="AE13" s="128">
        <f>SUM(AE14:AE20)</f>
        <v>1404857</v>
      </c>
      <c r="AF13" s="128">
        <f t="shared" ref="AF13:AI13" si="17">SUM(AF14:AF20)</f>
        <v>738095</v>
      </c>
      <c r="AG13" s="128">
        <f t="shared" si="17"/>
        <v>1268068</v>
      </c>
      <c r="AH13" s="128">
        <f t="shared" si="17"/>
        <v>2025249</v>
      </c>
      <c r="AI13" s="128">
        <f t="shared" si="17"/>
        <v>50120</v>
      </c>
      <c r="AJ13" s="128">
        <f>SUM(AJ14:AJ20)</f>
        <v>5486389</v>
      </c>
      <c r="AK13" s="128"/>
      <c r="AL13" s="128"/>
      <c r="AM13" s="128">
        <f>SUM(AM14:AM20)</f>
        <v>1407927.75</v>
      </c>
      <c r="AN13" s="128">
        <f t="shared" ref="AN13:AR13" si="18">SUM(AN14:AN20)</f>
        <v>817582.26249999995</v>
      </c>
      <c r="AO13" s="128">
        <f t="shared" si="18"/>
        <v>1206397.9424999999</v>
      </c>
      <c r="AP13" s="128">
        <f t="shared" ref="AP13" si="19">SUM(AP14:AP20)</f>
        <v>50000</v>
      </c>
      <c r="AQ13" s="128">
        <f t="shared" si="18"/>
        <v>1848495</v>
      </c>
      <c r="AR13" s="128">
        <f t="shared" si="18"/>
        <v>61764</v>
      </c>
      <c r="AS13" s="128">
        <f t="shared" ref="AS13" si="20">SUM(AS14:AS20)</f>
        <v>1000</v>
      </c>
      <c r="AT13" s="128">
        <f>SUM(AT14:AT20)</f>
        <v>5393166.9550000001</v>
      </c>
      <c r="AU13" s="128"/>
      <c r="AV13" s="128">
        <f>SUM(AV14:AV20)</f>
        <v>1465903.32</v>
      </c>
      <c r="AW13" s="128">
        <f t="shared" ref="AW13:BB13" si="21">SUM(AW14:AW20)</f>
        <v>870678.53428571415</v>
      </c>
      <c r="AX13" s="128">
        <f t="shared" si="21"/>
        <v>1234097.5225</v>
      </c>
      <c r="AY13" s="128">
        <f t="shared" si="21"/>
        <v>925523.12278031465</v>
      </c>
      <c r="AZ13" s="128">
        <f t="shared" si="21"/>
        <v>1675651</v>
      </c>
      <c r="BA13" s="128">
        <f t="shared" si="21"/>
        <v>73408</v>
      </c>
      <c r="BB13" s="128">
        <f t="shared" si="21"/>
        <v>32856</v>
      </c>
      <c r="BC13" s="128">
        <f>SUM(BC14:BC20)</f>
        <v>6278117.4995660279</v>
      </c>
      <c r="BD13" s="128"/>
      <c r="BE13" s="128">
        <f>SUM(BE14:BE20)</f>
        <v>1577340.95</v>
      </c>
      <c r="BF13" s="128">
        <f t="shared" ref="BF13:BK13" si="22">SUM(BF14:BF20)</f>
        <v>952112.65607142844</v>
      </c>
      <c r="BG13" s="128">
        <f t="shared" si="22"/>
        <v>1330694.9049999998</v>
      </c>
      <c r="BH13" s="128">
        <f t="shared" si="22"/>
        <v>837552.98026649561</v>
      </c>
      <c r="BI13" s="128">
        <f t="shared" si="22"/>
        <v>1503527</v>
      </c>
      <c r="BJ13" s="128">
        <f t="shared" si="22"/>
        <v>85052</v>
      </c>
      <c r="BK13" s="128">
        <f t="shared" si="22"/>
        <v>45712</v>
      </c>
      <c r="BL13" s="128">
        <f>SUM(BL14:BL20)</f>
        <v>6331992.4913379243</v>
      </c>
      <c r="BM13" s="128"/>
      <c r="BN13" s="128">
        <f>SUM(BN14:BN20)</f>
        <v>1705330.06</v>
      </c>
      <c r="BO13" s="128">
        <f t="shared" ref="BO13:BT13" si="23">SUM(BO14:BO20)</f>
        <v>1047481.3578571426</v>
      </c>
      <c r="BP13" s="128">
        <f t="shared" si="23"/>
        <v>1472228.02</v>
      </c>
      <c r="BQ13" s="128">
        <f t="shared" si="23"/>
        <v>1306088.9711340754</v>
      </c>
      <c r="BR13" s="128">
        <f t="shared" si="23"/>
        <v>1335353</v>
      </c>
      <c r="BS13" s="128">
        <f t="shared" si="23"/>
        <v>96696</v>
      </c>
      <c r="BT13" s="128">
        <f t="shared" si="23"/>
        <v>58568</v>
      </c>
      <c r="BU13" s="128">
        <f>SUM(BU14:BU20)</f>
        <v>7021745.4089912185</v>
      </c>
    </row>
    <row r="14" spans="2:73">
      <c r="B14" s="131" t="s">
        <v>199</v>
      </c>
      <c r="C14" s="132">
        <f>'Probois 43 - Bilan'!C14</f>
        <v>258781</v>
      </c>
      <c r="D14" s="132"/>
      <c r="E14" s="132">
        <f>'BSB - Bilan'!C14</f>
        <v>257101</v>
      </c>
      <c r="F14" s="132">
        <f>'SC des SUCS - Bilan'!C14</f>
        <v>0</v>
      </c>
      <c r="G14" s="132"/>
      <c r="H14" s="132">
        <f t="shared" ref="H14:H19" si="24">SUM(C14:G14)</f>
        <v>515882</v>
      </c>
      <c r="I14" s="132"/>
      <c r="J14" s="132">
        <f>'Probois 43 - Bilan'!D14</f>
        <v>312838</v>
      </c>
      <c r="K14" s="132">
        <f>'SAS EMB - Bilan'!C14</f>
        <v>93215</v>
      </c>
      <c r="L14" s="132">
        <f>'BSB - Bilan'!D14</f>
        <v>315722</v>
      </c>
      <c r="M14" s="132">
        <f>'SC des SUCS - Bilan'!D14</f>
        <v>0</v>
      </c>
      <c r="N14" s="132">
        <f>'SCI - Bilan'!D14</f>
        <v>0</v>
      </c>
      <c r="O14" s="132">
        <f t="shared" ref="O14:O19" si="25">SUM(J14:N14)</f>
        <v>721775</v>
      </c>
      <c r="P14" s="132"/>
      <c r="Q14" s="132">
        <f>'Probois 43 - Bilan'!E14</f>
        <v>366751</v>
      </c>
      <c r="R14" s="132">
        <f>'SAS EMB - Bilan'!D14</f>
        <v>142199</v>
      </c>
      <c r="S14" s="132">
        <f>'BSB - Bilan'!E14</f>
        <v>549758</v>
      </c>
      <c r="T14" s="132">
        <f>'SC des SUCS - Bilan'!E14</f>
        <v>0</v>
      </c>
      <c r="U14" s="132">
        <f>'SCI - Bilan'!E14</f>
        <v>0</v>
      </c>
      <c r="V14" s="132">
        <f t="shared" ref="V14:V19" si="26">SUM(Q14:U14)</f>
        <v>1058708</v>
      </c>
      <c r="W14" s="132"/>
      <c r="X14" s="132">
        <f>'Probois 43 - Bilan'!F14</f>
        <v>225479</v>
      </c>
      <c r="Y14" s="132">
        <f>'SAS EMB - Bilan'!E14</f>
        <v>35644</v>
      </c>
      <c r="Z14" s="132">
        <f>'BSB - Bilan'!F14</f>
        <v>612268</v>
      </c>
      <c r="AA14" s="132">
        <f>'SC des SUCS - Bilan'!F14</f>
        <v>0</v>
      </c>
      <c r="AB14" s="132">
        <f>'SCI - Bilan'!F14</f>
        <v>0</v>
      </c>
      <c r="AC14" s="132">
        <f t="shared" ref="AC14:AC19" si="27">SUM(X14:AB14)</f>
        <v>873391</v>
      </c>
      <c r="AD14" s="132"/>
      <c r="AE14" s="132">
        <f>'Probois 43 - Bilan'!G14</f>
        <v>318270</v>
      </c>
      <c r="AF14" s="132">
        <f>'SAS EMB - Bilan'!F14</f>
        <v>106020</v>
      </c>
      <c r="AG14" s="132">
        <f>'BSB - Bilan'!G14</f>
        <v>616737</v>
      </c>
      <c r="AH14" s="132">
        <f>'SC des SUCS - Bilan'!H14</f>
        <v>0</v>
      </c>
      <c r="AI14" s="132">
        <f>'SCI - Bilan'!H14</f>
        <v>0</v>
      </c>
      <c r="AJ14" s="132">
        <f t="shared" ref="AJ14:AJ19" si="28">SUM(AE14:AI14)</f>
        <v>1041027</v>
      </c>
      <c r="AK14" s="132"/>
      <c r="AL14" s="132"/>
      <c r="AM14" s="132">
        <f>'Probois 43 - Bilan (2)'!I14</f>
        <v>310000</v>
      </c>
      <c r="AN14" s="132">
        <f>'SAS EMB - Bilan (2)'!H14</f>
        <v>110000</v>
      </c>
      <c r="AO14" s="132">
        <f>'BSB - Bilan (2)'!I14</f>
        <v>625000</v>
      </c>
      <c r="AP14" s="132">
        <f>'Profilyss - Bilan (2)'!I14</f>
        <v>0</v>
      </c>
      <c r="AQ14" s="132">
        <f>'SC des SUCS - Bilan (2)'!I14</f>
        <v>0</v>
      </c>
      <c r="AR14" s="132">
        <f>'SCI - Bilan (2)'!I14</f>
        <v>0</v>
      </c>
      <c r="AS14" s="132"/>
      <c r="AT14" s="132">
        <f t="shared" ref="AT14:AT19" si="29">SUM(AM14:AS14)</f>
        <v>1045000</v>
      </c>
      <c r="AU14" s="132"/>
      <c r="AV14" s="132">
        <f>'Probois 43 - Bilan (2)'!J14</f>
        <v>330000</v>
      </c>
      <c r="AW14" s="132">
        <f>'SAS EMB - Bilan (2)'!I14</f>
        <v>120000</v>
      </c>
      <c r="AX14" s="132">
        <f>'BSB - Bilan (2)'!J14</f>
        <v>700000</v>
      </c>
      <c r="AY14" s="132">
        <f>'Profilyss - Bilan (2)'!J14</f>
        <v>233333.33333333334</v>
      </c>
      <c r="AZ14" s="132">
        <f>'SC des SUCS - Bilan (2)'!J14</f>
        <v>0</v>
      </c>
      <c r="BA14" s="132">
        <f>'SCI - Bilan (2)'!J14</f>
        <v>0</v>
      </c>
      <c r="BB14" s="132">
        <f>'Antreuil - Bilan (2)'!J14</f>
        <v>0</v>
      </c>
      <c r="BC14" s="132">
        <f t="shared" ref="BC14:BC21" si="30">SUM(AV14:BB14)</f>
        <v>1383333.3333333333</v>
      </c>
      <c r="BD14" s="132"/>
      <c r="BE14" s="132">
        <f>'Probois 43 - Bilan (2)'!K14</f>
        <v>350000</v>
      </c>
      <c r="BF14" s="132">
        <f>'SAS EMB - Bilan (2)'!J14</f>
        <v>120000</v>
      </c>
      <c r="BG14" s="132">
        <f>'BSB - Bilan (2)'!K14</f>
        <v>750000</v>
      </c>
      <c r="BH14" s="132">
        <f>'Profilyss - Bilan (2)'!K14</f>
        <v>333333.33333333337</v>
      </c>
      <c r="BI14" s="132">
        <f>'SC des SUCS - Bilan (2)'!K14</f>
        <v>0</v>
      </c>
      <c r="BJ14" s="132">
        <f>'SCI - Bilan (2)'!K14</f>
        <v>0</v>
      </c>
      <c r="BK14" s="132">
        <f>'Antreuil - Bilan (2)'!K14</f>
        <v>0</v>
      </c>
      <c r="BL14" s="132">
        <f t="shared" ref="BL14:BL21" si="31">SUM(BE14:BK14)</f>
        <v>1553333.3333333335</v>
      </c>
      <c r="BM14" s="132"/>
      <c r="BN14" s="132">
        <f>'Probois 43 - Bilan (2)'!L14</f>
        <v>360000</v>
      </c>
      <c r="BO14" s="132">
        <f>'SAS EMB - Bilan (2)'!K14</f>
        <v>125000</v>
      </c>
      <c r="BP14" s="132">
        <f>'BSB - Bilan (2)'!L14</f>
        <v>790000</v>
      </c>
      <c r="BQ14" s="132">
        <f>'Profilyss - Bilan (2)'!L14</f>
        <v>466666.66666666669</v>
      </c>
      <c r="BR14" s="132">
        <f>'SC des SUCS - Bilan (2)'!L14</f>
        <v>0</v>
      </c>
      <c r="BS14" s="132">
        <f>'SCI - Bilan (2)'!L14</f>
        <v>0</v>
      </c>
      <c r="BT14" s="132">
        <f>'Antreuil - Bilan (2)'!L14</f>
        <v>0</v>
      </c>
      <c r="BU14" s="132">
        <f t="shared" ref="BU14:BU21" si="32">SUM(BN14:BT14)</f>
        <v>1741666.6666666667</v>
      </c>
    </row>
    <row r="15" spans="2:73">
      <c r="B15" s="131" t="s">
        <v>200</v>
      </c>
      <c r="C15" s="132">
        <f>'Probois 43 - Bilan'!C15</f>
        <v>0</v>
      </c>
      <c r="D15" s="132"/>
      <c r="E15" s="132">
        <f>'BSB - Bilan'!C15</f>
        <v>0</v>
      </c>
      <c r="F15" s="132">
        <f>'SC des SUCS - Bilan'!C15</f>
        <v>0</v>
      </c>
      <c r="G15" s="132"/>
      <c r="H15" s="132">
        <f t="shared" si="24"/>
        <v>0</v>
      </c>
      <c r="I15" s="132"/>
      <c r="J15" s="132">
        <f>'Probois 43 - Bilan'!D15</f>
        <v>0</v>
      </c>
      <c r="K15" s="132">
        <f>'SAS EMB - Bilan'!C15</f>
        <v>0</v>
      </c>
      <c r="L15" s="132">
        <f>'BSB - Bilan'!D15</f>
        <v>0</v>
      </c>
      <c r="M15" s="132">
        <f>'SC des SUCS - Bilan'!D15</f>
        <v>0</v>
      </c>
      <c r="N15" s="132">
        <f>'SCI - Bilan'!D15</f>
        <v>0</v>
      </c>
      <c r="O15" s="132">
        <f t="shared" si="25"/>
        <v>0</v>
      </c>
      <c r="P15" s="132"/>
      <c r="Q15" s="132">
        <f>'Probois 43 - Bilan'!E15</f>
        <v>0</v>
      </c>
      <c r="R15" s="132">
        <f>'SAS EMB - Bilan'!D15</f>
        <v>0</v>
      </c>
      <c r="S15" s="132">
        <f>'BSB - Bilan'!E15</f>
        <v>0</v>
      </c>
      <c r="T15" s="132">
        <f>'SC des SUCS - Bilan'!E15</f>
        <v>0</v>
      </c>
      <c r="U15" s="132">
        <f>'SCI - Bilan'!E15</f>
        <v>0</v>
      </c>
      <c r="V15" s="132">
        <f t="shared" si="26"/>
        <v>0</v>
      </c>
      <c r="W15" s="132"/>
      <c r="X15" s="132">
        <f>'Probois 43 - Bilan'!F15</f>
        <v>0</v>
      </c>
      <c r="Y15" s="132">
        <f>'SAS EMB - Bilan'!E15</f>
        <v>0</v>
      </c>
      <c r="Z15" s="132">
        <f>'BSB - Bilan'!F15</f>
        <v>0</v>
      </c>
      <c r="AA15" s="132">
        <f>'SC des SUCS - Bilan'!F15</f>
        <v>0</v>
      </c>
      <c r="AB15" s="132">
        <f>'SCI - Bilan'!F15</f>
        <v>0</v>
      </c>
      <c r="AC15" s="132">
        <f t="shared" si="27"/>
        <v>0</v>
      </c>
      <c r="AD15" s="132"/>
      <c r="AE15" s="132">
        <f>'Probois 43 - Bilan'!G15</f>
        <v>0</v>
      </c>
      <c r="AF15" s="132">
        <f>'SAS EMB - Bilan'!F15</f>
        <v>0</v>
      </c>
      <c r="AG15" s="132">
        <f>'BSB - Bilan'!G15</f>
        <v>0</v>
      </c>
      <c r="AH15" s="132">
        <f>'SC des SUCS - Bilan'!H15</f>
        <v>0</v>
      </c>
      <c r="AI15" s="132">
        <f>'SCI - Bilan'!H15</f>
        <v>0</v>
      </c>
      <c r="AJ15" s="132">
        <f t="shared" si="28"/>
        <v>0</v>
      </c>
      <c r="AK15" s="132"/>
      <c r="AL15" s="132"/>
      <c r="AM15" s="132">
        <f>'Probois 43 - Bilan (2)'!I15</f>
        <v>0</v>
      </c>
      <c r="AN15" s="132">
        <f>'SAS EMB - Bilan (2)'!H15</f>
        <v>0</v>
      </c>
      <c r="AO15" s="132">
        <f>'BSB - Bilan (2)'!I15</f>
        <v>0</v>
      </c>
      <c r="AP15" s="132">
        <f>'Profilyss - Bilan (2)'!I15</f>
        <v>0</v>
      </c>
      <c r="AQ15" s="132">
        <f>'SC des SUCS - Bilan (2)'!I15</f>
        <v>0</v>
      </c>
      <c r="AR15" s="132">
        <f>'SCI - Bilan (2)'!I15</f>
        <v>0</v>
      </c>
      <c r="AS15" s="132"/>
      <c r="AT15" s="132">
        <f t="shared" si="29"/>
        <v>0</v>
      </c>
      <c r="AU15" s="132"/>
      <c r="AV15" s="132">
        <f>'Probois 43 - Bilan (2)'!J15</f>
        <v>0</v>
      </c>
      <c r="AW15" s="132">
        <f>'SAS EMB - Bilan (2)'!I15</f>
        <v>0</v>
      </c>
      <c r="AX15" s="132">
        <f>'BSB - Bilan (2)'!J15</f>
        <v>0</v>
      </c>
      <c r="AY15" s="132">
        <f>'Profilyss - Bilan (2)'!J15</f>
        <v>0</v>
      </c>
      <c r="AZ15" s="132">
        <f>'SC des SUCS - Bilan (2)'!J15</f>
        <v>0</v>
      </c>
      <c r="BA15" s="132">
        <f>'SCI - Bilan (2)'!J15</f>
        <v>0</v>
      </c>
      <c r="BB15" s="132">
        <f>'Antreuil - Bilan (2)'!J15</f>
        <v>0</v>
      </c>
      <c r="BC15" s="132">
        <f t="shared" si="30"/>
        <v>0</v>
      </c>
      <c r="BD15" s="132"/>
      <c r="BE15" s="132">
        <f>'Probois 43 - Bilan (2)'!K15</f>
        <v>0</v>
      </c>
      <c r="BF15" s="132">
        <f>'SAS EMB - Bilan (2)'!J15</f>
        <v>0</v>
      </c>
      <c r="BG15" s="132">
        <f>'BSB - Bilan (2)'!K15</f>
        <v>0</v>
      </c>
      <c r="BH15" s="132">
        <f>'Profilyss - Bilan (2)'!K15</f>
        <v>0</v>
      </c>
      <c r="BI15" s="132">
        <f>'SC des SUCS - Bilan (2)'!K15</f>
        <v>0</v>
      </c>
      <c r="BJ15" s="132">
        <f>'SCI - Bilan (2)'!K15</f>
        <v>0</v>
      </c>
      <c r="BK15" s="132">
        <f>'Antreuil - Bilan (2)'!K15</f>
        <v>0</v>
      </c>
      <c r="BL15" s="132">
        <f t="shared" si="31"/>
        <v>0</v>
      </c>
      <c r="BM15" s="132"/>
      <c r="BN15" s="132">
        <f>'Probois 43 - Bilan (2)'!L15</f>
        <v>0</v>
      </c>
      <c r="BO15" s="132">
        <f>'SAS EMB - Bilan (2)'!K15</f>
        <v>0</v>
      </c>
      <c r="BP15" s="132">
        <f>'BSB - Bilan (2)'!L15</f>
        <v>0</v>
      </c>
      <c r="BQ15" s="132">
        <f>'Profilyss - Bilan (2)'!L15</f>
        <v>0</v>
      </c>
      <c r="BR15" s="132">
        <f>'SC des SUCS - Bilan (2)'!L15</f>
        <v>0</v>
      </c>
      <c r="BS15" s="132">
        <f>'SCI - Bilan (2)'!L15</f>
        <v>0</v>
      </c>
      <c r="BT15" s="132">
        <f>'Antreuil - Bilan (2)'!L15</f>
        <v>0</v>
      </c>
      <c r="BU15" s="132">
        <f t="shared" si="32"/>
        <v>0</v>
      </c>
    </row>
    <row r="16" spans="2:73">
      <c r="B16" s="131" t="s">
        <v>201</v>
      </c>
      <c r="C16" s="132">
        <f>'Probois 43 - Bilan'!C16</f>
        <v>405453</v>
      </c>
      <c r="D16" s="132"/>
      <c r="E16" s="132">
        <f>'BSB - Bilan'!C16</f>
        <v>157701</v>
      </c>
      <c r="F16" s="132">
        <f>'SC des SUCS - Bilan'!C16</f>
        <v>0</v>
      </c>
      <c r="G16" s="132"/>
      <c r="H16" s="132">
        <f t="shared" si="24"/>
        <v>563154</v>
      </c>
      <c r="I16" s="132"/>
      <c r="J16" s="132">
        <f>'Probois 43 - Bilan'!D16</f>
        <v>174592</v>
      </c>
      <c r="K16" s="132">
        <f>'SAS EMB - Bilan'!C16</f>
        <v>305712</v>
      </c>
      <c r="L16" s="132">
        <f>'BSB - Bilan'!D16</f>
        <v>133427</v>
      </c>
      <c r="M16" s="132">
        <f>'SC des SUCS - Bilan'!D16</f>
        <v>0</v>
      </c>
      <c r="N16" s="132">
        <f>'SCI - Bilan'!D16</f>
        <v>5599</v>
      </c>
      <c r="O16" s="132">
        <f t="shared" si="25"/>
        <v>619330</v>
      </c>
      <c r="P16" s="132"/>
      <c r="Q16" s="132">
        <f>'Probois 43 - Bilan'!E16</f>
        <v>280597</v>
      </c>
      <c r="R16" s="132">
        <f>'SAS EMB - Bilan'!D16</f>
        <v>330449</v>
      </c>
      <c r="S16" s="132">
        <f>'BSB - Bilan'!E16</f>
        <v>277532</v>
      </c>
      <c r="T16" s="132">
        <f>'SC des SUCS - Bilan'!E16</f>
        <v>0</v>
      </c>
      <c r="U16" s="132">
        <f>'SCI - Bilan'!E16</f>
        <v>8205</v>
      </c>
      <c r="V16" s="132">
        <f t="shared" si="26"/>
        <v>896783</v>
      </c>
      <c r="W16" s="132"/>
      <c r="X16" s="132">
        <f>'Probois 43 - Bilan'!F16</f>
        <v>517018</v>
      </c>
      <c r="Y16" s="132">
        <f>'SAS EMB - Bilan'!E16</f>
        <v>332611</v>
      </c>
      <c r="Z16" s="132">
        <f>'BSB - Bilan'!F16</f>
        <v>244841</v>
      </c>
      <c r="AA16" s="132">
        <f>'SC des SUCS - Bilan'!F16</f>
        <v>70800</v>
      </c>
      <c r="AB16" s="132">
        <f>'SCI - Bilan'!F16</f>
        <v>11773</v>
      </c>
      <c r="AC16" s="132">
        <f t="shared" si="27"/>
        <v>1177043</v>
      </c>
      <c r="AD16" s="132"/>
      <c r="AE16" s="132">
        <f>'Probois 43 - Bilan'!G16</f>
        <v>494438</v>
      </c>
      <c r="AF16" s="132">
        <f>'SAS EMB - Bilan'!F16</f>
        <v>280403</v>
      </c>
      <c r="AG16" s="132">
        <f>'BSB - Bilan'!G16</f>
        <v>304934</v>
      </c>
      <c r="AH16" s="132">
        <f>'SC des SUCS - Bilan'!H16</f>
        <v>42204</v>
      </c>
      <c r="AI16" s="132">
        <f>'SCI - Bilan'!H16</f>
        <v>11773</v>
      </c>
      <c r="AJ16" s="132">
        <f t="shared" si="28"/>
        <v>1133752</v>
      </c>
      <c r="AK16" s="132"/>
      <c r="AL16" s="132"/>
      <c r="AM16" s="132">
        <f>'Probois 43 - Bilan (2)'!I16</f>
        <v>450000</v>
      </c>
      <c r="AN16" s="132">
        <f>'SAS EMB - Bilan (2)'!H16</f>
        <v>280000</v>
      </c>
      <c r="AO16" s="132">
        <f>'BSB - Bilan (2)'!I16</f>
        <v>304934</v>
      </c>
      <c r="AP16" s="132">
        <f>'Profilyss - Bilan (2)'!I16</f>
        <v>0</v>
      </c>
      <c r="AQ16" s="132">
        <f>'SC des SUCS - Bilan (2)'!I16</f>
        <v>43200</v>
      </c>
      <c r="AR16" s="132">
        <f>'SCI - Bilan (2)'!I16</f>
        <v>11773</v>
      </c>
      <c r="AS16" s="132"/>
      <c r="AT16" s="132">
        <f t="shared" si="29"/>
        <v>1089907</v>
      </c>
      <c r="AU16" s="132"/>
      <c r="AV16" s="132">
        <f>'Probois 43 - Bilan (2)'!J16</f>
        <v>470000</v>
      </c>
      <c r="AW16" s="132">
        <f>'SAS EMB - Bilan (2)'!I16</f>
        <v>270000</v>
      </c>
      <c r="AX16" s="132">
        <f>'BSB - Bilan (2)'!J16</f>
        <v>320000</v>
      </c>
      <c r="AY16" s="132">
        <f>'Profilyss - Bilan (2)'!J16</f>
        <v>212301.36986301371</v>
      </c>
      <c r="AZ16" s="132">
        <f>'SC des SUCS - Bilan (2)'!J16</f>
        <v>43200</v>
      </c>
      <c r="BA16" s="132">
        <f>'SCI - Bilan (2)'!J16</f>
        <v>11773</v>
      </c>
      <c r="BB16" s="132">
        <f>'Antreuil - Bilan (2)'!J16</f>
        <v>20000</v>
      </c>
      <c r="BC16" s="132">
        <f t="shared" si="30"/>
        <v>1347274.3698630137</v>
      </c>
      <c r="BD16" s="132"/>
      <c r="BE16" s="132">
        <f>'Probois 43 - Bilan (2)'!K16</f>
        <v>500000</v>
      </c>
      <c r="BF16" s="132">
        <f>'SAS EMB - Bilan (2)'!J16</f>
        <v>270000</v>
      </c>
      <c r="BG16" s="132">
        <f>'BSB - Bilan (2)'!K16</f>
        <v>350000</v>
      </c>
      <c r="BH16" s="132">
        <f>'Profilyss - Bilan (2)'!K16</f>
        <v>318082.19178082194</v>
      </c>
      <c r="BI16" s="132">
        <f>'SC des SUCS - Bilan (2)'!K16</f>
        <v>43200</v>
      </c>
      <c r="BJ16" s="132">
        <f>'SCI - Bilan (2)'!K16</f>
        <v>11773</v>
      </c>
      <c r="BK16" s="132">
        <f>'Antreuil - Bilan (2)'!K16</f>
        <v>20000</v>
      </c>
      <c r="BL16" s="132">
        <f t="shared" si="31"/>
        <v>1513055.1917808219</v>
      </c>
      <c r="BM16" s="132"/>
      <c r="BN16" s="132">
        <f>'Probois 43 - Bilan (2)'!L16</f>
        <v>520000</v>
      </c>
      <c r="BO16" s="132">
        <f>'SAS EMB - Bilan (2)'!K16</f>
        <v>270000</v>
      </c>
      <c r="BP16" s="132">
        <f>'BSB - Bilan (2)'!L16</f>
        <v>370000</v>
      </c>
      <c r="BQ16" s="132">
        <f>'Profilyss - Bilan (2)'!L16</f>
        <v>466027.39726027398</v>
      </c>
      <c r="BR16" s="132">
        <f>'SC des SUCS - Bilan (2)'!L16</f>
        <v>43200</v>
      </c>
      <c r="BS16" s="132">
        <f>'SCI - Bilan (2)'!L16</f>
        <v>11773</v>
      </c>
      <c r="BT16" s="132">
        <f>'Antreuil - Bilan (2)'!L16</f>
        <v>20000</v>
      </c>
      <c r="BU16" s="132">
        <f t="shared" si="32"/>
        <v>1701000.397260274</v>
      </c>
    </row>
    <row r="17" spans="2:73">
      <c r="B17" s="131" t="s">
        <v>202</v>
      </c>
      <c r="C17" s="132">
        <f>'Probois 43 - Bilan'!C17</f>
        <v>4398</v>
      </c>
      <c r="D17" s="132"/>
      <c r="E17" s="132">
        <f>'BSB - Bilan'!C17</f>
        <v>19057</v>
      </c>
      <c r="F17" s="132">
        <f>'SC des SUCS - Bilan'!C17</f>
        <v>239086</v>
      </c>
      <c r="G17" s="132"/>
      <c r="H17" s="132">
        <f t="shared" si="24"/>
        <v>262541</v>
      </c>
      <c r="I17" s="132"/>
      <c r="J17" s="132">
        <f>'Probois 43 - Bilan'!D17</f>
        <v>515817</v>
      </c>
      <c r="K17" s="132">
        <f>'SAS EMB - Bilan'!C17</f>
        <v>16518</v>
      </c>
      <c r="L17" s="132">
        <f>'BSB - Bilan'!D17</f>
        <v>10762</v>
      </c>
      <c r="M17" s="132">
        <f>'SC des SUCS - Bilan'!D17</f>
        <v>293034</v>
      </c>
      <c r="N17" s="132">
        <f>'SCI - Bilan'!D17</f>
        <v>0</v>
      </c>
      <c r="O17" s="132">
        <f t="shared" si="25"/>
        <v>836131</v>
      </c>
      <c r="P17" s="132"/>
      <c r="Q17" s="132">
        <f>'Probois 43 - Bilan'!E17</f>
        <v>854051</v>
      </c>
      <c r="R17" s="132">
        <f>'SAS EMB - Bilan'!D17</f>
        <v>125568</v>
      </c>
      <c r="S17" s="132">
        <f>'BSB - Bilan'!E17</f>
        <v>22082</v>
      </c>
      <c r="T17" s="132">
        <f>'SC des SUCS - Bilan'!E17</f>
        <v>436760</v>
      </c>
      <c r="U17" s="132">
        <f>'SCI - Bilan'!E17</f>
        <v>0</v>
      </c>
      <c r="V17" s="132">
        <f t="shared" si="26"/>
        <v>1438461</v>
      </c>
      <c r="W17" s="132"/>
      <c r="X17" s="132">
        <f>'Probois 43 - Bilan'!F17</f>
        <v>463497</v>
      </c>
      <c r="Y17" s="132">
        <f>'SAS EMB - Bilan'!E17</f>
        <v>55158</v>
      </c>
      <c r="Z17" s="132">
        <f>'BSB - Bilan'!F17</f>
        <v>22464</v>
      </c>
      <c r="AA17" s="132">
        <f>'SC des SUCS - Bilan'!F17</f>
        <v>581994</v>
      </c>
      <c r="AB17" s="132">
        <f>'SCI - Bilan'!F17</f>
        <v>0</v>
      </c>
      <c r="AC17" s="132">
        <f t="shared" si="27"/>
        <v>1123113</v>
      </c>
      <c r="AD17" s="132"/>
      <c r="AE17" s="132">
        <f>'Probois 43 - Bilan'!G17</f>
        <v>360986</v>
      </c>
      <c r="AF17" s="132">
        <f>'SAS EMB - Bilan'!F17</f>
        <v>230175</v>
      </c>
      <c r="AG17" s="132">
        <f>'BSB - Bilan'!G17</f>
        <v>80342</v>
      </c>
      <c r="AH17" s="132">
        <f>'SC des SUCS - Bilan (2)'!H17</f>
        <v>1581994</v>
      </c>
      <c r="AI17" s="132">
        <f>'SCI - Bilan'!H17</f>
        <v>0</v>
      </c>
      <c r="AJ17" s="132">
        <f t="shared" si="28"/>
        <v>2253497</v>
      </c>
      <c r="AK17" s="132"/>
      <c r="AL17" s="132"/>
      <c r="AM17" s="132">
        <f>'Probois 43 - Bilan (2)'!I17</f>
        <v>360986</v>
      </c>
      <c r="AN17" s="132">
        <f>'SAS EMB - Bilan (2)'!H17</f>
        <v>230175</v>
      </c>
      <c r="AO17" s="132">
        <f>'BSB - Bilan (2)'!I17</f>
        <v>80342</v>
      </c>
      <c r="AP17" s="132">
        <f>'Profilyss - Bilan (2)'!I17</f>
        <v>0</v>
      </c>
      <c r="AQ17" s="132">
        <f>'SC des SUCS - Bilan (2)'!I17</f>
        <v>1581994</v>
      </c>
      <c r="AR17" s="132">
        <f>'SCI - Bilan (2)'!I17</f>
        <v>0</v>
      </c>
      <c r="AS17" s="132"/>
      <c r="AT17" s="132">
        <f t="shared" si="29"/>
        <v>2253497</v>
      </c>
      <c r="AU17" s="132"/>
      <c r="AV17" s="132">
        <f>'Probois 43 - Bilan (2)'!J17</f>
        <v>360986</v>
      </c>
      <c r="AW17" s="132">
        <f>'SAS EMB - Bilan (2)'!I17</f>
        <v>230175</v>
      </c>
      <c r="AX17" s="132">
        <f>'BSB - Bilan (2)'!J17</f>
        <v>80342</v>
      </c>
      <c r="AY17" s="132">
        <f>'Profilyss - Bilan (2)'!J17</f>
        <v>20000</v>
      </c>
      <c r="AZ17" s="132">
        <f>'SC des SUCS - Bilan (2)'!J17</f>
        <v>1581994</v>
      </c>
      <c r="BA17" s="132">
        <f>'SCI - Bilan (2)'!J17</f>
        <v>0</v>
      </c>
      <c r="BB17" s="132">
        <f>'Antreuil - Bilan (2)'!J17</f>
        <v>0</v>
      </c>
      <c r="BC17" s="132">
        <f t="shared" si="30"/>
        <v>2273497</v>
      </c>
      <c r="BD17" s="132"/>
      <c r="BE17" s="132">
        <f>'Probois 43 - Bilan (2)'!K17</f>
        <v>360986</v>
      </c>
      <c r="BF17" s="132">
        <f>'SAS EMB - Bilan (2)'!J17</f>
        <v>230175</v>
      </c>
      <c r="BG17" s="132">
        <f>'BSB - Bilan (2)'!K17</f>
        <v>80342</v>
      </c>
      <c r="BH17" s="132">
        <f>'Profilyss - Bilan (2)'!K17</f>
        <v>20000</v>
      </c>
      <c r="BI17" s="132">
        <f>'SC des SUCS - Bilan (2)'!K17</f>
        <v>1581994</v>
      </c>
      <c r="BJ17" s="132">
        <f>'SCI - Bilan (2)'!K17</f>
        <v>0</v>
      </c>
      <c r="BK17" s="132">
        <f>'Antreuil - Bilan (2)'!K17</f>
        <v>0</v>
      </c>
      <c r="BL17" s="132">
        <f t="shared" si="31"/>
        <v>2273497</v>
      </c>
      <c r="BM17" s="132"/>
      <c r="BN17" s="132">
        <f>'Probois 43 - Bilan (2)'!L17</f>
        <v>360986</v>
      </c>
      <c r="BO17" s="132">
        <f>'SAS EMB - Bilan (2)'!K17</f>
        <v>230175</v>
      </c>
      <c r="BP17" s="132">
        <f>'BSB - Bilan (2)'!L17</f>
        <v>80342</v>
      </c>
      <c r="BQ17" s="132">
        <f>'Profilyss - Bilan (2)'!L17</f>
        <v>20000</v>
      </c>
      <c r="BR17" s="132">
        <f>'SC des SUCS - Bilan (2)'!L17</f>
        <v>1581994</v>
      </c>
      <c r="BS17" s="132">
        <f>'SCI - Bilan (2)'!L17</f>
        <v>0</v>
      </c>
      <c r="BT17" s="132">
        <f>'Antreuil - Bilan (2)'!L17</f>
        <v>0</v>
      </c>
      <c r="BU17" s="132">
        <f t="shared" si="32"/>
        <v>2273497</v>
      </c>
    </row>
    <row r="18" spans="2:73">
      <c r="B18" s="131" t="s">
        <v>203</v>
      </c>
      <c r="C18" s="132">
        <f>'Probois 43 - Bilan'!C18</f>
        <v>323732</v>
      </c>
      <c r="D18" s="132"/>
      <c r="E18" s="132">
        <f>'BSB - Bilan'!C18</f>
        <v>261314</v>
      </c>
      <c r="F18" s="132">
        <f>'SC des SUCS - Bilan'!C18</f>
        <v>89776</v>
      </c>
      <c r="G18" s="132"/>
      <c r="H18" s="132">
        <f t="shared" si="24"/>
        <v>674822</v>
      </c>
      <c r="I18" s="132"/>
      <c r="J18" s="132">
        <f>'Probois 43 - Bilan'!D18</f>
        <v>269265</v>
      </c>
      <c r="K18" s="132">
        <f>'SAS EMB - Bilan'!C18</f>
        <v>125296</v>
      </c>
      <c r="L18" s="132">
        <f>'BSB - Bilan'!D18</f>
        <v>38209</v>
      </c>
      <c r="M18" s="132">
        <f>'SC des SUCS - Bilan'!D18</f>
        <v>570601</v>
      </c>
      <c r="N18" s="132">
        <f>'SCI - Bilan'!D18</f>
        <v>7908</v>
      </c>
      <c r="O18" s="132">
        <f t="shared" si="25"/>
        <v>1011279</v>
      </c>
      <c r="P18" s="132"/>
      <c r="Q18" s="132">
        <f>'Probois 43 - Bilan'!E18</f>
        <v>121422</v>
      </c>
      <c r="R18" s="132">
        <f>'SAS EMB - Bilan'!D18</f>
        <v>54561</v>
      </c>
      <c r="S18" s="132">
        <f>'BSB - Bilan'!E18</f>
        <v>72296</v>
      </c>
      <c r="T18" s="132">
        <f>'SC des SUCS - Bilan'!E18</f>
        <v>300829</v>
      </c>
      <c r="U18" s="132">
        <f>'SCI - Bilan'!E18</f>
        <v>14998</v>
      </c>
      <c r="V18" s="132">
        <f t="shared" si="26"/>
        <v>564106</v>
      </c>
      <c r="W18" s="132"/>
      <c r="X18" s="132">
        <f>'Probois 43 - Bilan'!F18</f>
        <v>326559</v>
      </c>
      <c r="Y18" s="132">
        <f>'SAS EMB - Bilan'!E18</f>
        <v>193820</v>
      </c>
      <c r="Z18" s="132">
        <f>'BSB - Bilan'!F18</f>
        <v>121384</v>
      </c>
      <c r="AA18" s="132">
        <f>'SC des SUCS - Bilan'!F18</f>
        <v>351850</v>
      </c>
      <c r="AB18" s="132">
        <f>'SCI - Bilan'!F18</f>
        <v>27416</v>
      </c>
      <c r="AC18" s="132">
        <f t="shared" si="27"/>
        <v>1021029</v>
      </c>
      <c r="AD18" s="132"/>
      <c r="AE18" s="132">
        <f>'Probois 43 - Bilan'!G18</f>
        <v>222211</v>
      </c>
      <c r="AF18" s="132">
        <f>'SAS EMB - Bilan'!F18</f>
        <v>112526</v>
      </c>
      <c r="AG18" s="132">
        <f>'BSB - Bilan'!G18</f>
        <v>243036</v>
      </c>
      <c r="AH18" s="132">
        <f>'SC des SUCS - Bilan (2)'!H18</f>
        <v>401051</v>
      </c>
      <c r="AI18" s="132">
        <f>'SCI - Bilan'!H18</f>
        <v>38347</v>
      </c>
      <c r="AJ18" s="132">
        <f t="shared" si="28"/>
        <v>1017171</v>
      </c>
      <c r="AK18" s="132"/>
      <c r="AL18" s="132"/>
      <c r="AM18" s="132">
        <f>'Probois 43 - Bilan (2)'!I18</f>
        <v>277989.75</v>
      </c>
      <c r="AN18" s="132">
        <f>'SAS EMB - Bilan (2)'!H18</f>
        <v>188436.26249999998</v>
      </c>
      <c r="AO18" s="132">
        <f>'BSB - Bilan (2)'!I18</f>
        <v>173102.94249999995</v>
      </c>
      <c r="AP18" s="132">
        <f>'Profilyss - Bilan (2)'!I18</f>
        <v>50000</v>
      </c>
      <c r="AQ18" s="132">
        <f>'SC des SUCS - Bilan (2)'!I18</f>
        <v>223301</v>
      </c>
      <c r="AR18" s="132">
        <f>'SCI - Bilan (2)'!I18</f>
        <v>49991</v>
      </c>
      <c r="AS18" s="132">
        <f>'Antreuil - Bilan (2)'!I18</f>
        <v>1000</v>
      </c>
      <c r="AT18" s="132">
        <f t="shared" si="29"/>
        <v>963820.95499999984</v>
      </c>
      <c r="AU18" s="132"/>
      <c r="AV18" s="132">
        <f>'Probois 43 - Bilan (2)'!J18</f>
        <v>295965.32</v>
      </c>
      <c r="AW18" s="132">
        <f>'SAS EMB - Bilan (2)'!I18</f>
        <v>241532.53428571418</v>
      </c>
      <c r="AX18" s="132">
        <f>'BSB - Bilan (2)'!J18</f>
        <v>110736.5224999999</v>
      </c>
      <c r="AY18" s="132">
        <f>'Profilyss - Bilan (2)'!J18</f>
        <v>459888.41958396754</v>
      </c>
      <c r="AZ18" s="132">
        <f>'SC des SUCS - Bilan (2)'!J18</f>
        <v>50457</v>
      </c>
      <c r="BA18" s="132">
        <f>'SCI - Bilan (2)'!J18</f>
        <v>61635</v>
      </c>
      <c r="BB18" s="132">
        <f>'Antreuil - Bilan (2)'!J18</f>
        <v>12856</v>
      </c>
      <c r="BC18" s="132">
        <f t="shared" si="30"/>
        <v>1233070.7963696816</v>
      </c>
      <c r="BD18" s="132"/>
      <c r="BE18" s="132">
        <f>'Probois 43 - Bilan (2)'!K18</f>
        <v>357402.94999999995</v>
      </c>
      <c r="BF18" s="132">
        <f>'SAS EMB - Bilan (2)'!J18</f>
        <v>322966.65607142844</v>
      </c>
      <c r="BG18" s="132">
        <f>'BSB - Bilan (2)'!K18</f>
        <v>127333.90499999991</v>
      </c>
      <c r="BH18" s="132">
        <f>'Profilyss - Bilan (2)'!K18</f>
        <v>166137.45515234029</v>
      </c>
      <c r="BI18" s="132">
        <f>'SC des SUCS - Bilan (2)'!K18</f>
        <v>-121667</v>
      </c>
      <c r="BJ18" s="132">
        <f>'SCI - Bilan (2)'!K18</f>
        <v>73279</v>
      </c>
      <c r="BK18" s="132">
        <f>'Antreuil - Bilan (2)'!K18</f>
        <v>25712</v>
      </c>
      <c r="BL18" s="132">
        <f t="shared" si="31"/>
        <v>951164.96622376866</v>
      </c>
      <c r="BM18" s="132"/>
      <c r="BN18" s="132">
        <f>'Probois 43 - Bilan (2)'!L18</f>
        <v>455392.05999999994</v>
      </c>
      <c r="BO18" s="132">
        <f>'SAS EMB - Bilan (2)'!K18</f>
        <v>413335.35785714263</v>
      </c>
      <c r="BP18" s="132">
        <f>'BSB - Bilan (2)'!L18</f>
        <v>208867.01999999996</v>
      </c>
      <c r="BQ18" s="132">
        <f>'Profilyss - Bilan (2)'!L18</f>
        <v>353394.90720713488</v>
      </c>
      <c r="BR18" s="132">
        <f>'SC des SUCS - Bilan (2)'!L18</f>
        <v>-289841</v>
      </c>
      <c r="BS18" s="132">
        <f>'SCI - Bilan (2)'!L18</f>
        <v>84923</v>
      </c>
      <c r="BT18" s="132">
        <f>'Antreuil - Bilan (2)'!L18</f>
        <v>38568</v>
      </c>
      <c r="BU18" s="132">
        <f t="shared" si="32"/>
        <v>1264639.3450642775</v>
      </c>
    </row>
    <row r="19" spans="2:73">
      <c r="B19" s="131" t="s">
        <v>204</v>
      </c>
      <c r="C19" s="132">
        <f>'Probois 43 - Bilan'!C19</f>
        <v>11002</v>
      </c>
      <c r="D19" s="132"/>
      <c r="E19" s="132">
        <f>'BSB - Bilan'!C19</f>
        <v>4024</v>
      </c>
      <c r="F19" s="132">
        <f>'SC des SUCS - Bilan'!C19</f>
        <v>0</v>
      </c>
      <c r="G19" s="132"/>
      <c r="H19" s="132">
        <f t="shared" si="24"/>
        <v>15026</v>
      </c>
      <c r="I19" s="132"/>
      <c r="J19" s="132">
        <f>'Probois 43 - Bilan'!D19</f>
        <v>7049</v>
      </c>
      <c r="K19" s="132">
        <f>'SAS EMB - Bilan'!C19</f>
        <v>9375</v>
      </c>
      <c r="L19" s="132">
        <f>'BSB - Bilan'!D19</f>
        <v>4249</v>
      </c>
      <c r="M19" s="132">
        <f>'SC des SUCS - Bilan'!D19</f>
        <v>0</v>
      </c>
      <c r="N19" s="132">
        <f>'SCI - Bilan'!D19</f>
        <v>0</v>
      </c>
      <c r="O19" s="132">
        <f t="shared" si="25"/>
        <v>20673</v>
      </c>
      <c r="P19" s="132"/>
      <c r="Q19" s="132">
        <f>'Probois 43 - Bilan'!E19</f>
        <v>7569</v>
      </c>
      <c r="R19" s="132">
        <f>'SAS EMB - Bilan'!D19</f>
        <v>11417</v>
      </c>
      <c r="S19" s="132">
        <f>'BSB - Bilan'!E19</f>
        <v>4358</v>
      </c>
      <c r="T19" s="132">
        <f>'SC des SUCS - Bilan'!E19</f>
        <v>0</v>
      </c>
      <c r="U19" s="132">
        <f>'SCI - Bilan'!E19</f>
        <v>0</v>
      </c>
      <c r="V19" s="132">
        <f t="shared" si="26"/>
        <v>23344</v>
      </c>
      <c r="W19" s="132"/>
      <c r="X19" s="132">
        <f>'Probois 43 - Bilan'!F19</f>
        <v>12207</v>
      </c>
      <c r="Y19" s="132">
        <f>'SAS EMB - Bilan'!E19</f>
        <v>10395</v>
      </c>
      <c r="Z19" s="132">
        <f>'BSB - Bilan'!F19</f>
        <v>4739</v>
      </c>
      <c r="AA19" s="132">
        <f>'SC des SUCS - Bilan'!F19</f>
        <v>0</v>
      </c>
      <c r="AB19" s="132">
        <f>'SCI - Bilan'!F19</f>
        <v>0</v>
      </c>
      <c r="AC19" s="132">
        <f t="shared" si="27"/>
        <v>27341</v>
      </c>
      <c r="AD19" s="132"/>
      <c r="AE19" s="132">
        <f>'Probois 43 - Bilan'!G19</f>
        <v>8952</v>
      </c>
      <c r="AF19" s="132">
        <f>'SAS EMB - Bilan'!F19</f>
        <v>8971</v>
      </c>
      <c r="AG19" s="132">
        <f>'BSB - Bilan'!G19</f>
        <v>23019</v>
      </c>
      <c r="AH19" s="132">
        <f>'SC des SUCS - Bilan'!H19</f>
        <v>0</v>
      </c>
      <c r="AI19" s="132">
        <f>'SCI - Bilan'!H19</f>
        <v>0</v>
      </c>
      <c r="AJ19" s="132">
        <f t="shared" si="28"/>
        <v>40942</v>
      </c>
      <c r="AK19" s="132"/>
      <c r="AL19" s="132"/>
      <c r="AM19" s="132">
        <f>'Probois 43 - Bilan (2)'!I19</f>
        <v>8952</v>
      </c>
      <c r="AN19" s="132">
        <f>'SAS EMB - Bilan (2)'!H19</f>
        <v>8971</v>
      </c>
      <c r="AO19" s="132">
        <f>'BSB - Bilan (2)'!I19</f>
        <v>23019</v>
      </c>
      <c r="AP19" s="132">
        <f>'Profilyss - Bilan (2)'!I19</f>
        <v>0</v>
      </c>
      <c r="AQ19" s="132">
        <f>'SC des SUCS - Bilan (2)'!I19</f>
        <v>0</v>
      </c>
      <c r="AR19" s="132">
        <f>'SCI - Bilan (2)'!I19</f>
        <v>0</v>
      </c>
      <c r="AS19" s="132"/>
      <c r="AT19" s="132">
        <f t="shared" si="29"/>
        <v>40942</v>
      </c>
      <c r="AU19" s="132"/>
      <c r="AV19" s="132">
        <f>'Probois 43 - Bilan (2)'!J19</f>
        <v>8952</v>
      </c>
      <c r="AW19" s="132">
        <f>'SAS EMB - Bilan (2)'!I19</f>
        <v>8971</v>
      </c>
      <c r="AX19" s="132">
        <f>'BSB - Bilan (2)'!J19</f>
        <v>23019</v>
      </c>
      <c r="AY19" s="132">
        <f>'Profilyss - Bilan (2)'!J19</f>
        <v>0</v>
      </c>
      <c r="AZ19" s="132">
        <f>'SC des SUCS - Bilan (2)'!J19</f>
        <v>0</v>
      </c>
      <c r="BA19" s="132">
        <f>'SCI - Bilan (2)'!J19</f>
        <v>0</v>
      </c>
      <c r="BB19" s="132">
        <f>'Antreuil - Bilan (2)'!J19</f>
        <v>0</v>
      </c>
      <c r="BC19" s="132">
        <f t="shared" si="30"/>
        <v>40942</v>
      </c>
      <c r="BD19" s="132"/>
      <c r="BE19" s="132">
        <f>'Probois 43 - Bilan (2)'!K19</f>
        <v>8952</v>
      </c>
      <c r="BF19" s="132">
        <f>'SAS EMB - Bilan (2)'!J19</f>
        <v>8971</v>
      </c>
      <c r="BG19" s="132">
        <f>'BSB - Bilan (2)'!K19</f>
        <v>23019</v>
      </c>
      <c r="BH19" s="132">
        <f>'Profilyss - Bilan (2)'!K19</f>
        <v>0</v>
      </c>
      <c r="BI19" s="132">
        <f>'SC des SUCS - Bilan (2)'!K19</f>
        <v>0</v>
      </c>
      <c r="BJ19" s="132">
        <f>'SCI - Bilan (2)'!K19</f>
        <v>0</v>
      </c>
      <c r="BK19" s="132">
        <f>'Antreuil - Bilan (2)'!K19</f>
        <v>0</v>
      </c>
      <c r="BL19" s="132">
        <f t="shared" si="31"/>
        <v>40942</v>
      </c>
      <c r="BM19" s="132"/>
      <c r="BN19" s="132">
        <f>'Probois 43 - Bilan (2)'!L19</f>
        <v>8952</v>
      </c>
      <c r="BO19" s="132">
        <f>'SAS EMB - Bilan (2)'!K19</f>
        <v>8971</v>
      </c>
      <c r="BP19" s="132">
        <f>'BSB - Bilan (2)'!L19</f>
        <v>23019</v>
      </c>
      <c r="BQ19" s="132">
        <f>'Profilyss - Bilan (2)'!L19</f>
        <v>0</v>
      </c>
      <c r="BR19" s="132">
        <f>'SC des SUCS - Bilan (2)'!L19</f>
        <v>0</v>
      </c>
      <c r="BS19" s="132">
        <f>'SCI - Bilan (2)'!L19</f>
        <v>0</v>
      </c>
      <c r="BT19" s="132">
        <f>'Antreuil - Bilan (2)'!L19</f>
        <v>0</v>
      </c>
      <c r="BU19" s="132">
        <f t="shared" si="32"/>
        <v>40942</v>
      </c>
    </row>
    <row r="20" spans="2:73">
      <c r="B20" s="131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</row>
    <row r="21" spans="2:73" s="168" customFormat="1">
      <c r="B21" s="130" t="s">
        <v>188</v>
      </c>
      <c r="C21" s="128">
        <v>-1</v>
      </c>
      <c r="D21" s="128"/>
      <c r="E21" s="128">
        <f>'BSB - Bilan'!C21</f>
        <v>-1</v>
      </c>
      <c r="F21" s="128">
        <f>'SC des SUCS - Bilan'!C21</f>
        <v>1</v>
      </c>
      <c r="G21" s="128"/>
      <c r="H21" s="128">
        <f>SUM(C21:G21)</f>
        <v>-1</v>
      </c>
      <c r="I21" s="128"/>
      <c r="J21" s="128">
        <v>0</v>
      </c>
      <c r="K21" s="128">
        <f>'SAS EMB - Bilan'!C21</f>
        <v>0</v>
      </c>
      <c r="L21" s="128">
        <f>'BSB - Bilan'!D21</f>
        <v>0</v>
      </c>
      <c r="M21" s="128">
        <f>'SC des SUCS - Bilan'!D21</f>
        <v>0</v>
      </c>
      <c r="N21" s="128">
        <f>'SCI - Bilan'!D21</f>
        <v>0</v>
      </c>
      <c r="O21" s="128">
        <f>SUM(J21:N21)</f>
        <v>0</v>
      </c>
      <c r="P21" s="128"/>
      <c r="Q21" s="128">
        <v>0</v>
      </c>
      <c r="R21" s="128">
        <f>'SAS EMB - Bilan'!D21</f>
        <v>-1</v>
      </c>
      <c r="S21" s="128">
        <f>'BSB - Bilan'!E21</f>
        <v>1</v>
      </c>
      <c r="T21" s="128">
        <f>'SC des SUCS - Bilan'!E21</f>
        <v>0</v>
      </c>
      <c r="U21" s="128">
        <f>'SCI - Bilan'!E21</f>
        <v>0</v>
      </c>
      <c r="V21" s="128">
        <f>SUM(Q21:U21)</f>
        <v>0</v>
      </c>
      <c r="W21" s="128"/>
      <c r="X21" s="128">
        <v>1</v>
      </c>
      <c r="Y21" s="128">
        <f>'SAS EMB - Bilan'!E21</f>
        <v>-1</v>
      </c>
      <c r="Z21" s="128">
        <f>'BSB - Bilan'!F21</f>
        <v>0</v>
      </c>
      <c r="AA21" s="128">
        <v>-1</v>
      </c>
      <c r="AB21" s="128">
        <f>'SCI - Bilan'!F21</f>
        <v>0</v>
      </c>
      <c r="AC21" s="128">
        <f>SUM(X21:AB21)</f>
        <v>-1</v>
      </c>
      <c r="AD21" s="128"/>
      <c r="AE21" s="128">
        <f>'Probois 43 - Bilan'!G21</f>
        <v>-1</v>
      </c>
      <c r="AF21" s="128">
        <f>'SAS EMB - Bilan'!F21</f>
        <v>-1</v>
      </c>
      <c r="AG21" s="128">
        <f>'BSB - Bilan'!G21</f>
        <v>1</v>
      </c>
      <c r="AH21" s="128">
        <f>'SC des SUCS - Bilan'!H21</f>
        <v>0</v>
      </c>
      <c r="AI21" s="128">
        <f>'SCI - Bilan'!H21</f>
        <v>0</v>
      </c>
      <c r="AJ21" s="128">
        <f>SUM(AE21:AI21)</f>
        <v>-1</v>
      </c>
      <c r="AK21" s="128"/>
      <c r="AL21" s="128"/>
      <c r="AM21" s="128">
        <f>'Probois 43 - Bilan (2)'!I21</f>
        <v>-1</v>
      </c>
      <c r="AN21" s="128">
        <f>'SAS EMB - Bilan (2)'!H21</f>
        <v>-1</v>
      </c>
      <c r="AO21" s="128">
        <f>'BSB - Bilan (2)'!I21</f>
        <v>1</v>
      </c>
      <c r="AP21" s="128">
        <f>'Profilyss - Bilan (2)'!I21</f>
        <v>0</v>
      </c>
      <c r="AQ21" s="128">
        <f>'SC des SUCS - Bilan (2)'!I21</f>
        <v>0</v>
      </c>
      <c r="AR21" s="128">
        <f>'SCI - Bilan (2)'!I21</f>
        <v>0</v>
      </c>
      <c r="AS21" s="128">
        <f>'SCI - Bilan (2)'!J21</f>
        <v>0</v>
      </c>
      <c r="AT21" s="128">
        <f>SUM(AM21:AS21)</f>
        <v>-1</v>
      </c>
      <c r="AU21" s="128"/>
      <c r="AV21" s="128">
        <f>'Probois 43 - Bilan (2)'!J21</f>
        <v>-1</v>
      </c>
      <c r="AW21" s="128">
        <f>'SAS EMB - Bilan (2)'!I21</f>
        <v>-1</v>
      </c>
      <c r="AX21" s="128">
        <f>'BSB - Bilan (2)'!J21</f>
        <v>1</v>
      </c>
      <c r="AY21" s="128">
        <f>'Profilyss - Bilan (2)'!J21</f>
        <v>0</v>
      </c>
      <c r="AZ21" s="128">
        <f>'SC des SUCS - Bilan (2)'!J21</f>
        <v>0</v>
      </c>
      <c r="BA21" s="128">
        <f>'SCI - Bilan (2)'!J21</f>
        <v>0</v>
      </c>
      <c r="BB21" s="128">
        <f>'SCI - Bilan (2)'!S21</f>
        <v>0</v>
      </c>
      <c r="BC21" s="128">
        <f t="shared" si="30"/>
        <v>-1</v>
      </c>
      <c r="BD21" s="128"/>
      <c r="BE21" s="128">
        <f>'Probois 43 - Bilan (2)'!K21</f>
        <v>-1</v>
      </c>
      <c r="BF21" s="128">
        <f>'SAS EMB - Bilan (2)'!J21</f>
        <v>-1</v>
      </c>
      <c r="BG21" s="128">
        <f>'BSB - Bilan (2)'!K21</f>
        <v>1</v>
      </c>
      <c r="BH21" s="128">
        <f>'Profilyss - Bilan (2)'!K21</f>
        <v>0</v>
      </c>
      <c r="BI21" s="128">
        <f>'SC des SUCS - Bilan (2)'!K21</f>
        <v>0</v>
      </c>
      <c r="BJ21" s="128">
        <f>'SCI - Bilan (2)'!K21</f>
        <v>0</v>
      </c>
      <c r="BK21" s="128">
        <f>'SCI - Bilan (2)'!AB21</f>
        <v>0</v>
      </c>
      <c r="BL21" s="128">
        <f t="shared" si="31"/>
        <v>-1</v>
      </c>
      <c r="BM21" s="128"/>
      <c r="BN21" s="128">
        <f>'Probois 43 - Bilan (2)'!L21</f>
        <v>-1</v>
      </c>
      <c r="BO21" s="128">
        <f>'SAS EMB - Bilan (2)'!K21</f>
        <v>-1</v>
      </c>
      <c r="BP21" s="128">
        <f>'BSB - Bilan (2)'!L21</f>
        <v>1</v>
      </c>
      <c r="BQ21" s="128">
        <f>'Profilyss - Bilan (2)'!L21</f>
        <v>0</v>
      </c>
      <c r="BR21" s="128">
        <f>'SC des SUCS - Bilan (2)'!L21</f>
        <v>0</v>
      </c>
      <c r="BS21" s="128">
        <f>'SCI - Bilan (2)'!L21</f>
        <v>0</v>
      </c>
      <c r="BT21" s="128">
        <f>'SCI - Bilan (2)'!AK21</f>
        <v>0</v>
      </c>
      <c r="BU21" s="128">
        <f t="shared" si="32"/>
        <v>-1</v>
      </c>
    </row>
    <row r="22" spans="2:73">
      <c r="B22" s="131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28"/>
      <c r="Y22" s="128"/>
      <c r="Z22" s="128"/>
      <c r="AA22" s="135"/>
      <c r="AB22" s="135"/>
      <c r="AC22" s="135"/>
      <c r="AD22" s="135"/>
      <c r="AE22" s="128"/>
      <c r="AF22" s="128"/>
      <c r="AG22" s="128"/>
      <c r="AH22" s="135"/>
      <c r="AI22" s="135"/>
      <c r="AJ22" s="135"/>
      <c r="AK22" s="135"/>
      <c r="AL22" s="135"/>
      <c r="AM22" s="128"/>
      <c r="AN22" s="128"/>
      <c r="AO22" s="128"/>
      <c r="AP22" s="128"/>
      <c r="AQ22" s="135"/>
      <c r="AR22" s="135"/>
      <c r="AS22" s="135"/>
      <c r="AT22" s="135"/>
      <c r="AU22" s="135"/>
      <c r="AV22" s="132"/>
      <c r="AW22" s="128"/>
      <c r="AX22" s="128"/>
      <c r="AY22" s="128"/>
      <c r="AZ22" s="135"/>
      <c r="BA22" s="135"/>
      <c r="BB22" s="135"/>
      <c r="BC22" s="135"/>
      <c r="BD22" s="135"/>
      <c r="BE22" s="128"/>
      <c r="BF22" s="128"/>
      <c r="BG22" s="128"/>
      <c r="BH22" s="128"/>
      <c r="BI22" s="135"/>
      <c r="BJ22" s="135"/>
      <c r="BK22" s="135"/>
      <c r="BL22" s="135"/>
      <c r="BM22" s="135"/>
      <c r="BN22" s="128"/>
      <c r="BO22" s="128"/>
      <c r="BP22" s="128"/>
      <c r="BQ22" s="128"/>
      <c r="BR22" s="135"/>
      <c r="BS22" s="135"/>
      <c r="BT22" s="135"/>
      <c r="BU22" s="135"/>
    </row>
    <row r="23" spans="2:73">
      <c r="B23" s="139" t="s">
        <v>205</v>
      </c>
      <c r="C23" s="140">
        <f>C21+C13+C8</f>
        <v>1085370</v>
      </c>
      <c r="D23" s="140">
        <f>D21+D13+D8</f>
        <v>0</v>
      </c>
      <c r="E23" s="140">
        <f>E21+E13+E8</f>
        <v>1052939</v>
      </c>
      <c r="F23" s="140">
        <f>F21+F13+F8</f>
        <v>1015941</v>
      </c>
      <c r="G23" s="140">
        <f>G21+G13+G8</f>
        <v>0</v>
      </c>
      <c r="H23" s="140">
        <f>SUM(C23:G23)</f>
        <v>3154250</v>
      </c>
      <c r="I23" s="140"/>
      <c r="J23" s="140">
        <f>J21+J13+J8</f>
        <v>1360286</v>
      </c>
      <c r="K23" s="140">
        <f>K21+K13+K8</f>
        <v>673951</v>
      </c>
      <c r="L23" s="140">
        <f>L21+L13+L8</f>
        <v>901970</v>
      </c>
      <c r="M23" s="140">
        <f>M21+M13+M8</f>
        <v>1552813</v>
      </c>
      <c r="N23" s="140">
        <f>N21+N13+N8</f>
        <v>122786</v>
      </c>
      <c r="O23" s="140">
        <f>SUM(J23:N23)</f>
        <v>4611806</v>
      </c>
      <c r="P23" s="140"/>
      <c r="Q23" s="140">
        <f>Q21+Q13+Q8</f>
        <v>1704667</v>
      </c>
      <c r="R23" s="140">
        <f>R21+R13+R8</f>
        <v>770683</v>
      </c>
      <c r="S23" s="140">
        <f>S21+S13+S8</f>
        <v>1360859</v>
      </c>
      <c r="T23" s="140">
        <f>T21+T13+T8</f>
        <v>1937667</v>
      </c>
      <c r="U23" s="140">
        <f>U21+U13+U8</f>
        <v>159994</v>
      </c>
      <c r="V23" s="140">
        <f>SUM(Q23:U23)</f>
        <v>5933870</v>
      </c>
      <c r="W23" s="140"/>
      <c r="X23" s="140">
        <f>X21+X13+X8</f>
        <v>1670721</v>
      </c>
      <c r="Y23" s="140">
        <f>Y21+Y13+Y8</f>
        <v>743488</v>
      </c>
      <c r="Z23" s="140">
        <f>Z21+Z13+Z8</f>
        <v>1484911</v>
      </c>
      <c r="AA23" s="140">
        <f>AA21+AA13+AA8</f>
        <v>2567460</v>
      </c>
      <c r="AB23" s="140">
        <f>AB21+AB13+AB8</f>
        <v>167460</v>
      </c>
      <c r="AC23" s="140">
        <f>SUM(X23:AB23)</f>
        <v>6634040</v>
      </c>
      <c r="AD23" s="271"/>
      <c r="AE23" s="140">
        <f>AE21+AE13+AE8</f>
        <v>1513262</v>
      </c>
      <c r="AF23" s="140">
        <f>AF21+AF13+AF8</f>
        <v>853441</v>
      </c>
      <c r="AG23" s="140">
        <f>AG21+AG13+AG8</f>
        <v>1894384</v>
      </c>
      <c r="AH23" s="140">
        <f>AH21+AH13+AH8</f>
        <v>3588065</v>
      </c>
      <c r="AI23" s="140">
        <f>AI21+AI13+AI8</f>
        <v>169872</v>
      </c>
      <c r="AJ23" s="140">
        <f t="shared" ref="AJ23" si="33">+AJ6+AJ8+AJ13+AJ21</f>
        <v>8019024</v>
      </c>
      <c r="AK23" s="271"/>
      <c r="AL23" s="271"/>
      <c r="AM23" s="140">
        <f t="shared" ref="AM23:AR23" si="34">AM21+AM13+AM8</f>
        <v>1503332.75</v>
      </c>
      <c r="AN23" s="140">
        <f t="shared" si="34"/>
        <v>932928.26249999995</v>
      </c>
      <c r="AO23" s="140">
        <f t="shared" si="34"/>
        <v>1803713.9424999999</v>
      </c>
      <c r="AP23" s="140">
        <f t="shared" si="34"/>
        <v>50000</v>
      </c>
      <c r="AQ23" s="140">
        <f t="shared" si="34"/>
        <v>3411311</v>
      </c>
      <c r="AR23" s="140">
        <f t="shared" si="34"/>
        <v>172997</v>
      </c>
      <c r="AS23" s="140">
        <f t="shared" ref="AS23" si="35">AS21+AS13+AS8</f>
        <v>1000</v>
      </c>
      <c r="AT23" s="140">
        <f t="shared" ref="AT23" si="36">+AT6+AT8+AT13+AT21</f>
        <v>7875282.9550000001</v>
      </c>
      <c r="AU23" s="271"/>
      <c r="AV23" s="140">
        <f t="shared" ref="AV23:BB23" si="37">AV21+AV13+AV8</f>
        <v>1550308.32</v>
      </c>
      <c r="AW23" s="140">
        <f t="shared" si="37"/>
        <v>986024.53428571415</v>
      </c>
      <c r="AX23" s="140">
        <f t="shared" si="37"/>
        <v>1802413.5225</v>
      </c>
      <c r="AY23" s="140">
        <f t="shared" si="37"/>
        <v>2755211.1227803146</v>
      </c>
      <c r="AZ23" s="140">
        <f t="shared" si="37"/>
        <v>3238467</v>
      </c>
      <c r="BA23" s="140">
        <f t="shared" si="37"/>
        <v>176122</v>
      </c>
      <c r="BB23" s="140">
        <f t="shared" si="37"/>
        <v>3235629</v>
      </c>
      <c r="BC23" s="140">
        <f t="shared" ref="BC23" si="38">+BC6+BC8+BC13+BC21</f>
        <v>13744175.499566028</v>
      </c>
      <c r="BD23" s="271"/>
      <c r="BE23" s="140">
        <f t="shared" ref="BE23:BK23" si="39">BE21+BE13+BE8</f>
        <v>1652745.95</v>
      </c>
      <c r="BF23" s="140">
        <f t="shared" si="39"/>
        <v>1067458.6560714284</v>
      </c>
      <c r="BG23" s="140">
        <f t="shared" si="39"/>
        <v>1870010.9049999998</v>
      </c>
      <c r="BH23" s="140">
        <f t="shared" si="39"/>
        <v>2362292.9802664956</v>
      </c>
      <c r="BI23" s="140">
        <f t="shared" si="39"/>
        <v>3066343</v>
      </c>
      <c r="BJ23" s="140">
        <f t="shared" si="39"/>
        <v>179247</v>
      </c>
      <c r="BK23" s="140">
        <f t="shared" si="39"/>
        <v>3079918</v>
      </c>
      <c r="BL23" s="140">
        <f t="shared" ref="BL23" si="40">+BL6+BL8+BL13+BL21</f>
        <v>13278016.491337925</v>
      </c>
      <c r="BM23" s="271"/>
      <c r="BN23" s="140">
        <f t="shared" ref="BN23:BT23" si="41">BN21+BN13+BN8</f>
        <v>1771735.06</v>
      </c>
      <c r="BO23" s="140">
        <f t="shared" si="41"/>
        <v>1162827.3578571426</v>
      </c>
      <c r="BP23" s="140">
        <f t="shared" si="41"/>
        <v>1982544.02</v>
      </c>
      <c r="BQ23" s="140">
        <f t="shared" si="41"/>
        <v>2525880.9711340754</v>
      </c>
      <c r="BR23" s="140">
        <f t="shared" si="41"/>
        <v>2898169</v>
      </c>
      <c r="BS23" s="140">
        <f t="shared" si="41"/>
        <v>182372</v>
      </c>
      <c r="BT23" s="140">
        <f t="shared" si="41"/>
        <v>2924207</v>
      </c>
      <c r="BU23" s="140">
        <f t="shared" ref="BU23" si="42">+BU6+BU8+BU13+BU21</f>
        <v>13447735.408991218</v>
      </c>
    </row>
    <row r="24" spans="2:73">
      <c r="B24" s="141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</row>
    <row r="25" spans="2:73">
      <c r="B25" s="130" t="s">
        <v>111</v>
      </c>
      <c r="C25" s="128">
        <f>SUM(C26:C32)</f>
        <v>337013</v>
      </c>
      <c r="D25" s="128">
        <f>SUM(D26:D32)</f>
        <v>0</v>
      </c>
      <c r="E25" s="128">
        <f>SUM(E26:E32)</f>
        <v>164652</v>
      </c>
      <c r="F25" s="128">
        <f>SUM(F26:F32)</f>
        <v>798978</v>
      </c>
      <c r="G25" s="128">
        <f>SUM(G26:G32)</f>
        <v>0</v>
      </c>
      <c r="H25" s="128">
        <f t="shared" ref="H25:H31" si="43">SUM(C25:G25)</f>
        <v>1300643</v>
      </c>
      <c r="I25" s="128"/>
      <c r="J25" s="128">
        <f>SUM(J26:J32)</f>
        <v>363124</v>
      </c>
      <c r="K25" s="128">
        <f>SUM(K26:K32)</f>
        <v>385994</v>
      </c>
      <c r="L25" s="128">
        <f>SUM(L26:L32)</f>
        <v>186905</v>
      </c>
      <c r="M25" s="128">
        <f>SUM(M26:M32)</f>
        <v>820376</v>
      </c>
      <c r="N25" s="128">
        <f>SUM(N26:N32)</f>
        <v>37418</v>
      </c>
      <c r="O25" s="128">
        <f t="shared" ref="O25:O31" si="44">SUM(J25:N25)</f>
        <v>1793817</v>
      </c>
      <c r="P25" s="128"/>
      <c r="Q25" s="128">
        <f>SUM(Q26:Q32)</f>
        <v>447124</v>
      </c>
      <c r="R25" s="128">
        <f>SUM(R26:R32)</f>
        <v>491267</v>
      </c>
      <c r="S25" s="128">
        <f>SUM(S26:S32)</f>
        <v>266705</v>
      </c>
      <c r="T25" s="128">
        <f>SUM(T26:T32)</f>
        <v>1427572</v>
      </c>
      <c r="U25" s="128">
        <f>SUM(U26:U32)</f>
        <v>43746</v>
      </c>
      <c r="V25" s="128">
        <f t="shared" ref="V25:V31" si="45">SUM(Q25:U25)</f>
        <v>2676414</v>
      </c>
      <c r="W25" s="128"/>
      <c r="X25" s="128">
        <f>SUM(X26:X32)</f>
        <v>465605</v>
      </c>
      <c r="Y25" s="128">
        <f>SUM(Y26:Y32)</f>
        <v>502332</v>
      </c>
      <c r="Z25" s="128">
        <f>SUM(Z26:Z32)</f>
        <v>357751</v>
      </c>
      <c r="AA25" s="128">
        <f>SUM(AA26:AA32)</f>
        <v>1537285</v>
      </c>
      <c r="AB25" s="128">
        <f>SUM(AB26:AB32)</f>
        <v>51871</v>
      </c>
      <c r="AC25" s="128">
        <f t="shared" ref="AC25:AC31" si="46">SUM(X25:AB25)</f>
        <v>2914844</v>
      </c>
      <c r="AD25" s="128"/>
      <c r="AE25" s="128">
        <f>SUM(AE26:AE32)</f>
        <v>601975</v>
      </c>
      <c r="AF25" s="128">
        <f>SUM(AF26:AF32)</f>
        <v>593331</v>
      </c>
      <c r="AG25" s="128">
        <f>SUM(AG26:AG32)</f>
        <v>496655</v>
      </c>
      <c r="AH25" s="128">
        <f>SUM(AH26:AH32)</f>
        <v>1866178</v>
      </c>
      <c r="AI25" s="128">
        <f>SUM(AI26:AI32)</f>
        <v>59996</v>
      </c>
      <c r="AJ25" s="128">
        <f t="shared" ref="AJ25" si="47">SUM(AJ26:AJ31)</f>
        <v>3618135</v>
      </c>
      <c r="AK25" s="128"/>
      <c r="AL25" s="128"/>
      <c r="AM25" s="128">
        <f t="shared" ref="AM25:AR25" si="48">SUM(AM26:AM32)</f>
        <v>672876.75</v>
      </c>
      <c r="AN25" s="128">
        <f t="shared" si="48"/>
        <v>672818.26249999995</v>
      </c>
      <c r="AO25" s="128">
        <f t="shared" si="48"/>
        <v>517083.94249999995</v>
      </c>
      <c r="AP25" s="128">
        <f t="shared" si="48"/>
        <v>50000</v>
      </c>
      <c r="AQ25" s="128">
        <f t="shared" si="48"/>
        <v>1739792</v>
      </c>
      <c r="AR25" s="128">
        <f t="shared" si="48"/>
        <v>68121</v>
      </c>
      <c r="AS25" s="128">
        <f t="shared" ref="AS25" si="49">SUM(AS26:AS32)</f>
        <v>1000</v>
      </c>
      <c r="AT25" s="128">
        <f t="shared" ref="AT25" si="50">SUM(AT26:AT31)</f>
        <v>3721691.9550000001</v>
      </c>
      <c r="AU25" s="128"/>
      <c r="AV25" s="128">
        <f t="shared" ref="AV25:BB25" si="51">SUM(AV26:AV32)</f>
        <v>759852.32000000007</v>
      </c>
      <c r="AW25" s="128">
        <f t="shared" si="51"/>
        <v>735605.53428571415</v>
      </c>
      <c r="AX25" s="128">
        <f t="shared" si="51"/>
        <v>561401.52249999996</v>
      </c>
      <c r="AY25" s="128">
        <f t="shared" si="51"/>
        <v>94673.629629629664</v>
      </c>
      <c r="AZ25" s="128">
        <f t="shared" si="51"/>
        <v>1613902</v>
      </c>
      <c r="BA25" s="128">
        <f t="shared" si="51"/>
        <v>76246</v>
      </c>
      <c r="BB25" s="128">
        <f t="shared" si="51"/>
        <v>772943</v>
      </c>
      <c r="BC25" s="128">
        <f t="shared" ref="BC25" si="52">SUM(BC26:BC31)</f>
        <v>4614624.0064153438</v>
      </c>
      <c r="BD25" s="128"/>
      <c r="BE25" s="128">
        <f t="shared" ref="BE25:BK25" si="53">SUM(BE26:BE32)</f>
        <v>862289.95000000007</v>
      </c>
      <c r="BF25" s="128">
        <f t="shared" si="53"/>
        <v>812039.65607142844</v>
      </c>
      <c r="BG25" s="128">
        <f t="shared" si="53"/>
        <v>647998.90499999991</v>
      </c>
      <c r="BH25" s="128">
        <f t="shared" si="53"/>
        <v>-80692.458089668769</v>
      </c>
      <c r="BI25" s="128">
        <f t="shared" si="53"/>
        <v>1488515</v>
      </c>
      <c r="BJ25" s="128">
        <f t="shared" si="53"/>
        <v>84371</v>
      </c>
      <c r="BK25" s="128">
        <f t="shared" si="53"/>
        <v>750087</v>
      </c>
      <c r="BL25" s="128">
        <f t="shared" ref="BL25" si="54">SUM(BL26:BL31)</f>
        <v>4564609.0529817594</v>
      </c>
      <c r="BM25" s="128"/>
      <c r="BN25" s="128">
        <f t="shared" ref="BN25:BT25" si="55">SUM(BN26:BN32)</f>
        <v>981279.06</v>
      </c>
      <c r="BO25" s="128">
        <f t="shared" si="55"/>
        <v>902408.35785714258</v>
      </c>
      <c r="BP25" s="128">
        <f t="shared" si="55"/>
        <v>779532.02</v>
      </c>
      <c r="BQ25" s="128">
        <f t="shared" si="55"/>
        <v>276471.8752436646</v>
      </c>
      <c r="BR25" s="128">
        <f t="shared" si="55"/>
        <v>1363635</v>
      </c>
      <c r="BS25" s="128">
        <f t="shared" si="55"/>
        <v>92496</v>
      </c>
      <c r="BT25" s="128">
        <f t="shared" si="55"/>
        <v>732642</v>
      </c>
      <c r="BU25" s="128">
        <f t="shared" ref="BU25" si="56">SUM(BU26:BU31)</f>
        <v>5128464.3131008074</v>
      </c>
    </row>
    <row r="26" spans="2:73">
      <c r="B26" s="131" t="s">
        <v>206</v>
      </c>
      <c r="C26" s="132">
        <f>'Probois 43 - Bilan'!C26</f>
        <v>10000</v>
      </c>
      <c r="D26" s="132"/>
      <c r="E26" s="132">
        <f>'BSB - Bilan'!C26</f>
        <v>10000</v>
      </c>
      <c r="F26" s="132">
        <f>'SC des SUCS - Bilan'!C26</f>
        <v>600100</v>
      </c>
      <c r="G26" s="132"/>
      <c r="H26" s="132">
        <f t="shared" si="43"/>
        <v>620100</v>
      </c>
      <c r="I26" s="132"/>
      <c r="J26" s="132">
        <f>'Probois 43 - Bilan'!D26</f>
        <v>10000</v>
      </c>
      <c r="K26" s="132">
        <f>'SAS EMB - Bilan'!C26</f>
        <v>110000</v>
      </c>
      <c r="L26" s="132">
        <f>'BSB - Bilan'!D26</f>
        <v>10000</v>
      </c>
      <c r="M26" s="132">
        <f>'SC des SUCS - Bilan'!D26</f>
        <v>600100</v>
      </c>
      <c r="N26" s="132">
        <f>'SCI - Bilan'!D26</f>
        <v>1400</v>
      </c>
      <c r="O26" s="132">
        <f t="shared" si="44"/>
        <v>731500</v>
      </c>
      <c r="P26" s="132"/>
      <c r="Q26" s="132">
        <f>'Probois 43 - Bilan'!E26</f>
        <v>10000</v>
      </c>
      <c r="R26" s="132">
        <f>'SAS EMB - Bilan'!D26</f>
        <v>110000</v>
      </c>
      <c r="S26" s="132">
        <f>'BSB - Bilan'!E26</f>
        <v>10000</v>
      </c>
      <c r="T26" s="132">
        <f>'SC des SUCS - Bilan'!E26</f>
        <v>1110100</v>
      </c>
      <c r="U26" s="132">
        <f>'SCI - Bilan'!E26</f>
        <v>1400</v>
      </c>
      <c r="V26" s="132">
        <f t="shared" si="45"/>
        <v>1241500</v>
      </c>
      <c r="W26" s="132"/>
      <c r="X26" s="132">
        <f>'Probois 43 - Bilan'!F26</f>
        <v>10000</v>
      </c>
      <c r="Y26" s="132">
        <f>'SAS EMB - Bilan'!E26</f>
        <v>110000</v>
      </c>
      <c r="Z26" s="132">
        <f>'BSB - Bilan'!F26</f>
        <v>10000</v>
      </c>
      <c r="AA26" s="132">
        <f>'SC des SUCS - Bilan'!F26</f>
        <v>1110100</v>
      </c>
      <c r="AB26" s="132">
        <f>'SCI - Bilan'!F26</f>
        <v>1400</v>
      </c>
      <c r="AC26" s="132">
        <f t="shared" si="46"/>
        <v>1241500</v>
      </c>
      <c r="AD26" s="132"/>
      <c r="AE26" s="132">
        <f>'Probois 43 - Bilan'!G26</f>
        <v>10000</v>
      </c>
      <c r="AF26" s="132">
        <f>'SAS EMB - Bilan'!F26</f>
        <v>110000</v>
      </c>
      <c r="AG26" s="132">
        <f>'BSB - Bilan'!G26</f>
        <v>10000</v>
      </c>
      <c r="AH26" s="132">
        <f>'SC des SUCS - Bilan (2)'!H26</f>
        <v>1360100</v>
      </c>
      <c r="AI26" s="132">
        <f>'SCI - Bilan'!H26</f>
        <v>1400</v>
      </c>
      <c r="AJ26" s="132">
        <f t="shared" ref="AJ26:AJ31" si="57">SUM(AE26:AI26)</f>
        <v>1491500</v>
      </c>
      <c r="AK26" s="132"/>
      <c r="AL26" s="132"/>
      <c r="AM26" s="132">
        <f>'Probois 43 - Bilan (2)'!I26</f>
        <v>10000</v>
      </c>
      <c r="AN26" s="132">
        <f>'SAS EMB - Bilan (2)'!H26</f>
        <v>110000</v>
      </c>
      <c r="AO26" s="132">
        <f>'BSB - Bilan (2)'!I26</f>
        <v>10000</v>
      </c>
      <c r="AP26" s="132">
        <f>'Profilyss - Bilan (2)'!I26</f>
        <v>50000</v>
      </c>
      <c r="AQ26" s="132">
        <f>'SC des SUCS - Bilan (2)'!I26</f>
        <v>1360100</v>
      </c>
      <c r="AR26" s="132">
        <f>'SCI - Bilan (2)'!I26</f>
        <v>1400</v>
      </c>
      <c r="AS26" s="132">
        <f>'Antreuil - Bilan (2)'!I26</f>
        <v>1000</v>
      </c>
      <c r="AT26" s="132">
        <f t="shared" ref="AT26:AT31" si="58">SUM(AM26:AS26)</f>
        <v>1542500</v>
      </c>
      <c r="AU26" s="132"/>
      <c r="AV26" s="132">
        <f>'Probois 43 - Bilan (2)'!J26</f>
        <v>10000</v>
      </c>
      <c r="AW26" s="132">
        <f>'SAS EMB - Bilan (2)'!I26</f>
        <v>110000</v>
      </c>
      <c r="AX26" s="132">
        <f>'BSB - Bilan (2)'!J26</f>
        <v>10000</v>
      </c>
      <c r="AY26" s="132">
        <f>'Profilyss - Bilan (2)'!J26</f>
        <v>50000</v>
      </c>
      <c r="AZ26" s="132">
        <f>'SC des SUCS - Bilan (2)'!J26</f>
        <v>1360100</v>
      </c>
      <c r="BA26" s="132">
        <f>'SCI - Bilan (2)'!J26</f>
        <v>1400</v>
      </c>
      <c r="BB26" s="132">
        <f>'Antreuil - Bilan (2)'!J26</f>
        <v>1000</v>
      </c>
      <c r="BC26" s="132">
        <f t="shared" ref="BC26:BC31" si="59">SUM(AV26:BB26)</f>
        <v>1542500</v>
      </c>
      <c r="BD26" s="132"/>
      <c r="BE26" s="132">
        <f>'Probois 43 - Bilan (2)'!K26</f>
        <v>10000</v>
      </c>
      <c r="BF26" s="132">
        <f>'SAS EMB - Bilan (2)'!J26</f>
        <v>110000</v>
      </c>
      <c r="BG26" s="132">
        <f>'BSB - Bilan (2)'!K26</f>
        <v>10000</v>
      </c>
      <c r="BH26" s="132">
        <f>'Profilyss - Bilan (2)'!K26</f>
        <v>50000</v>
      </c>
      <c r="BI26" s="132">
        <f>'SC des SUCS - Bilan (2)'!K26</f>
        <v>1360100</v>
      </c>
      <c r="BJ26" s="132">
        <f>'SCI - Bilan (2)'!K26</f>
        <v>1400</v>
      </c>
      <c r="BK26" s="132">
        <f>'Antreuil - Bilan (2)'!K26</f>
        <v>1000</v>
      </c>
      <c r="BL26" s="132">
        <f t="shared" ref="BL26:BL31" si="60">SUM(BE26:BK26)</f>
        <v>1542500</v>
      </c>
      <c r="BM26" s="132"/>
      <c r="BN26" s="132">
        <f>'Probois 43 - Bilan (2)'!L26</f>
        <v>10000</v>
      </c>
      <c r="BO26" s="132">
        <f>'SAS EMB - Bilan (2)'!K26</f>
        <v>110000</v>
      </c>
      <c r="BP26" s="132">
        <f>'BSB - Bilan (2)'!L26</f>
        <v>10000</v>
      </c>
      <c r="BQ26" s="132">
        <f>'Profilyss - Bilan (2)'!L26</f>
        <v>50000</v>
      </c>
      <c r="BR26" s="132">
        <f>'SC des SUCS - Bilan (2)'!L26</f>
        <v>1360100</v>
      </c>
      <c r="BS26" s="132">
        <f>'SCI - Bilan (2)'!L26</f>
        <v>1400</v>
      </c>
      <c r="BT26" s="132">
        <f>'Antreuil - Bilan (2)'!L26</f>
        <v>1000</v>
      </c>
      <c r="BU26" s="132">
        <f t="shared" ref="BU26:BU31" si="61">SUM(BN26:BT26)</f>
        <v>1542500</v>
      </c>
    </row>
    <row r="27" spans="2:73">
      <c r="B27" s="131" t="s">
        <v>207</v>
      </c>
      <c r="C27" s="132">
        <f>'Probois 43 - Bilan'!C27</f>
        <v>0</v>
      </c>
      <c r="D27" s="132"/>
      <c r="E27" s="132">
        <f>'BSB - Bilan'!C27</f>
        <v>0</v>
      </c>
      <c r="F27" s="132">
        <f>'SC des SUCS - Bilan'!C27</f>
        <v>0</v>
      </c>
      <c r="G27" s="132"/>
      <c r="H27" s="132">
        <f t="shared" si="43"/>
        <v>0</v>
      </c>
      <c r="I27" s="132"/>
      <c r="J27" s="132">
        <f>'Probois 43 - Bilan'!D27</f>
        <v>0</v>
      </c>
      <c r="K27" s="132">
        <f>'SAS EMB - Bilan'!C27</f>
        <v>0</v>
      </c>
      <c r="L27" s="132">
        <f>'BSB - Bilan'!D27</f>
        <v>0</v>
      </c>
      <c r="M27" s="132">
        <f>'SC des SUCS - Bilan'!D27</f>
        <v>0</v>
      </c>
      <c r="N27" s="132">
        <f>'SCI - Bilan'!D27</f>
        <v>0</v>
      </c>
      <c r="O27" s="132">
        <f t="shared" si="44"/>
        <v>0</v>
      </c>
      <c r="P27" s="132"/>
      <c r="Q27" s="132">
        <f>'Probois 43 - Bilan'!E27</f>
        <v>0</v>
      </c>
      <c r="R27" s="132">
        <f>'SAS EMB - Bilan'!D27</f>
        <v>0</v>
      </c>
      <c r="S27" s="132">
        <f>'BSB - Bilan'!E27</f>
        <v>0</v>
      </c>
      <c r="T27" s="132">
        <f>'SC des SUCS - Bilan'!E27</f>
        <v>0</v>
      </c>
      <c r="U27" s="132">
        <f>'SCI - Bilan'!E27</f>
        <v>0</v>
      </c>
      <c r="V27" s="132">
        <f t="shared" si="45"/>
        <v>0</v>
      </c>
      <c r="W27" s="132"/>
      <c r="X27" s="132">
        <f>'Probois 43 - Bilan'!F27</f>
        <v>0</v>
      </c>
      <c r="Y27" s="132">
        <f>'SAS EMB - Bilan'!E27</f>
        <v>0</v>
      </c>
      <c r="Z27" s="132">
        <f>'BSB - Bilan'!F27</f>
        <v>0</v>
      </c>
      <c r="AA27" s="132">
        <f>'SC des SUCS - Bilan'!F27</f>
        <v>0</v>
      </c>
      <c r="AB27" s="132">
        <f>'SCI - Bilan'!F27</f>
        <v>0</v>
      </c>
      <c r="AC27" s="132">
        <f t="shared" si="46"/>
        <v>0</v>
      </c>
      <c r="AD27" s="132"/>
      <c r="AE27" s="132">
        <f>'Probois 43 - Bilan'!G27</f>
        <v>0</v>
      </c>
      <c r="AF27" s="132">
        <f>'SAS EMB - Bilan'!F27</f>
        <v>0</v>
      </c>
      <c r="AG27" s="132">
        <f>'BSB - Bilan'!G27</f>
        <v>0</v>
      </c>
      <c r="AH27" s="132">
        <f>'SC des SUCS - Bilan'!H27</f>
        <v>0</v>
      </c>
      <c r="AI27" s="132">
        <f>'SCI - Bilan'!H27</f>
        <v>0</v>
      </c>
      <c r="AJ27" s="132">
        <f t="shared" si="57"/>
        <v>0</v>
      </c>
      <c r="AK27" s="132"/>
      <c r="AL27" s="132"/>
      <c r="AM27" s="132">
        <f>'Probois 43 - Bilan (2)'!I27</f>
        <v>0</v>
      </c>
      <c r="AN27" s="132">
        <f>'SAS EMB - Bilan (2)'!H27</f>
        <v>0</v>
      </c>
      <c r="AO27" s="132">
        <f>'BSB - Bilan (2)'!I27</f>
        <v>0</v>
      </c>
      <c r="AP27" s="132">
        <f>'Profilyss - Bilan (2)'!I27</f>
        <v>0</v>
      </c>
      <c r="AQ27" s="132">
        <f>'SC des SUCS - Bilan (2)'!I27</f>
        <v>0</v>
      </c>
      <c r="AR27" s="132">
        <f>'SCI - Bilan (2)'!I27</f>
        <v>0</v>
      </c>
      <c r="AS27" s="132"/>
      <c r="AT27" s="132">
        <f t="shared" si="58"/>
        <v>0</v>
      </c>
      <c r="AU27" s="132"/>
      <c r="AV27" s="132">
        <f>'Probois 43 - Bilan (2)'!J27</f>
        <v>0</v>
      </c>
      <c r="AW27" s="132">
        <f>'SAS EMB - Bilan (2)'!I27</f>
        <v>0</v>
      </c>
      <c r="AX27" s="132">
        <f>'BSB - Bilan (2)'!J27</f>
        <v>0</v>
      </c>
      <c r="AY27" s="132">
        <f>'Profilyss - Bilan (2)'!J27</f>
        <v>0</v>
      </c>
      <c r="AZ27" s="132">
        <f>'SC des SUCS - Bilan (2)'!J27</f>
        <v>0</v>
      </c>
      <c r="BA27" s="132">
        <f>'SCI - Bilan (2)'!J27</f>
        <v>0</v>
      </c>
      <c r="BB27" s="132">
        <f>'Antreuil - Bilan (2)'!J27</f>
        <v>0</v>
      </c>
      <c r="BC27" s="132">
        <f t="shared" si="59"/>
        <v>0</v>
      </c>
      <c r="BD27" s="132"/>
      <c r="BE27" s="132">
        <f>'Probois 43 - Bilan (2)'!K27</f>
        <v>0</v>
      </c>
      <c r="BF27" s="132">
        <f>'SAS EMB - Bilan (2)'!J27</f>
        <v>0</v>
      </c>
      <c r="BG27" s="132">
        <f>'BSB - Bilan (2)'!K27</f>
        <v>0</v>
      </c>
      <c r="BH27" s="132">
        <f>'Profilyss - Bilan (2)'!K27</f>
        <v>0</v>
      </c>
      <c r="BI27" s="132">
        <f>'SC des SUCS - Bilan (2)'!K27</f>
        <v>0</v>
      </c>
      <c r="BJ27" s="132">
        <f>'SCI - Bilan (2)'!K27</f>
        <v>0</v>
      </c>
      <c r="BK27" s="132">
        <f>'Antreuil - Bilan (2)'!K27</f>
        <v>0</v>
      </c>
      <c r="BL27" s="132">
        <f t="shared" si="60"/>
        <v>0</v>
      </c>
      <c r="BM27" s="132"/>
      <c r="BN27" s="132">
        <f>'Probois 43 - Bilan (2)'!L27</f>
        <v>0</v>
      </c>
      <c r="BO27" s="132">
        <f>'SAS EMB - Bilan (2)'!K27</f>
        <v>0</v>
      </c>
      <c r="BP27" s="132">
        <f>'BSB - Bilan (2)'!L27</f>
        <v>0</v>
      </c>
      <c r="BQ27" s="132">
        <f>'Profilyss - Bilan (2)'!L27</f>
        <v>0</v>
      </c>
      <c r="BR27" s="132">
        <f>'SC des SUCS - Bilan (2)'!L27</f>
        <v>0</v>
      </c>
      <c r="BS27" s="132">
        <f>'SCI - Bilan (2)'!L27</f>
        <v>0</v>
      </c>
      <c r="BT27" s="132">
        <f>'Antreuil - Bilan (2)'!L27</f>
        <v>0</v>
      </c>
      <c r="BU27" s="132">
        <f t="shared" si="61"/>
        <v>0</v>
      </c>
    </row>
    <row r="28" spans="2:73">
      <c r="B28" s="131" t="s">
        <v>65</v>
      </c>
      <c r="C28" s="132">
        <f>'Probois 43 - Bilan'!C28</f>
        <v>302218</v>
      </c>
      <c r="D28" s="132"/>
      <c r="E28" s="132">
        <f>'BSB - Bilan'!C28</f>
        <v>58770</v>
      </c>
      <c r="F28" s="132">
        <f>'SC des SUCS - Bilan'!C28</f>
        <v>199427</v>
      </c>
      <c r="G28" s="132"/>
      <c r="H28" s="132">
        <f t="shared" si="43"/>
        <v>560415</v>
      </c>
      <c r="I28" s="132"/>
      <c r="J28" s="132">
        <f>'Probois 43 - Bilan'!D28</f>
        <v>327013</v>
      </c>
      <c r="K28" s="132">
        <f>'SAS EMB - Bilan'!C28</f>
        <v>277882</v>
      </c>
      <c r="L28" s="132">
        <f>'BSB - Bilan'!D28</f>
        <v>90776</v>
      </c>
      <c r="M28" s="132">
        <f>'SC des SUCS - Bilan'!D28</f>
        <v>198878</v>
      </c>
      <c r="N28" s="132">
        <f>'SCI - Bilan'!D28</f>
        <v>30139</v>
      </c>
      <c r="O28" s="132">
        <f t="shared" si="44"/>
        <v>924688</v>
      </c>
      <c r="P28" s="132"/>
      <c r="Q28" s="132">
        <f>'Probois 43 - Bilan'!E28</f>
        <v>327012</v>
      </c>
      <c r="R28" s="132">
        <f>'SAS EMB - Bilan'!D28</f>
        <v>275994</v>
      </c>
      <c r="S28" s="132">
        <f>'BSB - Bilan'!E28</f>
        <v>117791</v>
      </c>
      <c r="T28" s="132">
        <f>'SC des SUCS - Bilan'!E28</f>
        <v>220276</v>
      </c>
      <c r="U28" s="132">
        <f>'SCI - Bilan'!E28</f>
        <v>36018</v>
      </c>
      <c r="V28" s="132">
        <f t="shared" si="45"/>
        <v>977091</v>
      </c>
      <c r="W28" s="132"/>
      <c r="X28" s="132">
        <f>'Probois 43 - Bilan'!F28</f>
        <v>327012</v>
      </c>
      <c r="Y28" s="132">
        <f>'SAS EMB - Bilan'!E28</f>
        <v>261267</v>
      </c>
      <c r="Z28" s="132">
        <f>'BSB - Bilan'!F28</f>
        <v>202352</v>
      </c>
      <c r="AA28" s="132">
        <f>'SC des SUCS - Bilan'!F28</f>
        <v>317472</v>
      </c>
      <c r="AB28" s="132">
        <f>'SCI - Bilan'!F28</f>
        <v>42346</v>
      </c>
      <c r="AC28" s="132">
        <f t="shared" si="46"/>
        <v>1150449</v>
      </c>
      <c r="AD28" s="132"/>
      <c r="AE28" s="132">
        <f>'Probois 43 - Bilan'!G28</f>
        <v>455605</v>
      </c>
      <c r="AF28" s="132">
        <f>'SAS EMB - Bilan'!F28</f>
        <v>392332</v>
      </c>
      <c r="AG28" s="132">
        <f>'BSB - Bilan'!G28</f>
        <v>280147</v>
      </c>
      <c r="AH28" s="132">
        <f>'SC des SUCS - Bilan'!H28</f>
        <v>427185</v>
      </c>
      <c r="AI28" s="132">
        <f>'SCI - Bilan'!H28</f>
        <v>50471</v>
      </c>
      <c r="AJ28" s="132">
        <f t="shared" si="57"/>
        <v>1605740</v>
      </c>
      <c r="AK28" s="132"/>
      <c r="AL28" s="132"/>
      <c r="AM28" s="132">
        <f>'Probois 43 - Bilan (2)'!I28</f>
        <v>591975</v>
      </c>
      <c r="AN28" s="132">
        <f>'SAS EMB - Bilan (2)'!H28</f>
        <v>483331</v>
      </c>
      <c r="AO28" s="132">
        <f>'BSB - Bilan (2)'!I28</f>
        <v>371545</v>
      </c>
      <c r="AP28" s="132">
        <f>'Profilyss - Bilan (2)'!I28</f>
        <v>0</v>
      </c>
      <c r="AQ28" s="132">
        <f>'SC des SUCS - Bilan (2)'!I28</f>
        <v>506078</v>
      </c>
      <c r="AR28" s="132">
        <f>'SCI - Bilan (2)'!I28</f>
        <v>58596</v>
      </c>
      <c r="AS28" s="132"/>
      <c r="AT28" s="132">
        <f t="shared" si="58"/>
        <v>2011525</v>
      </c>
      <c r="AU28" s="132"/>
      <c r="AV28" s="132">
        <f>'Probois 43 - Bilan (2)'!J28</f>
        <v>662876.75</v>
      </c>
      <c r="AW28" s="132">
        <f>'SAS EMB - Bilan (2)'!I28</f>
        <v>562818.26249999995</v>
      </c>
      <c r="AX28" s="132">
        <f>'BSB - Bilan (2)'!J28</f>
        <v>402543.94249999995</v>
      </c>
      <c r="AY28" s="132">
        <f>'Profilyss - Bilan (2)'!J28</f>
        <v>0</v>
      </c>
      <c r="AZ28" s="132">
        <f>'SC des SUCS - Bilan (2)'!J28</f>
        <v>379692</v>
      </c>
      <c r="BA28" s="132">
        <f>'SCI - Bilan (2)'!J28</f>
        <v>66721</v>
      </c>
      <c r="BB28" s="132">
        <f>'Antreuil - Bilan (2)'!J28</f>
        <v>0</v>
      </c>
      <c r="BC28" s="132">
        <f t="shared" si="59"/>
        <v>2074651.9549999998</v>
      </c>
      <c r="BD28" s="132"/>
      <c r="BE28" s="132">
        <f>'Probois 43 - Bilan (2)'!K28</f>
        <v>749852.32000000007</v>
      </c>
      <c r="BF28" s="132">
        <f>'SAS EMB - Bilan (2)'!J28</f>
        <v>625605.53428571415</v>
      </c>
      <c r="BG28" s="132">
        <f>'BSB - Bilan (2)'!K28</f>
        <v>457431.5224999999</v>
      </c>
      <c r="BH28" s="132">
        <f>'Profilyss - Bilan (2)'!K28</f>
        <v>-469612.08465608465</v>
      </c>
      <c r="BI28" s="132">
        <f>'SC des SUCS - Bilan (2)'!K28</f>
        <v>253802</v>
      </c>
      <c r="BJ28" s="132">
        <f>'SCI - Bilan (2)'!K28</f>
        <v>74846</v>
      </c>
      <c r="BK28" s="132">
        <f>'Antreuil - Bilan (2)'!K28</f>
        <v>11943</v>
      </c>
      <c r="BL28" s="132">
        <f t="shared" si="60"/>
        <v>1703868.2921296295</v>
      </c>
      <c r="BM28" s="132"/>
      <c r="BN28" s="132">
        <f>'Probois 43 - Bilan (2)'!L28</f>
        <v>852289.95000000007</v>
      </c>
      <c r="BO28" s="132">
        <f>'SAS EMB - Bilan (2)'!K28</f>
        <v>702039.65607142844</v>
      </c>
      <c r="BP28" s="132">
        <f>'BSB - Bilan (2)'!L28</f>
        <v>554598.90499999991</v>
      </c>
      <c r="BQ28" s="132">
        <f>'Profilyss - Bilan (2)'!L28</f>
        <v>-559263.88666109741</v>
      </c>
      <c r="BR28" s="132">
        <f>'SC des SUCS - Bilan (2)'!L28</f>
        <v>128415</v>
      </c>
      <c r="BS28" s="132">
        <f>'SCI - Bilan (2)'!L28</f>
        <v>82971</v>
      </c>
      <c r="BT28" s="132">
        <f>'Antreuil - Bilan (2)'!L28</f>
        <v>29087</v>
      </c>
      <c r="BU28" s="132">
        <f t="shared" si="61"/>
        <v>1790137.6244103308</v>
      </c>
    </row>
    <row r="29" spans="2:73">
      <c r="B29" s="131" t="s">
        <v>32</v>
      </c>
      <c r="C29" s="132">
        <f>'Probois 43 - Bilan'!C29</f>
        <v>24795</v>
      </c>
      <c r="D29" s="132"/>
      <c r="E29" s="132">
        <f>'BSB - Bilan'!C29</f>
        <v>32006</v>
      </c>
      <c r="F29" s="132">
        <f>'SC des SUCS - Bilan'!C29</f>
        <v>-549</v>
      </c>
      <c r="G29" s="132"/>
      <c r="H29" s="132">
        <f t="shared" si="43"/>
        <v>56252</v>
      </c>
      <c r="I29" s="132"/>
      <c r="J29" s="132">
        <f>'Probois 43 - Bilan'!D29</f>
        <v>26111</v>
      </c>
      <c r="K29" s="132">
        <f>'SAS EMB - Bilan'!C29</f>
        <v>-1888</v>
      </c>
      <c r="L29" s="132">
        <f>'BSB - Bilan'!D29</f>
        <v>27015</v>
      </c>
      <c r="M29" s="132">
        <f>'SC des SUCS - Bilan'!D29</f>
        <v>21398</v>
      </c>
      <c r="N29" s="132">
        <f>'SCI - Bilan'!D29</f>
        <v>5879</v>
      </c>
      <c r="O29" s="132">
        <f t="shared" si="44"/>
        <v>78515</v>
      </c>
      <c r="P29" s="132"/>
      <c r="Q29" s="132">
        <f>'Probois 43 - Bilan'!E29</f>
        <v>110112</v>
      </c>
      <c r="R29" s="132">
        <f>'SAS EMB - Bilan'!D29</f>
        <v>105273</v>
      </c>
      <c r="S29" s="132">
        <f>'BSB - Bilan'!E29</f>
        <v>84561</v>
      </c>
      <c r="T29" s="132">
        <f>'SC des SUCS - Bilan'!E29</f>
        <v>97196</v>
      </c>
      <c r="U29" s="132">
        <f>'SCI - Bilan'!E29</f>
        <v>6328</v>
      </c>
      <c r="V29" s="132">
        <f t="shared" si="45"/>
        <v>403470</v>
      </c>
      <c r="W29" s="132"/>
      <c r="X29" s="132">
        <f>'Probois 43 - Bilan'!F29</f>
        <v>128593</v>
      </c>
      <c r="Y29" s="132">
        <f>'SAS EMB - Bilan'!E29</f>
        <v>131065</v>
      </c>
      <c r="Z29" s="132">
        <f>'BSB - Bilan'!F29</f>
        <v>77795</v>
      </c>
      <c r="AA29" s="132">
        <f>'SC des SUCS - Bilan'!F29</f>
        <v>109713</v>
      </c>
      <c r="AB29" s="132">
        <f>'SCI - Bilan'!F29</f>
        <v>8125</v>
      </c>
      <c r="AC29" s="132">
        <f t="shared" si="46"/>
        <v>455291</v>
      </c>
      <c r="AD29" s="132"/>
      <c r="AE29" s="132">
        <f>'Probois 43 - Bilan'!G29</f>
        <v>136370</v>
      </c>
      <c r="AF29" s="132">
        <f>'SAS EMB - Bilan'!F29</f>
        <v>90999</v>
      </c>
      <c r="AG29" s="132">
        <f>'BSB - Bilan'!G29</f>
        <v>91398</v>
      </c>
      <c r="AH29" s="132">
        <f>'SC des SUCS - Bilan'!H29</f>
        <v>78893</v>
      </c>
      <c r="AI29" s="132">
        <f>'SCI - Bilan'!H29</f>
        <v>8125</v>
      </c>
      <c r="AJ29" s="132">
        <f t="shared" si="57"/>
        <v>405785</v>
      </c>
      <c r="AK29" s="132"/>
      <c r="AL29" s="132"/>
      <c r="AM29" s="132">
        <f>'Probois 43 - Bilan (2)'!I29</f>
        <v>70901.75</v>
      </c>
      <c r="AN29" s="132">
        <f>'SAS EMB - Bilan (2)'!H29</f>
        <v>79487.262499999983</v>
      </c>
      <c r="AO29" s="132">
        <f>'BSB - Bilan (2)'!I29</f>
        <v>30998.942499999939</v>
      </c>
      <c r="AP29" s="132">
        <f>'Profilyss - Bilan (2)'!I29</f>
        <v>0</v>
      </c>
      <c r="AQ29" s="132">
        <f>'SC des SUCS - Bilan (2)'!I29</f>
        <v>-126386</v>
      </c>
      <c r="AR29" s="132">
        <f>'SCI - Bilan (2)'!I29</f>
        <v>8125</v>
      </c>
      <c r="AS29" s="132"/>
      <c r="AT29" s="132">
        <f t="shared" si="58"/>
        <v>63126.954999999929</v>
      </c>
      <c r="AU29" s="132"/>
      <c r="AV29" s="132">
        <f>'Probois 43 - Bilan (2)'!J29</f>
        <v>86975.57</v>
      </c>
      <c r="AW29" s="132">
        <f>'SAS EMB - Bilan (2)'!I29</f>
        <v>62787.271785714198</v>
      </c>
      <c r="AX29" s="132">
        <f>'BSB - Bilan (2)'!J29</f>
        <v>54887.579999999958</v>
      </c>
      <c r="AY29" s="132">
        <f>'Profilyss - Bilan (2)'!J29</f>
        <v>-469612.08465608465</v>
      </c>
      <c r="AZ29" s="132">
        <f>'SC des SUCS - Bilan (2)'!J29</f>
        <v>-125890</v>
      </c>
      <c r="BA29" s="132">
        <f>'SCI - Bilan (2)'!J29</f>
        <v>8125</v>
      </c>
      <c r="BB29" s="132">
        <f>'Antreuil - Bilan (2)'!J29</f>
        <v>11943</v>
      </c>
      <c r="BC29" s="132">
        <f t="shared" si="59"/>
        <v>-370783.66287037049</v>
      </c>
      <c r="BD29" s="132"/>
      <c r="BE29" s="132">
        <f>'Probois 43 - Bilan (2)'!K29</f>
        <v>102437.62999999998</v>
      </c>
      <c r="BF29" s="132">
        <f>'SAS EMB - Bilan (2)'!J29</f>
        <v>76434.121785714233</v>
      </c>
      <c r="BG29" s="132">
        <f>'BSB - Bilan (2)'!K29</f>
        <v>97167.382500000007</v>
      </c>
      <c r="BH29" s="132">
        <f>'Profilyss - Bilan (2)'!K29</f>
        <v>-89651.802005012723</v>
      </c>
      <c r="BI29" s="132">
        <f>'SC des SUCS - Bilan (2)'!K29</f>
        <v>-125387</v>
      </c>
      <c r="BJ29" s="132">
        <f>'SCI - Bilan (2)'!K29</f>
        <v>8125</v>
      </c>
      <c r="BK29" s="132">
        <f>'Antreuil - Bilan (2)'!K29</f>
        <v>17144</v>
      </c>
      <c r="BL29" s="132">
        <f t="shared" si="60"/>
        <v>86269.332280701521</v>
      </c>
      <c r="BM29" s="132"/>
      <c r="BN29" s="132">
        <f>'Probois 43 - Bilan (2)'!L29</f>
        <v>118989.10999999999</v>
      </c>
      <c r="BO29" s="132">
        <f>'SAS EMB - Bilan (2)'!K29</f>
        <v>90368.701785714191</v>
      </c>
      <c r="BP29" s="132">
        <f>'BSB - Bilan (2)'!L29</f>
        <v>142103.11500000005</v>
      </c>
      <c r="BQ29" s="132">
        <f>'Profilyss - Bilan (2)'!L29</f>
        <v>442878.61904761905</v>
      </c>
      <c r="BR29" s="132">
        <f>'SC des SUCS - Bilan (2)'!L29</f>
        <v>-124880</v>
      </c>
      <c r="BS29" s="132">
        <f>'SCI - Bilan (2)'!L29</f>
        <v>8125</v>
      </c>
      <c r="BT29" s="132">
        <f>'Antreuil - Bilan (2)'!L29</f>
        <v>22555</v>
      </c>
      <c r="BU29" s="132">
        <f t="shared" si="61"/>
        <v>700139.54583333328</v>
      </c>
    </row>
    <row r="30" spans="2:73">
      <c r="B30" s="131" t="s">
        <v>208</v>
      </c>
      <c r="C30" s="132">
        <f>'Probois 43 - Bilan'!C30</f>
        <v>0</v>
      </c>
      <c r="D30" s="132"/>
      <c r="E30" s="132">
        <f>'BSB - Bilan'!C30</f>
        <v>63876</v>
      </c>
      <c r="F30" s="132">
        <f>'SC des SUCS - Bilan'!C30</f>
        <v>0</v>
      </c>
      <c r="G30" s="132"/>
      <c r="H30" s="132">
        <f t="shared" si="43"/>
        <v>63876</v>
      </c>
      <c r="I30" s="132"/>
      <c r="J30" s="132">
        <f>'Probois 43 - Bilan'!D30</f>
        <v>0</v>
      </c>
      <c r="K30" s="132">
        <f>'SAS EMB - Bilan'!C30</f>
        <v>0</v>
      </c>
      <c r="L30" s="132">
        <f>'BSB - Bilan'!D30</f>
        <v>59114</v>
      </c>
      <c r="M30" s="132">
        <f>'SC des SUCS - Bilan'!D30</f>
        <v>0</v>
      </c>
      <c r="N30" s="132">
        <f>'SCI - Bilan'!D30</f>
        <v>0</v>
      </c>
      <c r="O30" s="132">
        <f t="shared" si="44"/>
        <v>59114</v>
      </c>
      <c r="P30" s="132"/>
      <c r="Q30" s="132">
        <f>'Probois 43 - Bilan'!E30</f>
        <v>0</v>
      </c>
      <c r="R30" s="132">
        <f>'SAS EMB - Bilan'!D30</f>
        <v>0</v>
      </c>
      <c r="S30" s="132">
        <f>'BSB - Bilan'!E30</f>
        <v>54353</v>
      </c>
      <c r="T30" s="132">
        <f>'SC des SUCS - Bilan'!E30</f>
        <v>0</v>
      </c>
      <c r="U30" s="132">
        <f>'SCI - Bilan'!E30</f>
        <v>0</v>
      </c>
      <c r="V30" s="132">
        <f t="shared" si="45"/>
        <v>54353</v>
      </c>
      <c r="W30" s="132"/>
      <c r="X30" s="132">
        <f>'Probois 43 - Bilan'!F30</f>
        <v>0</v>
      </c>
      <c r="Y30" s="132">
        <f>'SAS EMB - Bilan'!E30</f>
        <v>0</v>
      </c>
      <c r="Z30" s="132">
        <f>'BSB - Bilan'!F30</f>
        <v>67604</v>
      </c>
      <c r="AA30" s="132">
        <f>'SC des SUCS - Bilan'!F30</f>
        <v>0</v>
      </c>
      <c r="AB30" s="132">
        <f>'SCI - Bilan'!F30</f>
        <v>0</v>
      </c>
      <c r="AC30" s="132">
        <f t="shared" si="46"/>
        <v>67604</v>
      </c>
      <c r="AD30" s="132"/>
      <c r="AE30" s="132">
        <f>'Probois 43 - Bilan'!G30</f>
        <v>0</v>
      </c>
      <c r="AF30" s="132">
        <f>'SAS EMB - Bilan'!F30</f>
        <v>0</v>
      </c>
      <c r="AG30" s="132">
        <f>'BSB - Bilan'!G30</f>
        <v>115110</v>
      </c>
      <c r="AH30" s="132">
        <f>'SC des SUCS - Bilan'!H30</f>
        <v>0</v>
      </c>
      <c r="AI30" s="132">
        <f>'SCI - Bilan'!H30</f>
        <v>0</v>
      </c>
      <c r="AJ30" s="132">
        <f t="shared" si="57"/>
        <v>115110</v>
      </c>
      <c r="AK30" s="132"/>
      <c r="AL30" s="132"/>
      <c r="AM30" s="132">
        <f>'Probois 43 - Bilan (2)'!I30</f>
        <v>0</v>
      </c>
      <c r="AN30" s="132">
        <f>'SAS EMB - Bilan (2)'!H30</f>
        <v>0</v>
      </c>
      <c r="AO30" s="132">
        <f>'BSB - Bilan (2)'!I30</f>
        <v>104540</v>
      </c>
      <c r="AP30" s="132">
        <f>'Profilyss - Bilan (2)'!I30</f>
        <v>0</v>
      </c>
      <c r="AQ30" s="132">
        <f>'SC des SUCS - Bilan (2)'!I30</f>
        <v>0</v>
      </c>
      <c r="AR30" s="132">
        <f>'SCI - Bilan (2)'!I30</f>
        <v>0</v>
      </c>
      <c r="AS30" s="132"/>
      <c r="AT30" s="132">
        <f t="shared" si="58"/>
        <v>104540</v>
      </c>
      <c r="AU30" s="132"/>
      <c r="AV30" s="132">
        <f>'Probois 43 - Bilan (2)'!J30</f>
        <v>0</v>
      </c>
      <c r="AW30" s="132">
        <f>'SAS EMB - Bilan (2)'!I30</f>
        <v>0</v>
      </c>
      <c r="AX30" s="132">
        <f>'BSB - Bilan (2)'!J30</f>
        <v>93970</v>
      </c>
      <c r="AY30" s="132">
        <f>'Profilyss - Bilan (2)'!J30</f>
        <v>514285.71428571432</v>
      </c>
      <c r="AZ30" s="132">
        <f>'SC des SUCS - Bilan (2)'!J30</f>
        <v>0</v>
      </c>
      <c r="BA30" s="132">
        <f>'SCI - Bilan (2)'!J30</f>
        <v>0</v>
      </c>
      <c r="BB30" s="132">
        <f>'Antreuil - Bilan (2)'!J30</f>
        <v>760000</v>
      </c>
      <c r="BC30" s="132">
        <f t="shared" si="59"/>
        <v>1368255.7142857143</v>
      </c>
      <c r="BD30" s="132"/>
      <c r="BE30" s="132">
        <f>'Probois 43 - Bilan (2)'!K30</f>
        <v>0</v>
      </c>
      <c r="BF30" s="132">
        <f>'SAS EMB - Bilan (2)'!J30</f>
        <v>0</v>
      </c>
      <c r="BG30" s="132">
        <f>'BSB - Bilan (2)'!K30</f>
        <v>83400</v>
      </c>
      <c r="BH30" s="132">
        <f>'Profilyss - Bilan (2)'!K30</f>
        <v>428571.42857142864</v>
      </c>
      <c r="BI30" s="132">
        <f>'SC des SUCS - Bilan (2)'!K30</f>
        <v>0</v>
      </c>
      <c r="BJ30" s="132">
        <f>'SCI - Bilan (2)'!K30</f>
        <v>0</v>
      </c>
      <c r="BK30" s="132">
        <f>'Antreuil - Bilan (2)'!K30</f>
        <v>720000</v>
      </c>
      <c r="BL30" s="132">
        <f t="shared" si="60"/>
        <v>1231971.4285714286</v>
      </c>
      <c r="BM30" s="132"/>
      <c r="BN30" s="132">
        <f>'Probois 43 - Bilan (2)'!L30</f>
        <v>0</v>
      </c>
      <c r="BO30" s="132">
        <f>'SAS EMB - Bilan (2)'!K30</f>
        <v>0</v>
      </c>
      <c r="BP30" s="132">
        <f>'BSB - Bilan (2)'!L30</f>
        <v>72830</v>
      </c>
      <c r="BQ30" s="132">
        <f>'Profilyss - Bilan (2)'!L30</f>
        <v>342857.14285714296</v>
      </c>
      <c r="BR30" s="132">
        <f>'SC des SUCS - Bilan (2)'!L30</f>
        <v>0</v>
      </c>
      <c r="BS30" s="132">
        <f>'SCI - Bilan (2)'!L30</f>
        <v>0</v>
      </c>
      <c r="BT30" s="132">
        <f>'Antreuil - Bilan (2)'!L30</f>
        <v>680000</v>
      </c>
      <c r="BU30" s="132">
        <f t="shared" si="61"/>
        <v>1095687.142857143</v>
      </c>
    </row>
    <row r="31" spans="2:73">
      <c r="B31" s="142" t="s">
        <v>209</v>
      </c>
      <c r="C31" s="132">
        <f>'Probois 43 - Bilan'!C31</f>
        <v>0</v>
      </c>
      <c r="D31" s="132"/>
      <c r="E31" s="132">
        <f>'BSB - Bilan'!C31</f>
        <v>0</v>
      </c>
      <c r="F31" s="132">
        <f>'SC des SUCS - Bilan'!C31</f>
        <v>0</v>
      </c>
      <c r="G31" s="132"/>
      <c r="H31" s="132">
        <f t="shared" si="43"/>
        <v>0</v>
      </c>
      <c r="I31" s="132"/>
      <c r="J31" s="132">
        <f>'Probois 43 - Bilan'!D31</f>
        <v>0</v>
      </c>
      <c r="K31" s="132">
        <f>'SAS EMB - Bilan'!C31</f>
        <v>0</v>
      </c>
      <c r="L31" s="132">
        <f>'BSB - Bilan'!D31</f>
        <v>0</v>
      </c>
      <c r="M31" s="132">
        <f>'SC des SUCS - Bilan'!D31</f>
        <v>0</v>
      </c>
      <c r="N31" s="132">
        <f>'SCI - Bilan'!D31</f>
        <v>0</v>
      </c>
      <c r="O31" s="132">
        <f t="shared" si="44"/>
        <v>0</v>
      </c>
      <c r="P31" s="132"/>
      <c r="Q31" s="132">
        <f>'Probois 43 - Bilan'!E31</f>
        <v>0</v>
      </c>
      <c r="R31" s="132">
        <f>'SAS EMB - Bilan'!D31</f>
        <v>0</v>
      </c>
      <c r="S31" s="132">
        <f>'BSB - Bilan'!E31</f>
        <v>0</v>
      </c>
      <c r="T31" s="132">
        <f>'SC des SUCS - Bilan'!E31</f>
        <v>0</v>
      </c>
      <c r="U31" s="132">
        <f>'SCI - Bilan'!E31</f>
        <v>0</v>
      </c>
      <c r="V31" s="132">
        <f t="shared" si="45"/>
        <v>0</v>
      </c>
      <c r="W31" s="132"/>
      <c r="X31" s="132">
        <f>'Probois 43 - Bilan'!F31</f>
        <v>0</v>
      </c>
      <c r="Y31" s="132">
        <f>'SAS EMB - Bilan'!E31</f>
        <v>0</v>
      </c>
      <c r="Z31" s="132">
        <f>'BSB - Bilan'!F31</f>
        <v>0</v>
      </c>
      <c r="AA31" s="132">
        <f>'SC des SUCS - Bilan'!F31</f>
        <v>0</v>
      </c>
      <c r="AB31" s="132">
        <f>'SCI - Bilan'!F31</f>
        <v>0</v>
      </c>
      <c r="AC31" s="132">
        <f t="shared" si="46"/>
        <v>0</v>
      </c>
      <c r="AD31" s="132"/>
      <c r="AE31" s="132">
        <f>'Probois 43 - Bilan'!G31</f>
        <v>0</v>
      </c>
      <c r="AF31" s="132">
        <f>'SAS EMB - Bilan'!F31</f>
        <v>0</v>
      </c>
      <c r="AG31" s="132">
        <f>'BSB - Bilan'!G31</f>
        <v>0</v>
      </c>
      <c r="AH31" s="132">
        <f>'SC des SUCS - Bilan'!H31</f>
        <v>0</v>
      </c>
      <c r="AI31" s="132">
        <f>'SCI - Bilan'!H31</f>
        <v>0</v>
      </c>
      <c r="AJ31" s="132">
        <f t="shared" si="57"/>
        <v>0</v>
      </c>
      <c r="AK31" s="132"/>
      <c r="AL31" s="132"/>
      <c r="AM31" s="132">
        <f>'Probois 43 - Bilan (2)'!I31</f>
        <v>0</v>
      </c>
      <c r="AN31" s="132">
        <f>'SAS EMB - Bilan (2)'!H31</f>
        <v>0</v>
      </c>
      <c r="AO31" s="132">
        <f>'BSB - Bilan (2)'!I31</f>
        <v>0</v>
      </c>
      <c r="AP31" s="132">
        <f>'Profilyss - Bilan (2)'!I31</f>
        <v>0</v>
      </c>
      <c r="AQ31" s="132">
        <f>'SC des SUCS - Bilan (2)'!I31</f>
        <v>0</v>
      </c>
      <c r="AR31" s="132">
        <f>'SCI - Bilan (2)'!I31</f>
        <v>0</v>
      </c>
      <c r="AS31" s="132"/>
      <c r="AT31" s="132">
        <f t="shared" si="58"/>
        <v>0</v>
      </c>
      <c r="AU31" s="132"/>
      <c r="AV31" s="132">
        <f>'Probois 43 - Bilan (2)'!J31</f>
        <v>0</v>
      </c>
      <c r="AW31" s="132">
        <f>'SAS EMB - Bilan (2)'!I31</f>
        <v>0</v>
      </c>
      <c r="AX31" s="132">
        <f>'BSB - Bilan (2)'!J31</f>
        <v>0</v>
      </c>
      <c r="AY31" s="132">
        <f>'Profilyss - Bilan (2)'!J31</f>
        <v>0</v>
      </c>
      <c r="AZ31" s="132">
        <f>'SC des SUCS - Bilan (2)'!J31</f>
        <v>0</v>
      </c>
      <c r="BA31" s="132">
        <f>'SCI - Bilan (2)'!J31</f>
        <v>0</v>
      </c>
      <c r="BB31" s="132">
        <f>'Antreuil - Bilan (2)'!J31</f>
        <v>0</v>
      </c>
      <c r="BC31" s="132">
        <f t="shared" si="59"/>
        <v>0</v>
      </c>
      <c r="BD31" s="132"/>
      <c r="BE31" s="132">
        <f>'Probois 43 - Bilan (2)'!K31</f>
        <v>0</v>
      </c>
      <c r="BF31" s="132">
        <f>'SAS EMB - Bilan (2)'!J31</f>
        <v>0</v>
      </c>
      <c r="BG31" s="132">
        <f>'BSB - Bilan (2)'!K31</f>
        <v>0</v>
      </c>
      <c r="BH31" s="132">
        <f>'Profilyss - Bilan (2)'!K31</f>
        <v>0</v>
      </c>
      <c r="BI31" s="132">
        <f>'SC des SUCS - Bilan (2)'!K31</f>
        <v>0</v>
      </c>
      <c r="BJ31" s="132">
        <f>'SCI - Bilan (2)'!K31</f>
        <v>0</v>
      </c>
      <c r="BK31" s="132">
        <f>'Antreuil - Bilan (2)'!K31</f>
        <v>0</v>
      </c>
      <c r="BL31" s="132">
        <f t="shared" si="60"/>
        <v>0</v>
      </c>
      <c r="BM31" s="132"/>
      <c r="BN31" s="132">
        <f>'Probois 43 - Bilan (2)'!L31</f>
        <v>0</v>
      </c>
      <c r="BO31" s="132">
        <f>'SAS EMB - Bilan (2)'!K31</f>
        <v>0</v>
      </c>
      <c r="BP31" s="132">
        <f>'BSB - Bilan (2)'!L31</f>
        <v>0</v>
      </c>
      <c r="BQ31" s="132">
        <f>'Profilyss - Bilan (2)'!L31</f>
        <v>0</v>
      </c>
      <c r="BR31" s="132">
        <f>'SC des SUCS - Bilan (2)'!L31</f>
        <v>0</v>
      </c>
      <c r="BS31" s="132">
        <f>'SCI - Bilan (2)'!L31</f>
        <v>0</v>
      </c>
      <c r="BT31" s="132">
        <f>'Antreuil - Bilan (2)'!L31</f>
        <v>0</v>
      </c>
      <c r="BU31" s="132">
        <f t="shared" si="61"/>
        <v>0</v>
      </c>
    </row>
    <row r="32" spans="2:73">
      <c r="B32" s="141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</row>
    <row r="33" spans="2:73">
      <c r="B33" s="130" t="s">
        <v>51</v>
      </c>
      <c r="C33" s="128">
        <f t="shared" ref="C33:G33" si="62">SUM(C34:C36)</f>
        <v>0</v>
      </c>
      <c r="D33" s="128">
        <f t="shared" si="62"/>
        <v>0</v>
      </c>
      <c r="E33" s="128">
        <f t="shared" si="62"/>
        <v>0</v>
      </c>
      <c r="F33" s="128">
        <f t="shared" si="62"/>
        <v>0</v>
      </c>
      <c r="G33" s="128">
        <f t="shared" si="62"/>
        <v>0</v>
      </c>
      <c r="H33" s="128">
        <f t="shared" ref="H33:H35" si="63">SUM(C33:G33)</f>
        <v>0</v>
      </c>
      <c r="I33" s="128"/>
      <c r="J33" s="128">
        <f t="shared" ref="J33:N33" si="64">SUM(J34:J36)</f>
        <v>0</v>
      </c>
      <c r="K33" s="128">
        <f t="shared" si="64"/>
        <v>0</v>
      </c>
      <c r="L33" s="128">
        <f t="shared" si="64"/>
        <v>0</v>
      </c>
      <c r="M33" s="128">
        <f t="shared" si="64"/>
        <v>0</v>
      </c>
      <c r="N33" s="128">
        <f t="shared" si="64"/>
        <v>0</v>
      </c>
      <c r="O33" s="128">
        <f t="shared" ref="O33:O35" si="65">SUM(J33:N33)</f>
        <v>0</v>
      </c>
      <c r="P33" s="128"/>
      <c r="Q33" s="128">
        <f t="shared" ref="Q33:U33" si="66">SUM(Q34:Q36)</f>
        <v>0</v>
      </c>
      <c r="R33" s="128">
        <f t="shared" si="66"/>
        <v>0</v>
      </c>
      <c r="S33" s="128">
        <f t="shared" si="66"/>
        <v>0</v>
      </c>
      <c r="T33" s="128">
        <f t="shared" si="66"/>
        <v>0</v>
      </c>
      <c r="U33" s="128">
        <f t="shared" si="66"/>
        <v>0</v>
      </c>
      <c r="V33" s="128">
        <f t="shared" ref="V33:V35" si="67">SUM(Q33:U33)</f>
        <v>0</v>
      </c>
      <c r="W33" s="128"/>
      <c r="X33" s="128">
        <f>SUM(X34:X36)</f>
        <v>0</v>
      </c>
      <c r="Y33" s="128">
        <f>SUM(Y34:Y36)</f>
        <v>0</v>
      </c>
      <c r="Z33" s="128">
        <f>SUM(Z34:Z36)</f>
        <v>0</v>
      </c>
      <c r="AA33" s="128">
        <f>SUM(AA34:AA36)</f>
        <v>0</v>
      </c>
      <c r="AB33" s="128">
        <f>SUM(AB34:AB36)</f>
        <v>0</v>
      </c>
      <c r="AC33" s="128">
        <f t="shared" ref="AC33:AC35" si="68">SUM(X33:AB33)</f>
        <v>0</v>
      </c>
      <c r="AD33" s="128"/>
      <c r="AE33" s="128">
        <f>SUM(AE34:AE36)</f>
        <v>0</v>
      </c>
      <c r="AF33" s="128">
        <f>SUM(AF34:AF36)</f>
        <v>0</v>
      </c>
      <c r="AG33" s="128">
        <f>SUM(AG34:AG36)</f>
        <v>0</v>
      </c>
      <c r="AH33" s="128">
        <f>SUM(AH34:AH36)</f>
        <v>0</v>
      </c>
      <c r="AI33" s="128">
        <f>SUM(AI34:AI36)</f>
        <v>0</v>
      </c>
      <c r="AJ33" s="128">
        <f t="shared" ref="AJ33" si="69">SUM(AJ34:AJ36)</f>
        <v>0</v>
      </c>
      <c r="AK33" s="128"/>
      <c r="AL33" s="128"/>
      <c r="AM33" s="128">
        <f t="shared" ref="AM33:AR33" si="70">SUM(AM34:AM36)</f>
        <v>0</v>
      </c>
      <c r="AN33" s="128">
        <f t="shared" si="70"/>
        <v>0</v>
      </c>
      <c r="AO33" s="128">
        <f t="shared" si="70"/>
        <v>0</v>
      </c>
      <c r="AP33" s="128">
        <f t="shared" si="70"/>
        <v>0</v>
      </c>
      <c r="AQ33" s="128">
        <f t="shared" si="70"/>
        <v>0</v>
      </c>
      <c r="AR33" s="128">
        <f t="shared" si="70"/>
        <v>0</v>
      </c>
      <c r="AS33" s="128">
        <f t="shared" ref="AS33" si="71">SUM(AS34:AS36)</f>
        <v>0</v>
      </c>
      <c r="AT33" s="128">
        <f t="shared" ref="AT33" si="72">SUM(AT34:AT36)</f>
        <v>0</v>
      </c>
      <c r="AU33" s="128"/>
      <c r="AV33" s="128">
        <f t="shared" ref="AV33:BB33" si="73">SUM(AV34:AV36)</f>
        <v>0</v>
      </c>
      <c r="AW33" s="128">
        <f t="shared" si="73"/>
        <v>0</v>
      </c>
      <c r="AX33" s="128">
        <f t="shared" si="73"/>
        <v>0</v>
      </c>
      <c r="AY33" s="128">
        <f t="shared" si="73"/>
        <v>0</v>
      </c>
      <c r="AZ33" s="128">
        <f t="shared" si="73"/>
        <v>0</v>
      </c>
      <c r="BA33" s="128">
        <f t="shared" si="73"/>
        <v>0</v>
      </c>
      <c r="BB33" s="128">
        <f t="shared" si="73"/>
        <v>0</v>
      </c>
      <c r="BC33" s="128">
        <f t="shared" ref="BC33" si="74">SUM(BC34:BC36)</f>
        <v>0</v>
      </c>
      <c r="BD33" s="128"/>
      <c r="BE33" s="128">
        <f t="shared" ref="BE33:BL33" si="75">SUM(BE34:BE36)</f>
        <v>0</v>
      </c>
      <c r="BF33" s="128">
        <f t="shared" si="75"/>
        <v>0</v>
      </c>
      <c r="BG33" s="128">
        <f t="shared" si="75"/>
        <v>0</v>
      </c>
      <c r="BH33" s="128">
        <f t="shared" si="75"/>
        <v>0</v>
      </c>
      <c r="BI33" s="128">
        <f t="shared" si="75"/>
        <v>0</v>
      </c>
      <c r="BJ33" s="128">
        <f t="shared" si="75"/>
        <v>0</v>
      </c>
      <c r="BK33" s="128">
        <f t="shared" si="75"/>
        <v>0</v>
      </c>
      <c r="BL33" s="128">
        <f t="shared" si="75"/>
        <v>0</v>
      </c>
      <c r="BM33" s="128"/>
      <c r="BN33" s="128">
        <f t="shared" ref="BN33:BU33" si="76">SUM(BN34:BN36)</f>
        <v>0</v>
      </c>
      <c r="BO33" s="128">
        <f t="shared" si="76"/>
        <v>0</v>
      </c>
      <c r="BP33" s="128">
        <f t="shared" si="76"/>
        <v>0</v>
      </c>
      <c r="BQ33" s="128">
        <f t="shared" si="76"/>
        <v>0</v>
      </c>
      <c r="BR33" s="128">
        <f t="shared" si="76"/>
        <v>0</v>
      </c>
      <c r="BS33" s="128">
        <f t="shared" si="76"/>
        <v>0</v>
      </c>
      <c r="BT33" s="128">
        <f t="shared" si="76"/>
        <v>0</v>
      </c>
      <c r="BU33" s="128">
        <f t="shared" si="76"/>
        <v>0</v>
      </c>
    </row>
    <row r="34" spans="2:73">
      <c r="B34" s="131" t="s">
        <v>210</v>
      </c>
      <c r="C34" s="132">
        <f>'Probois 43 - Bilan'!C32</f>
        <v>0</v>
      </c>
      <c r="D34" s="132"/>
      <c r="E34" s="132">
        <f>'BSB - Bilan'!C34</f>
        <v>0</v>
      </c>
      <c r="F34" s="132">
        <f>'SC des SUCS - Bilan'!C34</f>
        <v>0</v>
      </c>
      <c r="G34" s="132"/>
      <c r="H34" s="132">
        <f t="shared" si="63"/>
        <v>0</v>
      </c>
      <c r="I34" s="132"/>
      <c r="J34" s="132">
        <f>'Probois 43 - Bilan'!D32</f>
        <v>0</v>
      </c>
      <c r="K34" s="132">
        <f>'SAS EMB - Bilan'!C34</f>
        <v>0</v>
      </c>
      <c r="L34" s="132">
        <f>'BSB - Bilan'!D34</f>
        <v>0</v>
      </c>
      <c r="M34" s="132">
        <f>'SC des SUCS - Bilan'!D34</f>
        <v>0</v>
      </c>
      <c r="N34" s="132">
        <f>'SCI - Bilan'!D34</f>
        <v>0</v>
      </c>
      <c r="O34" s="132">
        <f t="shared" si="65"/>
        <v>0</v>
      </c>
      <c r="P34" s="132"/>
      <c r="Q34" s="132">
        <f>'Probois 43 - Bilan'!E34</f>
        <v>0</v>
      </c>
      <c r="R34" s="132">
        <f>'SAS EMB - Bilan'!D34</f>
        <v>0</v>
      </c>
      <c r="S34" s="132">
        <f>'BSB - Bilan'!E34</f>
        <v>0</v>
      </c>
      <c r="T34" s="132">
        <f>'SC des SUCS - Bilan'!E34</f>
        <v>0</v>
      </c>
      <c r="U34" s="132">
        <f>'SCI - Bilan'!E34</f>
        <v>0</v>
      </c>
      <c r="V34" s="132">
        <f t="shared" si="67"/>
        <v>0</v>
      </c>
      <c r="W34" s="132"/>
      <c r="X34" s="132">
        <f>'Probois 43 - Bilan'!F34</f>
        <v>0</v>
      </c>
      <c r="Y34" s="132">
        <f>'SAS EMB - Bilan'!E34</f>
        <v>0</v>
      </c>
      <c r="Z34" s="132">
        <f>'BSB - Bilan'!F34</f>
        <v>0</v>
      </c>
      <c r="AA34" s="132">
        <f>'SC des SUCS - Bilan'!F34</f>
        <v>0</v>
      </c>
      <c r="AB34" s="132">
        <f>'SCI - Bilan'!F34</f>
        <v>0</v>
      </c>
      <c r="AC34" s="132">
        <f t="shared" si="68"/>
        <v>0</v>
      </c>
      <c r="AD34" s="132"/>
      <c r="AE34" s="132">
        <f>'Probois 43 - Bilan'!G34</f>
        <v>0</v>
      </c>
      <c r="AF34" s="132">
        <f>'SAS EMB - Bilan'!F34</f>
        <v>0</v>
      </c>
      <c r="AG34" s="132">
        <f>'BSB - Bilan'!G34</f>
        <v>0</v>
      </c>
      <c r="AH34" s="132">
        <f>'SC des SUCS - Bilan'!H34</f>
        <v>0</v>
      </c>
      <c r="AI34" s="132">
        <f>'SCI - Bilan'!H34</f>
        <v>0</v>
      </c>
      <c r="AJ34" s="132">
        <f t="shared" ref="AJ34:AJ35" si="77">SUM(AE34:AI34)</f>
        <v>0</v>
      </c>
      <c r="AK34" s="132"/>
      <c r="AL34" s="132"/>
      <c r="AM34" s="132">
        <f>'Probois 43 - Bilan (2)'!I34</f>
        <v>0</v>
      </c>
      <c r="AN34" s="132">
        <f>'SAS EMB - Bilan (2)'!H34</f>
        <v>0</v>
      </c>
      <c r="AO34" s="132">
        <f>'BSB - Bilan (2)'!I34</f>
        <v>0</v>
      </c>
      <c r="AP34" s="132">
        <f>'Profilyss - Bilan (2)'!I34</f>
        <v>0</v>
      </c>
      <c r="AQ34" s="132">
        <f>'SC des SUCS - Bilan (2)'!I34</f>
        <v>0</v>
      </c>
      <c r="AR34" s="132">
        <f>'SCI - Bilan (2)'!I34</f>
        <v>0</v>
      </c>
      <c r="AS34" s="132"/>
      <c r="AT34" s="132">
        <f t="shared" ref="AT34:AT35" si="78">SUM(AM34:AS34)</f>
        <v>0</v>
      </c>
      <c r="AU34" s="132"/>
      <c r="AV34" s="132">
        <f>'Probois 43 - Bilan (2)'!J34</f>
        <v>0</v>
      </c>
      <c r="AW34" s="132">
        <f>'SAS EMB - Bilan (2)'!I34</f>
        <v>0</v>
      </c>
      <c r="AX34" s="132">
        <f>'BSB - Bilan (2)'!J34</f>
        <v>0</v>
      </c>
      <c r="AY34" s="132">
        <f>'Profilyss - Bilan (2)'!J34</f>
        <v>0</v>
      </c>
      <c r="AZ34" s="132">
        <f>'SC des SUCS - Bilan (2)'!J34</f>
        <v>0</v>
      </c>
      <c r="BA34" s="132">
        <f>'SCI - Bilan (2)'!J34</f>
        <v>0</v>
      </c>
      <c r="BB34" s="132">
        <f>'Antreuil - Bilan (2)'!J34</f>
        <v>0</v>
      </c>
      <c r="BC34" s="132">
        <f t="shared" ref="BC34:BC35" si="79">SUM(AV34:BB34)</f>
        <v>0</v>
      </c>
      <c r="BD34" s="132"/>
      <c r="BE34" s="132">
        <f>'Probois 43 - Bilan (2)'!K34</f>
        <v>0</v>
      </c>
      <c r="BF34" s="132">
        <f>'SAS EMB - Bilan (2)'!J34</f>
        <v>0</v>
      </c>
      <c r="BG34" s="132">
        <f>'BSB - Bilan (2)'!K34</f>
        <v>0</v>
      </c>
      <c r="BH34" s="132">
        <f>'Profilyss - Bilan (2)'!K34</f>
        <v>0</v>
      </c>
      <c r="BI34" s="132">
        <f>'SC des SUCS - Bilan (2)'!K34</f>
        <v>0</v>
      </c>
      <c r="BJ34" s="132">
        <f>'SCI - Bilan (2)'!K34</f>
        <v>0</v>
      </c>
      <c r="BK34" s="132">
        <f>'Antreuil - Bilan (2)'!K34</f>
        <v>0</v>
      </c>
      <c r="BL34" s="132">
        <f t="shared" ref="BL34:BL35" si="80">SUM(BE34:BK34)</f>
        <v>0</v>
      </c>
      <c r="BM34" s="132"/>
      <c r="BN34" s="132">
        <f>'Probois 43 - Bilan (2)'!L34</f>
        <v>0</v>
      </c>
      <c r="BO34" s="132">
        <f>'SAS EMB - Bilan (2)'!K34</f>
        <v>0</v>
      </c>
      <c r="BP34" s="132">
        <f>'BSB - Bilan (2)'!L34</f>
        <v>0</v>
      </c>
      <c r="BQ34" s="132">
        <f>'Profilyss - Bilan (2)'!L34</f>
        <v>0</v>
      </c>
      <c r="BR34" s="132">
        <f>'SC des SUCS - Bilan (2)'!L34</f>
        <v>0</v>
      </c>
      <c r="BS34" s="132">
        <f>'SCI - Bilan (2)'!L34</f>
        <v>0</v>
      </c>
      <c r="BT34" s="132">
        <f>'Antreuil - Bilan (2)'!L34</f>
        <v>0</v>
      </c>
      <c r="BU34" s="132">
        <f t="shared" ref="BU34:BU35" si="81">SUM(BN34:BT34)</f>
        <v>0</v>
      </c>
    </row>
    <row r="35" spans="2:73">
      <c r="B35" s="131" t="s">
        <v>211</v>
      </c>
      <c r="C35" s="132">
        <f>'Probois 43 - Bilan'!C33</f>
        <v>0</v>
      </c>
      <c r="D35" s="132"/>
      <c r="E35" s="132">
        <f>'BSB - Bilan'!C35</f>
        <v>0</v>
      </c>
      <c r="F35" s="132">
        <f>'SC des SUCS - Bilan'!C35</f>
        <v>0</v>
      </c>
      <c r="G35" s="132"/>
      <c r="H35" s="132">
        <f t="shared" si="63"/>
        <v>0</v>
      </c>
      <c r="I35" s="132"/>
      <c r="J35" s="132">
        <f>'Probois 43 - Bilan'!D33</f>
        <v>0</v>
      </c>
      <c r="K35" s="132">
        <f>'SAS EMB - Bilan'!C35</f>
        <v>0</v>
      </c>
      <c r="L35" s="132">
        <f>'BSB - Bilan'!D35</f>
        <v>0</v>
      </c>
      <c r="M35" s="132">
        <f>'SC des SUCS - Bilan'!D35</f>
        <v>0</v>
      </c>
      <c r="N35" s="132">
        <f>'SCI - Bilan'!D35</f>
        <v>0</v>
      </c>
      <c r="O35" s="132">
        <f t="shared" si="65"/>
        <v>0</v>
      </c>
      <c r="P35" s="132"/>
      <c r="Q35" s="132">
        <f>'Probois 43 - Bilan'!E35</f>
        <v>0</v>
      </c>
      <c r="R35" s="132">
        <f>'SAS EMB - Bilan'!D35</f>
        <v>0</v>
      </c>
      <c r="S35" s="132">
        <f>'BSB - Bilan'!E35</f>
        <v>0</v>
      </c>
      <c r="T35" s="132">
        <f>'SC des SUCS - Bilan'!E35</f>
        <v>0</v>
      </c>
      <c r="U35" s="132">
        <f>'SCI - Bilan'!E35</f>
        <v>0</v>
      </c>
      <c r="V35" s="132">
        <f t="shared" si="67"/>
        <v>0</v>
      </c>
      <c r="W35" s="132"/>
      <c r="X35" s="132">
        <f>'Probois 43 - Bilan'!F35</f>
        <v>0</v>
      </c>
      <c r="Y35" s="132">
        <f>'SAS EMB - Bilan'!E35</f>
        <v>0</v>
      </c>
      <c r="Z35" s="132">
        <f>'BSB - Bilan'!F35</f>
        <v>0</v>
      </c>
      <c r="AA35" s="132">
        <f>'SC des SUCS - Bilan'!F35</f>
        <v>0</v>
      </c>
      <c r="AB35" s="132">
        <f>'SCI - Bilan'!F35</f>
        <v>0</v>
      </c>
      <c r="AC35" s="132">
        <f t="shared" si="68"/>
        <v>0</v>
      </c>
      <c r="AD35" s="132"/>
      <c r="AE35" s="132">
        <f>'Probois 43 - Bilan'!G35</f>
        <v>0</v>
      </c>
      <c r="AF35" s="132">
        <f>'SAS EMB - Bilan'!F35</f>
        <v>0</v>
      </c>
      <c r="AG35" s="132">
        <f>'BSB - Bilan'!G35</f>
        <v>0</v>
      </c>
      <c r="AH35" s="132">
        <f>'SC des SUCS - Bilan'!H35</f>
        <v>0</v>
      </c>
      <c r="AI35" s="132">
        <f>'SCI - Bilan'!H35</f>
        <v>0</v>
      </c>
      <c r="AJ35" s="132">
        <f t="shared" si="77"/>
        <v>0</v>
      </c>
      <c r="AK35" s="132"/>
      <c r="AL35" s="132"/>
      <c r="AM35" s="132">
        <f>'Probois 43 - Bilan (2)'!I35</f>
        <v>0</v>
      </c>
      <c r="AN35" s="132">
        <f>'SAS EMB - Bilan (2)'!H35</f>
        <v>0</v>
      </c>
      <c r="AO35" s="132">
        <f>'BSB - Bilan (2)'!I35</f>
        <v>0</v>
      </c>
      <c r="AP35" s="132">
        <f>'Profilyss - Bilan (2)'!I35</f>
        <v>0</v>
      </c>
      <c r="AQ35" s="132">
        <f>'SC des SUCS - Bilan (2)'!I35</f>
        <v>0</v>
      </c>
      <c r="AR35" s="132">
        <f>'SCI - Bilan (2)'!I35</f>
        <v>0</v>
      </c>
      <c r="AS35" s="132"/>
      <c r="AT35" s="132">
        <f t="shared" si="78"/>
        <v>0</v>
      </c>
      <c r="AU35" s="132"/>
      <c r="AV35" s="132">
        <f>'Probois 43 - Bilan (2)'!J35</f>
        <v>0</v>
      </c>
      <c r="AW35" s="132">
        <f>'SAS EMB - Bilan (2)'!I35</f>
        <v>0</v>
      </c>
      <c r="AX35" s="132">
        <f>'BSB - Bilan (2)'!J35</f>
        <v>0</v>
      </c>
      <c r="AY35" s="132">
        <f>'Profilyss - Bilan (2)'!J35</f>
        <v>0</v>
      </c>
      <c r="AZ35" s="132">
        <f>'SC des SUCS - Bilan (2)'!J35</f>
        <v>0</v>
      </c>
      <c r="BA35" s="132">
        <f>'SCI - Bilan (2)'!J35</f>
        <v>0</v>
      </c>
      <c r="BB35" s="132">
        <f>'Antreuil - Bilan (2)'!J35</f>
        <v>0</v>
      </c>
      <c r="BC35" s="132">
        <f t="shared" si="79"/>
        <v>0</v>
      </c>
      <c r="BD35" s="132"/>
      <c r="BE35" s="132">
        <f>'Probois 43 - Bilan (2)'!K35</f>
        <v>0</v>
      </c>
      <c r="BF35" s="132">
        <f>'SAS EMB - Bilan (2)'!J35</f>
        <v>0</v>
      </c>
      <c r="BG35" s="132">
        <f>'BSB - Bilan (2)'!K35</f>
        <v>0</v>
      </c>
      <c r="BH35" s="132">
        <f>'Profilyss - Bilan (2)'!K35</f>
        <v>0</v>
      </c>
      <c r="BI35" s="132">
        <f>'SC des SUCS - Bilan (2)'!K35</f>
        <v>0</v>
      </c>
      <c r="BJ35" s="132">
        <f>'SCI - Bilan (2)'!K35</f>
        <v>0</v>
      </c>
      <c r="BK35" s="132">
        <f>'Antreuil - Bilan (2)'!K35</f>
        <v>0</v>
      </c>
      <c r="BL35" s="132">
        <f t="shared" si="80"/>
        <v>0</v>
      </c>
      <c r="BM35" s="132"/>
      <c r="BN35" s="132">
        <f>'Probois 43 - Bilan (2)'!L35</f>
        <v>0</v>
      </c>
      <c r="BO35" s="132">
        <f>'SAS EMB - Bilan (2)'!K35</f>
        <v>0</v>
      </c>
      <c r="BP35" s="132">
        <f>'BSB - Bilan (2)'!L35</f>
        <v>0</v>
      </c>
      <c r="BQ35" s="132">
        <f>'Profilyss - Bilan (2)'!L35</f>
        <v>0</v>
      </c>
      <c r="BR35" s="132">
        <f>'SC des SUCS - Bilan (2)'!L35</f>
        <v>0</v>
      </c>
      <c r="BS35" s="132">
        <f>'SCI - Bilan (2)'!L35</f>
        <v>0</v>
      </c>
      <c r="BT35" s="132">
        <f>'Antreuil - Bilan (2)'!L35</f>
        <v>0</v>
      </c>
      <c r="BU35" s="132">
        <f t="shared" si="81"/>
        <v>0</v>
      </c>
    </row>
    <row r="36" spans="2:73">
      <c r="B36" s="141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</row>
    <row r="37" spans="2:73">
      <c r="B37" s="130" t="s">
        <v>212</v>
      </c>
      <c r="C37" s="128">
        <f>SUM(C38:C40)</f>
        <v>277698</v>
      </c>
      <c r="D37" s="128">
        <f t="shared" ref="D37:G37" si="82">SUM(D38:D40)</f>
        <v>0</v>
      </c>
      <c r="E37" s="128">
        <f t="shared" si="82"/>
        <v>699507</v>
      </c>
      <c r="F37" s="128">
        <f t="shared" si="82"/>
        <v>216963</v>
      </c>
      <c r="G37" s="128">
        <f t="shared" si="82"/>
        <v>0</v>
      </c>
      <c r="H37" s="128">
        <f t="shared" ref="H37:H39" si="83">SUM(C37:G37)</f>
        <v>1194168</v>
      </c>
      <c r="I37" s="185"/>
      <c r="J37" s="128">
        <f>SUM(J38:J40)</f>
        <v>440055</v>
      </c>
      <c r="K37" s="128">
        <f t="shared" ref="K37:N37" si="84">SUM(K38:K40)</f>
        <v>87021</v>
      </c>
      <c r="L37" s="128">
        <f t="shared" si="84"/>
        <v>558904</v>
      </c>
      <c r="M37" s="128">
        <f t="shared" si="84"/>
        <v>732184</v>
      </c>
      <c r="N37" s="128">
        <f t="shared" si="84"/>
        <v>83499</v>
      </c>
      <c r="O37" s="128">
        <f t="shared" ref="O37:O39" si="85">SUM(J37:N37)</f>
        <v>1901663</v>
      </c>
      <c r="P37" s="185"/>
      <c r="Q37" s="128">
        <f>SUM(Q38:Q40)</f>
        <v>420555</v>
      </c>
      <c r="R37" s="128">
        <f t="shared" ref="R37:U37" si="86">SUM(R38:R40)</f>
        <v>45239</v>
      </c>
      <c r="S37" s="128">
        <f t="shared" si="86"/>
        <v>524914</v>
      </c>
      <c r="T37" s="128">
        <f t="shared" si="86"/>
        <v>509777</v>
      </c>
      <c r="U37" s="128">
        <f t="shared" si="86"/>
        <v>114233</v>
      </c>
      <c r="V37" s="128">
        <f t="shared" ref="V37:V39" si="87">SUM(Q37:U37)</f>
        <v>1614718</v>
      </c>
      <c r="W37" s="185"/>
      <c r="X37" s="128">
        <f>SUM(X38:X40)</f>
        <v>351177</v>
      </c>
      <c r="Y37" s="128">
        <f t="shared" ref="Y37:AB37" si="88">SUM(Y38:Y40)</f>
        <v>0</v>
      </c>
      <c r="Z37" s="128">
        <f t="shared" si="88"/>
        <v>811911</v>
      </c>
      <c r="AA37" s="128">
        <f t="shared" si="88"/>
        <v>1016298</v>
      </c>
      <c r="AB37" s="128">
        <f t="shared" si="88"/>
        <v>112652</v>
      </c>
      <c r="AC37" s="128">
        <f t="shared" ref="AC37:AC39" si="89">SUM(X37:AB37)</f>
        <v>2292038</v>
      </c>
      <c r="AD37" s="185"/>
      <c r="AE37" s="128">
        <f>SUM(AE38:AE40)</f>
        <v>251144</v>
      </c>
      <c r="AF37" s="128">
        <f t="shared" ref="AF37:AI37" si="90">SUM(AF38:AF40)</f>
        <v>0</v>
      </c>
      <c r="AG37" s="128">
        <f t="shared" si="90"/>
        <v>939996</v>
      </c>
      <c r="AH37" s="128">
        <f t="shared" si="90"/>
        <v>1710676</v>
      </c>
      <c r="AI37" s="128">
        <f t="shared" si="90"/>
        <v>106938</v>
      </c>
      <c r="AJ37" s="185">
        <f>+AJ38+AJ39</f>
        <v>3008754</v>
      </c>
      <c r="AK37" s="185"/>
      <c r="AL37" s="185"/>
      <c r="AM37" s="128">
        <f>SUM(AM38:AM40)</f>
        <v>160327</v>
      </c>
      <c r="AN37" s="128">
        <f t="shared" ref="AN37:AR37" si="91">SUM(AN38:AN40)</f>
        <v>0</v>
      </c>
      <c r="AO37" s="128">
        <f t="shared" si="91"/>
        <v>832996</v>
      </c>
      <c r="AP37" s="128">
        <f t="shared" ref="AP37" si="92">SUM(AP38:AP40)</f>
        <v>0</v>
      </c>
      <c r="AQ37" s="128">
        <f t="shared" si="91"/>
        <v>1664931</v>
      </c>
      <c r="AR37" s="128">
        <f t="shared" si="91"/>
        <v>101938</v>
      </c>
      <c r="AS37" s="128">
        <f t="shared" ref="AS37" si="93">SUM(AS38:AS40)</f>
        <v>0</v>
      </c>
      <c r="AT37" s="185">
        <f>+AT38+AT39</f>
        <v>2760192</v>
      </c>
      <c r="AU37" s="185"/>
      <c r="AV37" s="128">
        <f>SUM(AV38:AV40)</f>
        <v>70327</v>
      </c>
      <c r="AW37" s="128">
        <f t="shared" ref="AW37:BB37" si="94">SUM(AW38:AW40)</f>
        <v>0</v>
      </c>
      <c r="AX37" s="128">
        <f t="shared" si="94"/>
        <v>747378</v>
      </c>
      <c r="AY37" s="128">
        <f t="shared" si="94"/>
        <v>2520469</v>
      </c>
      <c r="AZ37" s="128">
        <f t="shared" si="94"/>
        <v>1618690</v>
      </c>
      <c r="BA37" s="128">
        <f t="shared" si="94"/>
        <v>96938</v>
      </c>
      <c r="BB37" s="128">
        <f t="shared" si="94"/>
        <v>2442686</v>
      </c>
      <c r="BC37" s="185">
        <f>+BC38+BC39</f>
        <v>7496488</v>
      </c>
      <c r="BD37" s="185"/>
      <c r="BE37" s="128">
        <f>SUM(BE38:BE40)</f>
        <v>30327</v>
      </c>
      <c r="BF37" s="128">
        <f t="shared" ref="BF37:BK37" si="95">SUM(BF38:BF40)</f>
        <v>0</v>
      </c>
      <c r="BG37" s="128">
        <f t="shared" si="95"/>
        <v>708378</v>
      </c>
      <c r="BH37" s="128">
        <f t="shared" si="95"/>
        <v>2282369</v>
      </c>
      <c r="BI37" s="128">
        <f t="shared" si="95"/>
        <v>1571947</v>
      </c>
      <c r="BJ37" s="128">
        <f t="shared" si="95"/>
        <v>91938</v>
      </c>
      <c r="BK37" s="128">
        <f t="shared" si="95"/>
        <v>2309831</v>
      </c>
      <c r="BL37" s="185">
        <f>+BL38+BL39</f>
        <v>6994790</v>
      </c>
      <c r="BM37" s="185"/>
      <c r="BN37" s="128">
        <f>SUM(BN38:BN40)</f>
        <v>327</v>
      </c>
      <c r="BO37" s="128">
        <f t="shared" ref="BO37:BT37" si="96">SUM(BO38:BO40)</f>
        <v>0</v>
      </c>
      <c r="BP37" s="128">
        <f t="shared" si="96"/>
        <v>669378</v>
      </c>
      <c r="BQ37" s="128">
        <f t="shared" si="96"/>
        <v>2035368</v>
      </c>
      <c r="BR37" s="128">
        <f t="shared" si="96"/>
        <v>1528654</v>
      </c>
      <c r="BS37" s="128">
        <f t="shared" si="96"/>
        <v>86938</v>
      </c>
      <c r="BT37" s="128">
        <f t="shared" si="96"/>
        <v>2171565</v>
      </c>
      <c r="BU37" s="185">
        <f>+BU38+BU39</f>
        <v>6492230</v>
      </c>
    </row>
    <row r="38" spans="2:73">
      <c r="B38" s="131" t="s">
        <v>213</v>
      </c>
      <c r="C38" s="132">
        <f>'Probois 43 - Bilan'!C38</f>
        <v>240208</v>
      </c>
      <c r="D38" s="132"/>
      <c r="E38" s="132">
        <f>'BSB - Bilan'!C38</f>
        <v>495553</v>
      </c>
      <c r="F38" s="132">
        <f>'SC des SUCS - Bilan'!C38</f>
        <v>49818</v>
      </c>
      <c r="G38" s="132"/>
      <c r="H38" s="132">
        <f t="shared" si="83"/>
        <v>785579</v>
      </c>
      <c r="I38" s="132"/>
      <c r="J38" s="132">
        <f>'Probois 43 - Bilan'!D38</f>
        <v>440055</v>
      </c>
      <c r="K38" s="132">
        <f>'SAS EMB - Bilan'!C38</f>
        <v>16427</v>
      </c>
      <c r="L38" s="132">
        <f>'BSB - Bilan'!D38</f>
        <v>416681</v>
      </c>
      <c r="M38" s="132">
        <f>'SC des SUCS - Bilan'!D38</f>
        <v>36923</v>
      </c>
      <c r="N38" s="132">
        <f>'SCI - Bilan'!D38</f>
        <v>59708</v>
      </c>
      <c r="O38" s="132">
        <f t="shared" si="85"/>
        <v>969794</v>
      </c>
      <c r="P38" s="132"/>
      <c r="Q38" s="132">
        <f>'Probois 43 - Bilan'!E38</f>
        <v>420555</v>
      </c>
      <c r="R38" s="132">
        <f>'SAS EMB - Bilan'!D38</f>
        <v>4850</v>
      </c>
      <c r="S38" s="132">
        <f>'BSB - Bilan'!E38</f>
        <v>359470</v>
      </c>
      <c r="T38" s="132">
        <f>'SC des SUCS - Bilan'!E38</f>
        <v>23829</v>
      </c>
      <c r="U38" s="132">
        <f>'SCI - Bilan'!E38</f>
        <v>49879</v>
      </c>
      <c r="V38" s="132">
        <f t="shared" si="87"/>
        <v>858583</v>
      </c>
      <c r="W38" s="132"/>
      <c r="X38" s="132">
        <f>'Probois 43 - Bilan'!F38</f>
        <v>351177</v>
      </c>
      <c r="Y38" s="132">
        <f>'SAS EMB - Bilan'!E38</f>
        <v>0</v>
      </c>
      <c r="Z38" s="132">
        <f>'BSB - Bilan'!F38</f>
        <v>268248</v>
      </c>
      <c r="AA38" s="132">
        <f>'SC des SUCS - Bilan'!F38</f>
        <v>237855</v>
      </c>
      <c r="AB38" s="132">
        <f>'SCI - Bilan'!F38</f>
        <v>44714</v>
      </c>
      <c r="AC38" s="132">
        <f t="shared" si="89"/>
        <v>901994</v>
      </c>
      <c r="AD38" s="132"/>
      <c r="AE38" s="132">
        <f>'Probois 43 - Bilan'!G38</f>
        <v>251144</v>
      </c>
      <c r="AF38" s="132">
        <f>'SAS EMB - Bilan'!F38</f>
        <v>0</v>
      </c>
      <c r="AG38" s="132">
        <f>'BSB - Bilan'!G38</f>
        <v>352560</v>
      </c>
      <c r="AH38" s="132">
        <f>'SC des SUCS - Bilan (2)'!H38</f>
        <v>378682</v>
      </c>
      <c r="AI38" s="132">
        <f>'SCI - Bilan'!H38</f>
        <v>39000</v>
      </c>
      <c r="AJ38" s="132">
        <f t="shared" ref="AJ38:AJ39" si="97">SUM(AE38:AI38)</f>
        <v>1021386</v>
      </c>
      <c r="AK38" s="132"/>
      <c r="AL38" s="132"/>
      <c r="AM38" s="132">
        <f>'Probois 43 - Bilan (2)'!I38</f>
        <v>160327</v>
      </c>
      <c r="AN38" s="132">
        <f>'SAS EMB - Bilan (2)'!H38</f>
        <v>0</v>
      </c>
      <c r="AO38" s="132">
        <f>'BSB - Bilan (2)'!I38</f>
        <v>245560</v>
      </c>
      <c r="AP38" s="132">
        <f>'Profilyss - Bilan (2)'!I38</f>
        <v>0</v>
      </c>
      <c r="AQ38" s="132">
        <f>'SC des SUCS - Bilan (2)'!I38</f>
        <v>332937</v>
      </c>
      <c r="AR38" s="132">
        <f>'SCI - Bilan (2)'!I38</f>
        <v>34000</v>
      </c>
      <c r="AS38" s="132"/>
      <c r="AT38" s="132">
        <f t="shared" ref="AT38:AT39" si="98">SUM(AM38:AS38)</f>
        <v>772824</v>
      </c>
      <c r="AU38" s="132"/>
      <c r="AV38" s="132">
        <f>'Probois 43 - Bilan (2)'!J38</f>
        <v>70327</v>
      </c>
      <c r="AW38" s="132">
        <f>'SAS EMB - Bilan (2)'!I38</f>
        <v>0</v>
      </c>
      <c r="AX38" s="132">
        <f>'BSB - Bilan (2)'!J38</f>
        <v>159942</v>
      </c>
      <c r="AY38" s="132">
        <f>'Profilyss - Bilan (2)'!J38</f>
        <v>1520469</v>
      </c>
      <c r="AZ38" s="132">
        <f>'SC des SUCS - Bilan (2)'!J38</f>
        <v>286696</v>
      </c>
      <c r="BA38" s="132">
        <f>'SCI - Bilan (2)'!J38</f>
        <v>29000</v>
      </c>
      <c r="BB38" s="132">
        <f>'Antreuil - Bilan (2)'!J38</f>
        <v>2442686</v>
      </c>
      <c r="BC38" s="132">
        <f t="shared" ref="BC38:BC39" si="99">SUM(AV38:BB38)</f>
        <v>4509120</v>
      </c>
      <c r="BD38" s="132"/>
      <c r="BE38" s="132">
        <f>'Probois 43 - Bilan (2)'!K38</f>
        <v>30327</v>
      </c>
      <c r="BF38" s="132">
        <f>'SAS EMB - Bilan (2)'!J38</f>
        <v>0</v>
      </c>
      <c r="BG38" s="132">
        <f>'BSB - Bilan (2)'!K38</f>
        <v>120942</v>
      </c>
      <c r="BH38" s="132">
        <f>'Profilyss - Bilan (2)'!K38</f>
        <v>1282369</v>
      </c>
      <c r="BI38" s="132">
        <f>'SC des SUCS - Bilan (2)'!K38</f>
        <v>239953</v>
      </c>
      <c r="BJ38" s="132">
        <f>'SCI - Bilan (2)'!K38</f>
        <v>24000</v>
      </c>
      <c r="BK38" s="132">
        <f>'Antreuil - Bilan (2)'!K38</f>
        <v>2309831</v>
      </c>
      <c r="BL38" s="132">
        <f t="shared" ref="BL38:BL39" si="100">SUM(BE38:BK38)</f>
        <v>4007422</v>
      </c>
      <c r="BM38" s="132"/>
      <c r="BN38" s="132">
        <f>'Probois 43 - Bilan (2)'!L38</f>
        <v>327</v>
      </c>
      <c r="BO38" s="132">
        <f>'SAS EMB - Bilan (2)'!K38</f>
        <v>0</v>
      </c>
      <c r="BP38" s="132">
        <f>'BSB - Bilan (2)'!L38</f>
        <v>81942</v>
      </c>
      <c r="BQ38" s="132">
        <f>'Profilyss - Bilan (2)'!L38</f>
        <v>1035368</v>
      </c>
      <c r="BR38" s="132">
        <f>'SC des SUCS - Bilan (2)'!L38</f>
        <v>196660</v>
      </c>
      <c r="BS38" s="132">
        <f>'SCI - Bilan (2)'!L38</f>
        <v>19000</v>
      </c>
      <c r="BT38" s="132">
        <f>'Antreuil - Bilan (2)'!L38</f>
        <v>2171565</v>
      </c>
      <c r="BU38" s="132">
        <f t="shared" ref="BU38:BU39" si="101">SUM(BN38:BT38)</f>
        <v>3504862</v>
      </c>
    </row>
    <row r="39" spans="2:73">
      <c r="B39" s="131" t="s">
        <v>214</v>
      </c>
      <c r="C39" s="132">
        <f>'Probois 43 - Bilan'!C43</f>
        <v>37490</v>
      </c>
      <c r="D39" s="132"/>
      <c r="E39" s="132">
        <f>'BSB - Bilan'!C51</f>
        <v>203954</v>
      </c>
      <c r="F39" s="132">
        <f>'SC des SUCS - Bilan'!C43</f>
        <v>167145</v>
      </c>
      <c r="G39" s="132"/>
      <c r="H39" s="132">
        <f t="shared" si="83"/>
        <v>408589</v>
      </c>
      <c r="I39" s="132"/>
      <c r="J39" s="132">
        <f>'Probois 43 - Bilan'!D43</f>
        <v>0</v>
      </c>
      <c r="K39" s="132">
        <f>'SAS EMB - Bilan'!C42</f>
        <v>70594</v>
      </c>
      <c r="L39" s="132">
        <f>'BSB - Bilan'!D51</f>
        <v>142223</v>
      </c>
      <c r="M39" s="132">
        <f>'SC des SUCS - Bilan'!D43</f>
        <v>695261</v>
      </c>
      <c r="N39" s="132">
        <f>'SCI - Bilan'!D42</f>
        <v>23791</v>
      </c>
      <c r="O39" s="132">
        <f t="shared" si="85"/>
        <v>931869</v>
      </c>
      <c r="P39" s="132"/>
      <c r="Q39" s="132">
        <f>'Probois 43 - Bilan'!E43</f>
        <v>0</v>
      </c>
      <c r="R39" s="132">
        <f>'SAS EMB - Bilan'!D42</f>
        <v>40389</v>
      </c>
      <c r="S39" s="132">
        <f>'BSB - Bilan'!E51</f>
        <v>165444</v>
      </c>
      <c r="T39" s="132">
        <f>'SC des SUCS - Bilan'!E43</f>
        <v>485948</v>
      </c>
      <c r="U39" s="132">
        <f>'SCI - Bilan'!E42</f>
        <v>64354</v>
      </c>
      <c r="V39" s="132">
        <f t="shared" si="87"/>
        <v>756135</v>
      </c>
      <c r="W39" s="132"/>
      <c r="X39" s="132">
        <f>'Probois 43 - Bilan'!F43</f>
        <v>0</v>
      </c>
      <c r="Y39" s="132">
        <f>'SAS EMB - Bilan'!E42</f>
        <v>0</v>
      </c>
      <c r="Z39" s="132">
        <f>'BSB - Bilan'!F51</f>
        <v>543663</v>
      </c>
      <c r="AA39" s="132">
        <f>'SC des SUCS - Bilan'!F43</f>
        <v>778443</v>
      </c>
      <c r="AB39" s="132">
        <f>'SCI - Bilan'!F42</f>
        <v>67938</v>
      </c>
      <c r="AC39" s="132">
        <f t="shared" si="89"/>
        <v>1390044</v>
      </c>
      <c r="AD39" s="132"/>
      <c r="AE39" s="132">
        <f>'Probois 43 - Bilan'!G43</f>
        <v>0</v>
      </c>
      <c r="AF39" s="132">
        <f>'SAS EMB - Bilan'!F42</f>
        <v>0</v>
      </c>
      <c r="AG39" s="132">
        <f>'BSB - Bilan'!G51</f>
        <v>587436</v>
      </c>
      <c r="AH39" s="132">
        <f>'SC des SUCS - Bilan (2)'!H43</f>
        <v>1331994</v>
      </c>
      <c r="AI39" s="132">
        <f>'SCI - Bilan'!H42</f>
        <v>67938</v>
      </c>
      <c r="AJ39" s="132">
        <f t="shared" si="97"/>
        <v>1987368</v>
      </c>
      <c r="AK39" s="132"/>
      <c r="AL39" s="132"/>
      <c r="AM39" s="132">
        <f>'Probois 43 - Bilan (2)'!I43</f>
        <v>0</v>
      </c>
      <c r="AN39" s="132">
        <f>'SAS EMB - Bilan (2)'!H42</f>
        <v>0</v>
      </c>
      <c r="AO39" s="132">
        <f>'BSB - Bilan (2)'!I51</f>
        <v>587436</v>
      </c>
      <c r="AP39" s="132">
        <f>'Profilyss - Bilan (2)'!I42</f>
        <v>0</v>
      </c>
      <c r="AQ39" s="132">
        <f>'SC des SUCS - Bilan (2)'!I43</f>
        <v>1331994</v>
      </c>
      <c r="AR39" s="132">
        <f>'SCI - Bilan (2)'!I42</f>
        <v>67938</v>
      </c>
      <c r="AS39" s="132"/>
      <c r="AT39" s="132">
        <f t="shared" si="98"/>
        <v>1987368</v>
      </c>
      <c r="AU39" s="132"/>
      <c r="AV39" s="132">
        <f>'Probois 43 - Bilan (2)'!J43</f>
        <v>0</v>
      </c>
      <c r="AW39" s="132">
        <f>'SAS EMB - Bilan (2)'!I42</f>
        <v>0</v>
      </c>
      <c r="AX39" s="132">
        <f>'BSB - Bilan (2)'!J51</f>
        <v>587436</v>
      </c>
      <c r="AY39" s="132">
        <f>'Profilyss - Bilan (2)'!J42</f>
        <v>1000000</v>
      </c>
      <c r="AZ39" s="132">
        <f>'SC des SUCS - Bilan (2)'!J43</f>
        <v>1331994</v>
      </c>
      <c r="BA39" s="132">
        <f>'SCI - Bilan (2)'!J42</f>
        <v>67938</v>
      </c>
      <c r="BB39" s="132">
        <v>0</v>
      </c>
      <c r="BC39" s="132">
        <f t="shared" si="99"/>
        <v>2987368</v>
      </c>
      <c r="BD39" s="132"/>
      <c r="BE39" s="132">
        <f>'Probois 43 - Bilan (2)'!K43</f>
        <v>0</v>
      </c>
      <c r="BF39" s="132">
        <f>'SAS EMB - Bilan (2)'!J42</f>
        <v>0</v>
      </c>
      <c r="BG39" s="132">
        <f>'BSB - Bilan (2)'!K51</f>
        <v>587436</v>
      </c>
      <c r="BH39" s="132">
        <f>'Profilyss - Bilan (2)'!K42</f>
        <v>1000000</v>
      </c>
      <c r="BI39" s="132">
        <f>'SC des SUCS - Bilan (2)'!K43</f>
        <v>1331994</v>
      </c>
      <c r="BJ39" s="132">
        <f>'SCI - Bilan (2)'!K42</f>
        <v>67938</v>
      </c>
      <c r="BK39" s="132">
        <v>0</v>
      </c>
      <c r="BL39" s="132">
        <f t="shared" si="100"/>
        <v>2987368</v>
      </c>
      <c r="BM39" s="132"/>
      <c r="BN39" s="132">
        <f>'Probois 43 - Bilan (2)'!L43</f>
        <v>0</v>
      </c>
      <c r="BO39" s="132">
        <f>'SAS EMB - Bilan (2)'!K42</f>
        <v>0</v>
      </c>
      <c r="BP39" s="132">
        <f>'BSB - Bilan (2)'!L51</f>
        <v>587436</v>
      </c>
      <c r="BQ39" s="132">
        <f>'Profilyss - Bilan (2)'!L42</f>
        <v>1000000</v>
      </c>
      <c r="BR39" s="132">
        <f>'SC des SUCS - Bilan (2)'!L43</f>
        <v>1331994</v>
      </c>
      <c r="BS39" s="132">
        <f>'SCI - Bilan (2)'!L42</f>
        <v>67938</v>
      </c>
      <c r="BT39" s="132">
        <v>0</v>
      </c>
      <c r="BU39" s="132">
        <f t="shared" si="101"/>
        <v>2987368</v>
      </c>
    </row>
    <row r="40" spans="2:73">
      <c r="B40" s="147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</row>
    <row r="41" spans="2:73">
      <c r="B41" s="130" t="s">
        <v>215</v>
      </c>
      <c r="C41" s="128">
        <f>SUM(C42:C48)</f>
        <v>470661</v>
      </c>
      <c r="D41" s="128">
        <f t="shared" ref="D41:G41" si="102">SUM(D42:D48)</f>
        <v>0</v>
      </c>
      <c r="E41" s="128">
        <f t="shared" si="102"/>
        <v>188780</v>
      </c>
      <c r="F41" s="128">
        <f t="shared" si="102"/>
        <v>0</v>
      </c>
      <c r="G41" s="128">
        <f t="shared" si="102"/>
        <v>0</v>
      </c>
      <c r="H41" s="128">
        <f t="shared" ref="H41:H47" si="103">SUM(C41:G41)</f>
        <v>659441</v>
      </c>
      <c r="I41" s="128"/>
      <c r="J41" s="128">
        <f>SUM(J42:J48)</f>
        <v>557108</v>
      </c>
      <c r="K41" s="128">
        <f t="shared" ref="K41:N41" si="104">SUM(K42:K48)</f>
        <v>200937</v>
      </c>
      <c r="L41" s="128">
        <f t="shared" si="104"/>
        <v>156165</v>
      </c>
      <c r="M41" s="128">
        <f t="shared" si="104"/>
        <v>253</v>
      </c>
      <c r="N41" s="128">
        <f t="shared" si="104"/>
        <v>1869</v>
      </c>
      <c r="O41" s="128">
        <f t="shared" ref="O41:O47" si="105">SUM(J41:N41)</f>
        <v>916332</v>
      </c>
      <c r="P41" s="128"/>
      <c r="Q41" s="128">
        <f>SUM(Q42:Q48)</f>
        <v>836988</v>
      </c>
      <c r="R41" s="128">
        <f t="shared" ref="R41:U41" si="106">SUM(R42:R48)</f>
        <v>234177</v>
      </c>
      <c r="S41" s="128">
        <f t="shared" si="106"/>
        <v>569240</v>
      </c>
      <c r="T41" s="128">
        <f t="shared" si="106"/>
        <v>318</v>
      </c>
      <c r="U41" s="128">
        <f t="shared" si="106"/>
        <v>2015</v>
      </c>
      <c r="V41" s="128">
        <f t="shared" ref="V41:V47" si="107">SUM(Q41:U41)</f>
        <v>1642738</v>
      </c>
      <c r="W41" s="128"/>
      <c r="X41" s="128">
        <f>SUM(X42:X48)</f>
        <v>853938</v>
      </c>
      <c r="Y41" s="128">
        <f t="shared" ref="Y41:AB41" si="108">SUM(Y42:Y48)</f>
        <v>241155</v>
      </c>
      <c r="Z41" s="128">
        <f t="shared" si="108"/>
        <v>315251</v>
      </c>
      <c r="AA41" s="128">
        <f t="shared" si="108"/>
        <v>13876</v>
      </c>
      <c r="AB41" s="128">
        <f t="shared" si="108"/>
        <v>2938</v>
      </c>
      <c r="AC41" s="128">
        <f t="shared" ref="AC41:AC47" si="109">SUM(X41:AB41)</f>
        <v>1427158</v>
      </c>
      <c r="AD41" s="128"/>
      <c r="AE41" s="128">
        <f>SUM(AE42:AE48)</f>
        <v>660143</v>
      </c>
      <c r="AF41" s="128">
        <f t="shared" ref="AF41:AJ41" si="110">SUM(AF42:AF48)</f>
        <v>260110</v>
      </c>
      <c r="AG41" s="128">
        <f t="shared" si="110"/>
        <v>457730</v>
      </c>
      <c r="AH41" s="128">
        <f t="shared" si="110"/>
        <v>11210</v>
      </c>
      <c r="AI41" s="128">
        <f t="shared" si="110"/>
        <v>2938</v>
      </c>
      <c r="AJ41" s="128">
        <f t="shared" si="110"/>
        <v>1392131</v>
      </c>
      <c r="AK41" s="128"/>
      <c r="AL41" s="128"/>
      <c r="AM41" s="128">
        <f>SUM(AM42:AM48)</f>
        <v>670129</v>
      </c>
      <c r="AN41" s="128">
        <f t="shared" ref="AN41:AT41" si="111">SUM(AN42:AN48)</f>
        <v>260110</v>
      </c>
      <c r="AO41" s="128">
        <f t="shared" si="111"/>
        <v>453631</v>
      </c>
      <c r="AP41" s="128">
        <f t="shared" ref="AP41" si="112">SUM(AP42:AP48)</f>
        <v>0</v>
      </c>
      <c r="AQ41" s="128">
        <f t="shared" si="111"/>
        <v>6587</v>
      </c>
      <c r="AR41" s="128">
        <f t="shared" si="111"/>
        <v>2938</v>
      </c>
      <c r="AS41" s="128">
        <f t="shared" ref="AS41" si="113">SUM(AS42:AS48)</f>
        <v>0</v>
      </c>
      <c r="AT41" s="128">
        <f t="shared" si="111"/>
        <v>1393395</v>
      </c>
      <c r="AU41" s="128"/>
      <c r="AV41" s="128">
        <f>SUM(AV42:AV48)</f>
        <v>720129</v>
      </c>
      <c r="AW41" s="128">
        <f t="shared" ref="AW41:BC41" si="114">SUM(AW42:AW48)</f>
        <v>250419</v>
      </c>
      <c r="AX41" s="128">
        <f t="shared" si="114"/>
        <v>493631</v>
      </c>
      <c r="AY41" s="128">
        <f t="shared" si="114"/>
        <v>140068.49315068492</v>
      </c>
      <c r="AZ41" s="128">
        <f t="shared" si="114"/>
        <v>5874</v>
      </c>
      <c r="BA41" s="128">
        <f t="shared" si="114"/>
        <v>2938</v>
      </c>
      <c r="BB41" s="128">
        <f t="shared" si="114"/>
        <v>20000</v>
      </c>
      <c r="BC41" s="128">
        <f t="shared" si="114"/>
        <v>1633059.493150685</v>
      </c>
      <c r="BD41" s="128"/>
      <c r="BE41" s="128">
        <f>SUM(BE42:BE48)</f>
        <v>760129</v>
      </c>
      <c r="BF41" s="128">
        <f t="shared" ref="BF41:BL41" si="115">SUM(BF42:BF48)</f>
        <v>255419</v>
      </c>
      <c r="BG41" s="128">
        <f t="shared" si="115"/>
        <v>513631</v>
      </c>
      <c r="BH41" s="128">
        <f t="shared" si="115"/>
        <v>160616.43835616441</v>
      </c>
      <c r="BI41" s="128">
        <f t="shared" si="115"/>
        <v>5880</v>
      </c>
      <c r="BJ41" s="128">
        <f t="shared" si="115"/>
        <v>2938</v>
      </c>
      <c r="BK41" s="128">
        <f t="shared" si="115"/>
        <v>20000</v>
      </c>
      <c r="BL41" s="128">
        <f t="shared" si="115"/>
        <v>1718613.4383561644</v>
      </c>
      <c r="BM41" s="128"/>
      <c r="BN41" s="128">
        <f>SUM(BN42:BN48)</f>
        <v>790129</v>
      </c>
      <c r="BO41" s="128">
        <f t="shared" ref="BO41:BU41" si="116">SUM(BO42:BO48)</f>
        <v>260419</v>
      </c>
      <c r="BP41" s="128">
        <f t="shared" si="116"/>
        <v>533631</v>
      </c>
      <c r="BQ41" s="128">
        <f t="shared" si="116"/>
        <v>214041.09589041097</v>
      </c>
      <c r="BR41" s="128">
        <f t="shared" si="116"/>
        <v>5879</v>
      </c>
      <c r="BS41" s="128">
        <f t="shared" si="116"/>
        <v>2938</v>
      </c>
      <c r="BT41" s="128">
        <f t="shared" si="116"/>
        <v>20000</v>
      </c>
      <c r="BU41" s="128">
        <f t="shared" si="116"/>
        <v>1827037.0958904109</v>
      </c>
    </row>
    <row r="42" spans="2:73">
      <c r="B42" s="131" t="s">
        <v>216</v>
      </c>
      <c r="C42" s="132">
        <f>'Probois 43 - Bilan'!C48</f>
        <v>0</v>
      </c>
      <c r="D42" s="132"/>
      <c r="E42" s="132">
        <f>'BSB - Bilan'!C56</f>
        <v>0</v>
      </c>
      <c r="F42" s="132">
        <f>'SC des SUCS - Bilan'!C49</f>
        <v>0</v>
      </c>
      <c r="G42" s="132"/>
      <c r="H42" s="132">
        <f t="shared" si="103"/>
        <v>0</v>
      </c>
      <c r="I42" s="132"/>
      <c r="J42" s="132">
        <f>'Probois 43 - Bilan'!D48</f>
        <v>0</v>
      </c>
      <c r="K42" s="132">
        <f>'SAS EMB - Bilan'!C46</f>
        <v>0</v>
      </c>
      <c r="L42" s="132">
        <f>'BSB - Bilan'!D56</f>
        <v>0</v>
      </c>
      <c r="M42" s="132">
        <f>'SC des SUCS - Bilan'!D49</f>
        <v>0</v>
      </c>
      <c r="N42" s="132">
        <f>'SCI - Bilan'!D46</f>
        <v>0</v>
      </c>
      <c r="O42" s="132">
        <f t="shared" si="105"/>
        <v>0</v>
      </c>
      <c r="P42" s="132"/>
      <c r="Q42" s="132">
        <f>'Probois 43 - Bilan'!E48</f>
        <v>0</v>
      </c>
      <c r="R42" s="132">
        <f>'SAS EMB - Bilan'!D46</f>
        <v>0</v>
      </c>
      <c r="S42" s="132">
        <f>'BSB - Bilan'!E56</f>
        <v>0</v>
      </c>
      <c r="T42" s="132">
        <f>'SC des SUCS - Bilan'!E49</f>
        <v>0</v>
      </c>
      <c r="U42" s="132">
        <f>'SCI - Bilan'!E46</f>
        <v>0</v>
      </c>
      <c r="V42" s="132">
        <f t="shared" si="107"/>
        <v>0</v>
      </c>
      <c r="W42" s="132"/>
      <c r="X42" s="132">
        <f>'Probois 43 - Bilan'!F48</f>
        <v>0</v>
      </c>
      <c r="Y42" s="132">
        <f>'SAS EMB - Bilan'!E46</f>
        <v>0</v>
      </c>
      <c r="Z42" s="132">
        <f>'BSB - Bilan'!F56</f>
        <v>0</v>
      </c>
      <c r="AA42" s="132">
        <f>'SC des SUCS - Bilan'!F49</f>
        <v>0</v>
      </c>
      <c r="AB42" s="132">
        <f>'SCI - Bilan'!F46</f>
        <v>0</v>
      </c>
      <c r="AC42" s="132">
        <f t="shared" si="109"/>
        <v>0</v>
      </c>
      <c r="AD42" s="132"/>
      <c r="AE42" s="132">
        <f>'Probois 43 - Bilan'!G48</f>
        <v>0</v>
      </c>
      <c r="AF42" s="132">
        <f>'SAS EMB - Bilan'!F46</f>
        <v>0</v>
      </c>
      <c r="AG42" s="132">
        <f>'BSB - Bilan'!G56</f>
        <v>514</v>
      </c>
      <c r="AH42" s="132">
        <f>'SC des SUCS - Bilan'!H49</f>
        <v>0</v>
      </c>
      <c r="AI42" s="132">
        <f>'SCI - Bilan'!H46</f>
        <v>0</v>
      </c>
      <c r="AJ42" s="132">
        <f t="shared" ref="AJ42:AJ47" si="117">SUM(AE42:AI42)</f>
        <v>514</v>
      </c>
      <c r="AK42" s="132"/>
      <c r="AL42" s="132"/>
      <c r="AM42" s="132">
        <f>'Probois 43 - Bilan (2)'!I48</f>
        <v>0</v>
      </c>
      <c r="AN42" s="132">
        <f>'SAS EMB - Bilan (2)'!H46</f>
        <v>0</v>
      </c>
      <c r="AO42" s="132">
        <f>'BSB - Bilan (2)'!I56</f>
        <v>514</v>
      </c>
      <c r="AP42" s="132">
        <f>'Profilyss - Bilan (2)'!I45</f>
        <v>0</v>
      </c>
      <c r="AQ42" s="132">
        <f>'SC des SUCS - Bilan (2)'!I50</f>
        <v>0</v>
      </c>
      <c r="AR42" s="132">
        <f>'SCI - Bilan (2)'!I46</f>
        <v>0</v>
      </c>
      <c r="AS42" s="132"/>
      <c r="AT42" s="132">
        <f t="shared" ref="AT42:AT47" si="118">SUM(AM42:AS42)</f>
        <v>514</v>
      </c>
      <c r="AU42" s="132"/>
      <c r="AV42" s="132">
        <f>'Probois 43 - Bilan (2)'!J48</f>
        <v>0</v>
      </c>
      <c r="AW42" s="132">
        <f>'SAS EMB - Bilan (2)'!I46</f>
        <v>0</v>
      </c>
      <c r="AX42" s="132">
        <f>'BSB - Bilan (2)'!J56</f>
        <v>514</v>
      </c>
      <c r="AY42" s="132">
        <f>'Profilyss - Bilan (2)'!J45</f>
        <v>0</v>
      </c>
      <c r="AZ42" s="132">
        <f>'SC des SUCS - Bilan (2)'!J50</f>
        <v>0</v>
      </c>
      <c r="BA42" s="132">
        <f>'SCI - Bilan (2)'!J46</f>
        <v>0</v>
      </c>
      <c r="BB42" s="132">
        <f>'Antreuil - Bilan (2)'!J45</f>
        <v>0</v>
      </c>
      <c r="BC42" s="132">
        <f t="shared" ref="BC42:BC47" si="119">SUM(AV42:BB42)</f>
        <v>514</v>
      </c>
      <c r="BD42" s="132"/>
      <c r="BE42" s="132">
        <f>'Probois 43 - Bilan (2)'!K48</f>
        <v>0</v>
      </c>
      <c r="BF42" s="132">
        <f>'SAS EMB - Bilan (2)'!J46</f>
        <v>0</v>
      </c>
      <c r="BG42" s="132">
        <f>'BSB - Bilan (2)'!K56</f>
        <v>514</v>
      </c>
      <c r="BH42" s="132">
        <f>'Profilyss - Bilan (2)'!K45</f>
        <v>0</v>
      </c>
      <c r="BI42" s="132">
        <f>'SC des SUCS - Bilan (2)'!K50</f>
        <v>0</v>
      </c>
      <c r="BJ42" s="132">
        <f>'SCI - Bilan (2)'!K46</f>
        <v>0</v>
      </c>
      <c r="BK42" s="132">
        <f>'Antreuil - Bilan (2)'!K45</f>
        <v>0</v>
      </c>
      <c r="BL42" s="132">
        <f t="shared" ref="BL42:BL47" si="120">SUM(BE42:BK42)</f>
        <v>514</v>
      </c>
      <c r="BM42" s="132"/>
      <c r="BN42" s="132">
        <f>'Probois 43 - Bilan (2)'!L48</f>
        <v>0</v>
      </c>
      <c r="BO42" s="132">
        <f>'SAS EMB - Bilan (2)'!K46</f>
        <v>0</v>
      </c>
      <c r="BP42" s="132">
        <f>'BSB - Bilan (2)'!L56</f>
        <v>514</v>
      </c>
      <c r="BQ42" s="132">
        <f>'Profilyss - Bilan (2)'!L45</f>
        <v>0</v>
      </c>
      <c r="BR42" s="132">
        <f>'SC des SUCS - Bilan (2)'!L50</f>
        <v>0</v>
      </c>
      <c r="BS42" s="132">
        <f>'SCI - Bilan (2)'!L46</f>
        <v>0</v>
      </c>
      <c r="BT42" s="132">
        <f>'Antreuil - Bilan (2)'!L45</f>
        <v>0</v>
      </c>
      <c r="BU42" s="132">
        <f t="shared" ref="BU42:BU47" si="121">SUM(BN42:BT42)</f>
        <v>514</v>
      </c>
    </row>
    <row r="43" spans="2:73">
      <c r="B43" s="131" t="s">
        <v>44</v>
      </c>
      <c r="C43" s="132">
        <f>'Probois 43 - Bilan'!C49</f>
        <v>435744</v>
      </c>
      <c r="D43" s="132"/>
      <c r="E43" s="132">
        <f>'BSB - Bilan'!C57</f>
        <v>163013</v>
      </c>
      <c r="F43" s="132">
        <f>'SC des SUCS - Bilan'!C50</f>
        <v>0</v>
      </c>
      <c r="G43" s="132"/>
      <c r="H43" s="132">
        <f t="shared" si="103"/>
        <v>598757</v>
      </c>
      <c r="I43" s="132"/>
      <c r="J43" s="132">
        <f>'Probois 43 - Bilan'!D49</f>
        <v>482872</v>
      </c>
      <c r="K43" s="132">
        <f>'SAS EMB - Bilan'!C47</f>
        <v>74291</v>
      </c>
      <c r="L43" s="132">
        <f>'BSB - Bilan'!D57</f>
        <v>138366</v>
      </c>
      <c r="M43" s="132">
        <f>'SC des SUCS - Bilan'!D50</f>
        <v>0</v>
      </c>
      <c r="N43" s="132">
        <f>'SCI - Bilan'!D47</f>
        <v>0</v>
      </c>
      <c r="O43" s="132">
        <f t="shared" si="105"/>
        <v>695529</v>
      </c>
      <c r="P43" s="132"/>
      <c r="Q43" s="132">
        <f>'Probois 43 - Bilan'!E49</f>
        <v>740814</v>
      </c>
      <c r="R43" s="132">
        <f>'SAS EMB - Bilan'!D47</f>
        <v>124857</v>
      </c>
      <c r="S43" s="132">
        <f>'BSB - Bilan'!E57</f>
        <v>521030</v>
      </c>
      <c r="T43" s="132">
        <f>'SC des SUCS - Bilan'!E50</f>
        <v>318</v>
      </c>
      <c r="U43" s="132">
        <f>'SCI - Bilan'!E47</f>
        <v>0</v>
      </c>
      <c r="V43" s="132">
        <f t="shared" si="107"/>
        <v>1387019</v>
      </c>
      <c r="W43" s="132"/>
      <c r="X43" s="132">
        <f>'Probois 43 - Bilan'!F49</f>
        <v>794141</v>
      </c>
      <c r="Y43" s="132">
        <f>'SAS EMB - Bilan'!E47</f>
        <v>110767</v>
      </c>
      <c r="Z43" s="132">
        <f>'BSB - Bilan'!F57</f>
        <v>278536</v>
      </c>
      <c r="AA43" s="132">
        <f>'SC des SUCS - Bilan'!F50</f>
        <v>1499</v>
      </c>
      <c r="AB43" s="132">
        <f>'SCI - Bilan'!F47</f>
        <v>0</v>
      </c>
      <c r="AC43" s="132">
        <f t="shared" si="109"/>
        <v>1184943</v>
      </c>
      <c r="AD43" s="132"/>
      <c r="AE43" s="132">
        <f>'Probois 43 - Bilan'!G49</f>
        <v>580014</v>
      </c>
      <c r="AF43" s="132">
        <f>'SAS EMB - Bilan'!F47</f>
        <v>179691</v>
      </c>
      <c r="AG43" s="132">
        <f>'BSB - Bilan'!G57</f>
        <v>414099</v>
      </c>
      <c r="AH43" s="132">
        <f>'SC des SUCS - Bilan'!H50</f>
        <v>2504</v>
      </c>
      <c r="AI43" s="132">
        <f>'SCI - Bilan'!H47</f>
        <v>0</v>
      </c>
      <c r="AJ43" s="132">
        <f t="shared" si="117"/>
        <v>1176308</v>
      </c>
      <c r="AK43" s="132"/>
      <c r="AL43" s="132"/>
      <c r="AM43" s="132">
        <f>'Probois 43 - Bilan (2)'!I49</f>
        <v>590000</v>
      </c>
      <c r="AN43" s="132">
        <f>'SAS EMB - Bilan (2)'!H47</f>
        <v>179691</v>
      </c>
      <c r="AO43" s="132">
        <f>'BSB - Bilan (2)'!I57</f>
        <v>410000</v>
      </c>
      <c r="AP43" s="132">
        <f>'Profilyss - Bilan (2)'!I46</f>
        <v>0</v>
      </c>
      <c r="AQ43" s="132">
        <f>'SC des SUCS - Bilan (2)'!I51</f>
        <v>2504</v>
      </c>
      <c r="AR43" s="132">
        <f>'SCI - Bilan (2)'!I47</f>
        <v>0</v>
      </c>
      <c r="AS43" s="132"/>
      <c r="AT43" s="132">
        <f t="shared" si="118"/>
        <v>1182195</v>
      </c>
      <c r="AU43" s="132"/>
      <c r="AV43" s="132">
        <f>'Probois 43 - Bilan (2)'!J49</f>
        <v>640000</v>
      </c>
      <c r="AW43" s="132">
        <f>'SAS EMB - Bilan (2)'!I47</f>
        <v>170000</v>
      </c>
      <c r="AX43" s="132">
        <f>'BSB - Bilan (2)'!J57</f>
        <v>450000</v>
      </c>
      <c r="AY43" s="132">
        <f>'Profilyss - Bilan (2)'!J46</f>
        <v>115068.49315068492</v>
      </c>
      <c r="AZ43" s="132">
        <f>'SC des SUCS - Bilan (2)'!J51</f>
        <v>2504</v>
      </c>
      <c r="BA43" s="132">
        <f>'SCI - Bilan (2)'!J47</f>
        <v>0</v>
      </c>
      <c r="BB43" s="132">
        <f>'Antreuil - Bilan (2)'!J46</f>
        <v>0</v>
      </c>
      <c r="BC43" s="132">
        <f t="shared" si="119"/>
        <v>1377572.493150685</v>
      </c>
      <c r="BD43" s="132"/>
      <c r="BE43" s="132">
        <f>'Probois 43 - Bilan (2)'!K49</f>
        <v>680000</v>
      </c>
      <c r="BF43" s="132">
        <f>'SAS EMB - Bilan (2)'!J47</f>
        <v>175000</v>
      </c>
      <c r="BG43" s="132">
        <f>'BSB - Bilan (2)'!K57</f>
        <v>470000</v>
      </c>
      <c r="BH43" s="132">
        <f>'Profilyss - Bilan (2)'!K46</f>
        <v>135616.43835616441</v>
      </c>
      <c r="BI43" s="132">
        <f>'SC des SUCS - Bilan (2)'!K51</f>
        <v>2504</v>
      </c>
      <c r="BJ43" s="132">
        <f>'SCI - Bilan (2)'!K47</f>
        <v>0</v>
      </c>
      <c r="BK43" s="132">
        <f>'Antreuil - Bilan (2)'!K46</f>
        <v>0</v>
      </c>
      <c r="BL43" s="132">
        <f t="shared" si="120"/>
        <v>1463120.4383561644</v>
      </c>
      <c r="BM43" s="132"/>
      <c r="BN43" s="132">
        <f>'Probois 43 - Bilan (2)'!L49</f>
        <v>710000</v>
      </c>
      <c r="BO43" s="132">
        <f>'SAS EMB - Bilan (2)'!K47</f>
        <v>180000</v>
      </c>
      <c r="BP43" s="132">
        <f>'BSB - Bilan (2)'!L57</f>
        <v>490000</v>
      </c>
      <c r="BQ43" s="132">
        <f>'Profilyss - Bilan (2)'!L46</f>
        <v>189041.09589041097</v>
      </c>
      <c r="BR43" s="132">
        <f>'SC des SUCS - Bilan (2)'!L51</f>
        <v>2504</v>
      </c>
      <c r="BS43" s="132">
        <f>'SCI - Bilan (2)'!L47</f>
        <v>0</v>
      </c>
      <c r="BT43" s="132">
        <f>'Antreuil - Bilan (2)'!L46</f>
        <v>0</v>
      </c>
      <c r="BU43" s="132">
        <f t="shared" si="121"/>
        <v>1571545.0958904109</v>
      </c>
    </row>
    <row r="44" spans="2:73">
      <c r="B44" s="131" t="s">
        <v>217</v>
      </c>
      <c r="C44" s="132">
        <f>'Probois 43 - Bilan'!C50</f>
        <v>34915</v>
      </c>
      <c r="D44" s="132"/>
      <c r="E44" s="132">
        <f>'BSB - Bilan'!C58</f>
        <v>25748</v>
      </c>
      <c r="F44" s="132">
        <f>'SC des SUCS - Bilan'!C51</f>
        <v>0</v>
      </c>
      <c r="G44" s="132"/>
      <c r="H44" s="132">
        <f t="shared" si="103"/>
        <v>60663</v>
      </c>
      <c r="I44" s="132"/>
      <c r="J44" s="132">
        <f>'Probois 43 - Bilan'!D50</f>
        <v>61196</v>
      </c>
      <c r="K44" s="132">
        <f>'SAS EMB - Bilan'!C48</f>
        <v>114219</v>
      </c>
      <c r="L44" s="132">
        <f>'BSB - Bilan'!D58</f>
        <v>17798</v>
      </c>
      <c r="M44" s="132">
        <f>'SC des SUCS - Bilan'!D51</f>
        <v>253</v>
      </c>
      <c r="N44" s="132">
        <f>'SCI - Bilan'!D48</f>
        <v>1869</v>
      </c>
      <c r="O44" s="132">
        <f t="shared" si="105"/>
        <v>195335</v>
      </c>
      <c r="P44" s="132"/>
      <c r="Q44" s="132">
        <f>'Probois 43 - Bilan'!E50</f>
        <v>89618</v>
      </c>
      <c r="R44" s="132">
        <f>'SAS EMB - Bilan'!D48</f>
        <v>108468</v>
      </c>
      <c r="S44" s="132">
        <f>'BSB - Bilan'!E58</f>
        <v>48206</v>
      </c>
      <c r="T44" s="132">
        <f>'SC des SUCS - Bilan'!E51</f>
        <v>0</v>
      </c>
      <c r="U44" s="132">
        <f>'SCI - Bilan'!E48</f>
        <v>2015</v>
      </c>
      <c r="V44" s="132">
        <f t="shared" si="107"/>
        <v>248307</v>
      </c>
      <c r="W44" s="132"/>
      <c r="X44" s="132">
        <f>'Probois 43 - Bilan'!F50</f>
        <v>55713</v>
      </c>
      <c r="Y44" s="132">
        <f>'SAS EMB - Bilan'!E48</f>
        <v>130388</v>
      </c>
      <c r="Z44" s="132">
        <f>'BSB - Bilan'!F58</f>
        <v>36709</v>
      </c>
      <c r="AA44" s="132">
        <f>'SC des SUCS - Bilan'!F51</f>
        <v>12377</v>
      </c>
      <c r="AB44" s="132">
        <f>'SCI - Bilan'!F48</f>
        <v>2938</v>
      </c>
      <c r="AC44" s="132">
        <f t="shared" si="109"/>
        <v>238125</v>
      </c>
      <c r="AD44" s="132"/>
      <c r="AE44" s="132">
        <f>'Probois 43 - Bilan'!G50</f>
        <v>76052</v>
      </c>
      <c r="AF44" s="132">
        <f>'SAS EMB - Bilan'!F48</f>
        <v>80419</v>
      </c>
      <c r="AG44" s="132">
        <f>'BSB - Bilan'!G58</f>
        <v>43117</v>
      </c>
      <c r="AH44" s="132">
        <f>'SC des SUCS - Bilan'!H51</f>
        <v>8706</v>
      </c>
      <c r="AI44" s="132">
        <f>'SCI - Bilan'!H48</f>
        <v>2938</v>
      </c>
      <c r="AJ44" s="132">
        <f t="shared" si="117"/>
        <v>211232</v>
      </c>
      <c r="AK44" s="132"/>
      <c r="AL44" s="132"/>
      <c r="AM44" s="132">
        <f>'Probois 43 - Bilan (2)'!I50</f>
        <v>76052</v>
      </c>
      <c r="AN44" s="132">
        <f>'SAS EMB - Bilan (2)'!H48</f>
        <v>80419</v>
      </c>
      <c r="AO44" s="132">
        <f>'BSB - Bilan (2)'!I58</f>
        <v>43117</v>
      </c>
      <c r="AP44" s="132">
        <f>'Profilyss - Bilan (2)'!I47</f>
        <v>0</v>
      </c>
      <c r="AQ44" s="132">
        <f>'SC des SUCS - Bilan (2)'!I52</f>
        <v>4083</v>
      </c>
      <c r="AR44" s="132">
        <f>'SCI - Bilan (2)'!I48</f>
        <v>2938</v>
      </c>
      <c r="AS44" s="132"/>
      <c r="AT44" s="132">
        <f t="shared" si="118"/>
        <v>206609</v>
      </c>
      <c r="AU44" s="132"/>
      <c r="AV44" s="132">
        <f>'Probois 43 - Bilan (2)'!J50</f>
        <v>76052</v>
      </c>
      <c r="AW44" s="132">
        <f>'SAS EMB - Bilan (2)'!I48</f>
        <v>80419</v>
      </c>
      <c r="AX44" s="132">
        <f>'BSB - Bilan (2)'!J58</f>
        <v>43117</v>
      </c>
      <c r="AY44" s="132">
        <f>'Profilyss - Bilan (2)'!J47</f>
        <v>25000</v>
      </c>
      <c r="AZ44" s="132">
        <f>'SC des SUCS - Bilan (2)'!J52</f>
        <v>3370</v>
      </c>
      <c r="BA44" s="132">
        <f>'SCI - Bilan (2)'!J48</f>
        <v>2938</v>
      </c>
      <c r="BB44" s="132">
        <f>'Antreuil - Bilan (2)'!J47</f>
        <v>20000</v>
      </c>
      <c r="BC44" s="132">
        <f t="shared" si="119"/>
        <v>250896</v>
      </c>
      <c r="BD44" s="132"/>
      <c r="BE44" s="132">
        <f>'Probois 43 - Bilan (2)'!K50</f>
        <v>76052</v>
      </c>
      <c r="BF44" s="132">
        <f>'SAS EMB - Bilan (2)'!J48</f>
        <v>80419</v>
      </c>
      <c r="BG44" s="132">
        <f>'BSB - Bilan (2)'!K58</f>
        <v>43117</v>
      </c>
      <c r="BH44" s="132">
        <f>'Profilyss - Bilan (2)'!K47</f>
        <v>25000</v>
      </c>
      <c r="BI44" s="132">
        <f>'SC des SUCS - Bilan (2)'!K52</f>
        <v>3376</v>
      </c>
      <c r="BJ44" s="132">
        <f>'SCI - Bilan (2)'!K48</f>
        <v>2938</v>
      </c>
      <c r="BK44" s="132">
        <f>'Antreuil - Bilan (2)'!K47</f>
        <v>20000</v>
      </c>
      <c r="BL44" s="132">
        <f t="shared" si="120"/>
        <v>250902</v>
      </c>
      <c r="BM44" s="132"/>
      <c r="BN44" s="132">
        <f>'Probois 43 - Bilan (2)'!L50</f>
        <v>76052</v>
      </c>
      <c r="BO44" s="132">
        <f>'SAS EMB - Bilan (2)'!K48</f>
        <v>80419</v>
      </c>
      <c r="BP44" s="132">
        <f>'BSB - Bilan (2)'!L58</f>
        <v>43117</v>
      </c>
      <c r="BQ44" s="132">
        <f>'Profilyss - Bilan (2)'!L47</f>
        <v>25000</v>
      </c>
      <c r="BR44" s="132">
        <f>'SC des SUCS - Bilan (2)'!L52</f>
        <v>3375</v>
      </c>
      <c r="BS44" s="132">
        <f>'SCI - Bilan (2)'!L48</f>
        <v>2938</v>
      </c>
      <c r="BT44" s="132">
        <f>'Antreuil - Bilan (2)'!L47</f>
        <v>20000</v>
      </c>
      <c r="BU44" s="132">
        <f t="shared" si="121"/>
        <v>250901</v>
      </c>
    </row>
    <row r="45" spans="2:73">
      <c r="B45" s="131" t="s">
        <v>222</v>
      </c>
      <c r="C45" s="132">
        <f>'Probois 43 - Bilan'!C51</f>
        <v>0</v>
      </c>
      <c r="D45" s="132"/>
      <c r="E45" s="132">
        <f>'BSB - Bilan'!C59</f>
        <v>0</v>
      </c>
      <c r="F45" s="132">
        <f>'SC des SUCS - Bilan'!C52</f>
        <v>0</v>
      </c>
      <c r="G45" s="132"/>
      <c r="H45" s="132">
        <f t="shared" si="103"/>
        <v>0</v>
      </c>
      <c r="I45" s="132"/>
      <c r="J45" s="132">
        <f>'Probois 43 - Bilan'!D51</f>
        <v>0</v>
      </c>
      <c r="K45" s="132">
        <f>'SAS EMB - Bilan'!C49</f>
        <v>0</v>
      </c>
      <c r="L45" s="132">
        <f>'BSB - Bilan'!D59</f>
        <v>0</v>
      </c>
      <c r="M45" s="132">
        <f>'SC des SUCS - Bilan'!D52</f>
        <v>0</v>
      </c>
      <c r="N45" s="132">
        <f>'SCI - Bilan'!D49</f>
        <v>0</v>
      </c>
      <c r="O45" s="132">
        <f t="shared" si="105"/>
        <v>0</v>
      </c>
      <c r="P45" s="132"/>
      <c r="Q45" s="132">
        <f>'Probois 43 - Bilan'!E51</f>
        <v>0</v>
      </c>
      <c r="R45" s="132">
        <f>'SAS EMB - Bilan'!D49</f>
        <v>0</v>
      </c>
      <c r="S45" s="132">
        <f>'BSB - Bilan'!E59</f>
        <v>0</v>
      </c>
      <c r="T45" s="132">
        <f>'SC des SUCS - Bilan'!E52</f>
        <v>0</v>
      </c>
      <c r="U45" s="132">
        <f>'SCI - Bilan'!E49</f>
        <v>0</v>
      </c>
      <c r="V45" s="132">
        <f t="shared" si="107"/>
        <v>0</v>
      </c>
      <c r="W45" s="132"/>
      <c r="X45" s="132">
        <f>'Probois 43 - Bilan'!F51</f>
        <v>0</v>
      </c>
      <c r="Y45" s="132">
        <f>'SAS EMB - Bilan'!E49</f>
        <v>0</v>
      </c>
      <c r="Z45" s="132">
        <f>'BSB - Bilan'!F59</f>
        <v>0</v>
      </c>
      <c r="AA45" s="132">
        <f>'SC des SUCS - Bilan'!F52</f>
        <v>0</v>
      </c>
      <c r="AB45" s="132">
        <f>'SCI - Bilan'!F49</f>
        <v>0</v>
      </c>
      <c r="AC45" s="132">
        <f t="shared" si="109"/>
        <v>0</v>
      </c>
      <c r="AD45" s="132"/>
      <c r="AE45" s="132">
        <f>'Probois 43 - Bilan'!G51</f>
        <v>0</v>
      </c>
      <c r="AF45" s="132">
        <f>'SAS EMB - Bilan'!F49</f>
        <v>0</v>
      </c>
      <c r="AG45" s="132">
        <f>'BSB - Bilan'!G59</f>
        <v>0</v>
      </c>
      <c r="AH45" s="132">
        <f>'SC des SUCS - Bilan'!H52</f>
        <v>0</v>
      </c>
      <c r="AI45" s="132">
        <f>'SCI - Bilan'!H49</f>
        <v>0</v>
      </c>
      <c r="AJ45" s="132">
        <f t="shared" si="117"/>
        <v>0</v>
      </c>
      <c r="AK45" s="132"/>
      <c r="AL45" s="132"/>
      <c r="AM45" s="132">
        <f>'Probois 43 - Bilan (2)'!I51</f>
        <v>0</v>
      </c>
      <c r="AN45" s="132">
        <f>'SAS EMB - Bilan (2)'!H49</f>
        <v>0</v>
      </c>
      <c r="AO45" s="132">
        <f>'BSB - Bilan (2)'!I59</f>
        <v>0</v>
      </c>
      <c r="AP45" s="132">
        <f>'Profilyss - Bilan (2)'!I48</f>
        <v>0</v>
      </c>
      <c r="AQ45" s="132">
        <f>'SC des SUCS - Bilan (2)'!I53</f>
        <v>0</v>
      </c>
      <c r="AR45" s="132">
        <f>'SCI - Bilan (2)'!I49</f>
        <v>0</v>
      </c>
      <c r="AS45" s="132"/>
      <c r="AT45" s="132">
        <f t="shared" si="118"/>
        <v>0</v>
      </c>
      <c r="AU45" s="132"/>
      <c r="AV45" s="132">
        <f>'Probois 43 - Bilan (2)'!J51</f>
        <v>0</v>
      </c>
      <c r="AW45" s="132">
        <f>'SAS EMB - Bilan (2)'!I49</f>
        <v>0</v>
      </c>
      <c r="AX45" s="132">
        <f>'BSB - Bilan (2)'!J59</f>
        <v>0</v>
      </c>
      <c r="AY45" s="132">
        <f>'Profilyss - Bilan (2)'!J48</f>
        <v>0</v>
      </c>
      <c r="AZ45" s="132">
        <f>'SC des SUCS - Bilan (2)'!J53</f>
        <v>0</v>
      </c>
      <c r="BA45" s="132">
        <f>'SCI - Bilan (2)'!J49</f>
        <v>0</v>
      </c>
      <c r="BB45" s="132">
        <f>'Antreuil - Bilan (2)'!J48</f>
        <v>0</v>
      </c>
      <c r="BC45" s="132">
        <f t="shared" si="119"/>
        <v>0</v>
      </c>
      <c r="BD45" s="132"/>
      <c r="BE45" s="132">
        <f>'Probois 43 - Bilan (2)'!K51</f>
        <v>0</v>
      </c>
      <c r="BF45" s="132">
        <f>'SAS EMB - Bilan (2)'!J49</f>
        <v>0</v>
      </c>
      <c r="BG45" s="132">
        <f>'BSB - Bilan (2)'!K59</f>
        <v>0</v>
      </c>
      <c r="BH45" s="132">
        <f>'Profilyss - Bilan (2)'!K48</f>
        <v>0</v>
      </c>
      <c r="BI45" s="132">
        <f>'SC des SUCS - Bilan (2)'!K53</f>
        <v>0</v>
      </c>
      <c r="BJ45" s="132">
        <f>'SCI - Bilan (2)'!K49</f>
        <v>0</v>
      </c>
      <c r="BK45" s="132">
        <f>'Antreuil - Bilan (2)'!K48</f>
        <v>0</v>
      </c>
      <c r="BL45" s="132">
        <f t="shared" si="120"/>
        <v>0</v>
      </c>
      <c r="BM45" s="132"/>
      <c r="BN45" s="132">
        <f>'Probois 43 - Bilan (2)'!L51</f>
        <v>0</v>
      </c>
      <c r="BO45" s="132">
        <f>'SAS EMB - Bilan (2)'!K49</f>
        <v>0</v>
      </c>
      <c r="BP45" s="132">
        <f>'BSB - Bilan (2)'!L59</f>
        <v>0</v>
      </c>
      <c r="BQ45" s="132">
        <f>'Profilyss - Bilan (2)'!L48</f>
        <v>0</v>
      </c>
      <c r="BR45" s="132">
        <f>'SC des SUCS - Bilan (2)'!L53</f>
        <v>0</v>
      </c>
      <c r="BS45" s="132">
        <f>'SCI - Bilan (2)'!L49</f>
        <v>0</v>
      </c>
      <c r="BT45" s="132">
        <f>'Antreuil - Bilan (2)'!L48</f>
        <v>0</v>
      </c>
      <c r="BU45" s="132">
        <f t="shared" si="121"/>
        <v>0</v>
      </c>
    </row>
    <row r="46" spans="2:73">
      <c r="B46" s="131" t="s">
        <v>218</v>
      </c>
      <c r="C46" s="132">
        <f>'Probois 43 - Bilan'!C52</f>
        <v>2</v>
      </c>
      <c r="D46" s="132"/>
      <c r="E46" s="132">
        <f>'BSB - Bilan'!C60</f>
        <v>19</v>
      </c>
      <c r="F46" s="132">
        <f>'SC des SUCS - Bilan'!C53</f>
        <v>0</v>
      </c>
      <c r="G46" s="132"/>
      <c r="H46" s="132">
        <f t="shared" si="103"/>
        <v>21</v>
      </c>
      <c r="I46" s="132"/>
      <c r="J46" s="132">
        <f>'Probois 43 - Bilan'!D52</f>
        <v>13040</v>
      </c>
      <c r="K46" s="132">
        <f>'SAS EMB - Bilan'!C50</f>
        <v>5777</v>
      </c>
      <c r="L46" s="132">
        <f>'BSB - Bilan'!D60</f>
        <v>1</v>
      </c>
      <c r="M46" s="132">
        <f>'SC des SUCS - Bilan'!D53</f>
        <v>0</v>
      </c>
      <c r="N46" s="132">
        <f>'SCI - Bilan'!D50</f>
        <v>0</v>
      </c>
      <c r="O46" s="132">
        <f t="shared" si="105"/>
        <v>18818</v>
      </c>
      <c r="P46" s="132"/>
      <c r="Q46" s="132">
        <f>'Probois 43 - Bilan'!E52</f>
        <v>6556</v>
      </c>
      <c r="R46" s="132">
        <f>'SAS EMB - Bilan'!D50</f>
        <v>852</v>
      </c>
      <c r="S46" s="132">
        <f>'BSB - Bilan'!E60</f>
        <v>4</v>
      </c>
      <c r="T46" s="132">
        <f>'SC des SUCS - Bilan'!E53</f>
        <v>0</v>
      </c>
      <c r="U46" s="132">
        <f>'SCI - Bilan'!E50</f>
        <v>0</v>
      </c>
      <c r="V46" s="132">
        <f t="shared" si="107"/>
        <v>7412</v>
      </c>
      <c r="W46" s="132"/>
      <c r="X46" s="132">
        <f>'Probois 43 - Bilan'!F52</f>
        <v>4084</v>
      </c>
      <c r="Y46" s="132">
        <f>'SAS EMB - Bilan'!E50</f>
        <v>0</v>
      </c>
      <c r="Z46" s="132">
        <f>'BSB - Bilan'!F60</f>
        <v>6</v>
      </c>
      <c r="AA46" s="132">
        <f>'SC des SUCS - Bilan'!F53</f>
        <v>0</v>
      </c>
      <c r="AB46" s="132">
        <f>'SCI - Bilan'!F50</f>
        <v>0</v>
      </c>
      <c r="AC46" s="132">
        <f t="shared" si="109"/>
        <v>4090</v>
      </c>
      <c r="AD46" s="132"/>
      <c r="AE46" s="132">
        <f>'Probois 43 - Bilan'!G52</f>
        <v>4077</v>
      </c>
      <c r="AF46" s="132">
        <f>'SAS EMB - Bilan'!F50</f>
        <v>0</v>
      </c>
      <c r="AG46" s="132">
        <f>'BSB - Bilan'!G60</f>
        <v>0</v>
      </c>
      <c r="AH46" s="132">
        <f>'SC des SUCS - Bilan'!H53</f>
        <v>0</v>
      </c>
      <c r="AI46" s="132">
        <f>'SCI - Bilan'!H50</f>
        <v>0</v>
      </c>
      <c r="AJ46" s="132">
        <f t="shared" si="117"/>
        <v>4077</v>
      </c>
      <c r="AK46" s="132"/>
      <c r="AL46" s="132"/>
      <c r="AM46" s="132">
        <f>'Probois 43 - Bilan (2)'!I52</f>
        <v>4077</v>
      </c>
      <c r="AN46" s="132">
        <f>'SAS EMB - Bilan (2)'!H50</f>
        <v>0</v>
      </c>
      <c r="AO46" s="132">
        <f>'BSB - Bilan (2)'!I60</f>
        <v>0</v>
      </c>
      <c r="AP46" s="132">
        <f>'Profilyss - Bilan (2)'!I49</f>
        <v>0</v>
      </c>
      <c r="AQ46" s="132">
        <f>'SC des SUCS - Bilan (2)'!I54</f>
        <v>0</v>
      </c>
      <c r="AR46" s="132">
        <f>'SCI - Bilan (2)'!I50</f>
        <v>0</v>
      </c>
      <c r="AS46" s="132"/>
      <c r="AT46" s="132">
        <f t="shared" si="118"/>
        <v>4077</v>
      </c>
      <c r="AU46" s="132"/>
      <c r="AV46" s="132">
        <f>'Probois 43 - Bilan (2)'!J52</f>
        <v>4077</v>
      </c>
      <c r="AW46" s="132">
        <f>'SAS EMB - Bilan (2)'!I50</f>
        <v>0</v>
      </c>
      <c r="AX46" s="132">
        <f>'BSB - Bilan (2)'!J60</f>
        <v>0</v>
      </c>
      <c r="AY46" s="132">
        <f>'Profilyss - Bilan (2)'!J49</f>
        <v>0</v>
      </c>
      <c r="AZ46" s="132">
        <f>'SC des SUCS - Bilan (2)'!J54</f>
        <v>0</v>
      </c>
      <c r="BA46" s="132">
        <f>'SCI - Bilan (2)'!J50</f>
        <v>0</v>
      </c>
      <c r="BB46" s="132">
        <f>'Antreuil - Bilan (2)'!J49</f>
        <v>0</v>
      </c>
      <c r="BC46" s="132">
        <f t="shared" si="119"/>
        <v>4077</v>
      </c>
      <c r="BD46" s="132"/>
      <c r="BE46" s="132">
        <f>'Probois 43 - Bilan (2)'!K52</f>
        <v>4077</v>
      </c>
      <c r="BF46" s="132">
        <f>'SAS EMB - Bilan (2)'!J50</f>
        <v>0</v>
      </c>
      <c r="BG46" s="132">
        <f>'BSB - Bilan (2)'!K60</f>
        <v>0</v>
      </c>
      <c r="BH46" s="132">
        <f>'Profilyss - Bilan (2)'!K49</f>
        <v>0</v>
      </c>
      <c r="BI46" s="132">
        <f>'SC des SUCS - Bilan (2)'!K54</f>
        <v>0</v>
      </c>
      <c r="BJ46" s="132">
        <f>'SCI - Bilan (2)'!K50</f>
        <v>0</v>
      </c>
      <c r="BK46" s="132">
        <f>'Antreuil - Bilan (2)'!K49</f>
        <v>0</v>
      </c>
      <c r="BL46" s="132">
        <f t="shared" si="120"/>
        <v>4077</v>
      </c>
      <c r="BM46" s="132"/>
      <c r="BN46" s="132">
        <f>'Probois 43 - Bilan (2)'!L52</f>
        <v>4077</v>
      </c>
      <c r="BO46" s="132">
        <f>'SAS EMB - Bilan (2)'!K50</f>
        <v>0</v>
      </c>
      <c r="BP46" s="132">
        <f>'BSB - Bilan (2)'!L60</f>
        <v>0</v>
      </c>
      <c r="BQ46" s="132">
        <f>'Profilyss - Bilan (2)'!L49</f>
        <v>0</v>
      </c>
      <c r="BR46" s="132">
        <f>'SC des SUCS - Bilan (2)'!L54</f>
        <v>0</v>
      </c>
      <c r="BS46" s="132">
        <f>'SCI - Bilan (2)'!L50</f>
        <v>0</v>
      </c>
      <c r="BT46" s="132">
        <f>'Antreuil - Bilan (2)'!L49</f>
        <v>0</v>
      </c>
      <c r="BU46" s="132">
        <f t="shared" si="121"/>
        <v>4077</v>
      </c>
    </row>
    <row r="47" spans="2:73">
      <c r="B47" s="131" t="s">
        <v>219</v>
      </c>
      <c r="C47" s="132">
        <f>'Probois 43 - Bilan'!C53</f>
        <v>0</v>
      </c>
      <c r="D47" s="132"/>
      <c r="E47" s="132">
        <f>'BSB - Bilan'!C61</f>
        <v>0</v>
      </c>
      <c r="F47" s="132">
        <f>'SC des SUCS - Bilan'!C54</f>
        <v>0</v>
      </c>
      <c r="G47" s="132"/>
      <c r="H47" s="132">
        <f t="shared" si="103"/>
        <v>0</v>
      </c>
      <c r="I47" s="132"/>
      <c r="J47" s="132">
        <f>'Probois 43 - Bilan'!D53</f>
        <v>0</v>
      </c>
      <c r="K47" s="132">
        <f>'SAS EMB - Bilan'!C51</f>
        <v>6650</v>
      </c>
      <c r="L47" s="132">
        <f>'BSB - Bilan'!D61</f>
        <v>0</v>
      </c>
      <c r="M47" s="132">
        <f>'SC des SUCS - Bilan'!D54</f>
        <v>0</v>
      </c>
      <c r="N47" s="132">
        <f>'SCI - Bilan'!D51</f>
        <v>0</v>
      </c>
      <c r="O47" s="132">
        <f t="shared" si="105"/>
        <v>6650</v>
      </c>
      <c r="P47" s="132"/>
      <c r="Q47" s="132">
        <f>'Probois 43 - Bilan'!E53</f>
        <v>0</v>
      </c>
      <c r="R47" s="132">
        <f>'SAS EMB - Bilan'!D51</f>
        <v>0</v>
      </c>
      <c r="S47" s="132">
        <f>'BSB - Bilan'!E61</f>
        <v>0</v>
      </c>
      <c r="T47" s="132">
        <f>'SC des SUCS - Bilan'!E54</f>
        <v>0</v>
      </c>
      <c r="U47" s="132">
        <f>'SCI - Bilan'!E51</f>
        <v>0</v>
      </c>
      <c r="V47" s="132">
        <f t="shared" si="107"/>
        <v>0</v>
      </c>
      <c r="W47" s="132"/>
      <c r="X47" s="132">
        <f>'Probois 43 - Bilan'!F53</f>
        <v>0</v>
      </c>
      <c r="Y47" s="132">
        <f>'SAS EMB - Bilan'!E51</f>
        <v>0</v>
      </c>
      <c r="Z47" s="132">
        <f>'BSB - Bilan'!F61</f>
        <v>0</v>
      </c>
      <c r="AA47" s="132">
        <f>'SC des SUCS - Bilan'!F54</f>
        <v>0</v>
      </c>
      <c r="AB47" s="132">
        <f>'SCI - Bilan'!F51</f>
        <v>0</v>
      </c>
      <c r="AC47" s="132">
        <f t="shared" si="109"/>
        <v>0</v>
      </c>
      <c r="AD47" s="132"/>
      <c r="AE47" s="132">
        <f>'Probois 43 - Bilan'!G53</f>
        <v>0</v>
      </c>
      <c r="AF47" s="132">
        <f>'SAS EMB - Bilan'!F51</f>
        <v>0</v>
      </c>
      <c r="AG47" s="132">
        <f>'BSB - Bilan'!G61</f>
        <v>0</v>
      </c>
      <c r="AH47" s="132">
        <f>'SC des SUCS - Bilan'!H54</f>
        <v>0</v>
      </c>
      <c r="AI47" s="132">
        <f>'SCI - Bilan'!H51</f>
        <v>0</v>
      </c>
      <c r="AJ47" s="132">
        <f t="shared" si="117"/>
        <v>0</v>
      </c>
      <c r="AK47" s="132"/>
      <c r="AL47" s="132"/>
      <c r="AM47" s="132">
        <f>'Probois 43 - Bilan (2)'!I53</f>
        <v>0</v>
      </c>
      <c r="AN47" s="132">
        <f>'SAS EMB - Bilan (2)'!H51</f>
        <v>0</v>
      </c>
      <c r="AO47" s="132">
        <f>'BSB - Bilan (2)'!I61</f>
        <v>0</v>
      </c>
      <c r="AP47" s="132">
        <f>'Profilyss - Bilan (2)'!I50</f>
        <v>0</v>
      </c>
      <c r="AQ47" s="132">
        <f>'SC des SUCS - Bilan (2)'!I55</f>
        <v>0</v>
      </c>
      <c r="AR47" s="132">
        <f>'SCI - Bilan (2)'!I51</f>
        <v>0</v>
      </c>
      <c r="AS47" s="132"/>
      <c r="AT47" s="132">
        <f t="shared" si="118"/>
        <v>0</v>
      </c>
      <c r="AU47" s="132"/>
      <c r="AV47" s="132">
        <f>'Probois 43 - Bilan (2)'!J53</f>
        <v>0</v>
      </c>
      <c r="AW47" s="132">
        <f>'SAS EMB - Bilan (2)'!I51</f>
        <v>0</v>
      </c>
      <c r="AX47" s="132">
        <f>'BSB - Bilan (2)'!J61</f>
        <v>0</v>
      </c>
      <c r="AY47" s="132">
        <f>'Profilyss - Bilan (2)'!J50</f>
        <v>0</v>
      </c>
      <c r="AZ47" s="132">
        <f>'SC des SUCS - Bilan (2)'!J55</f>
        <v>0</v>
      </c>
      <c r="BA47" s="132">
        <f>'SCI - Bilan (2)'!J51</f>
        <v>0</v>
      </c>
      <c r="BB47" s="132">
        <f>'Antreuil - Bilan (2)'!J50</f>
        <v>0</v>
      </c>
      <c r="BC47" s="132">
        <f t="shared" si="119"/>
        <v>0</v>
      </c>
      <c r="BD47" s="132"/>
      <c r="BE47" s="132">
        <f>'Probois 43 - Bilan (2)'!K53</f>
        <v>0</v>
      </c>
      <c r="BF47" s="132">
        <f>'SAS EMB - Bilan (2)'!J51</f>
        <v>0</v>
      </c>
      <c r="BG47" s="132">
        <f>'BSB - Bilan (2)'!K61</f>
        <v>0</v>
      </c>
      <c r="BH47" s="132">
        <f>'Profilyss - Bilan (2)'!K50</f>
        <v>0</v>
      </c>
      <c r="BI47" s="132">
        <f>'SC des SUCS - Bilan (2)'!K55</f>
        <v>0</v>
      </c>
      <c r="BJ47" s="132">
        <f>'SCI - Bilan (2)'!K51</f>
        <v>0</v>
      </c>
      <c r="BK47" s="132">
        <f>'Antreuil - Bilan (2)'!K50</f>
        <v>0</v>
      </c>
      <c r="BL47" s="132">
        <f t="shared" si="120"/>
        <v>0</v>
      </c>
      <c r="BM47" s="132"/>
      <c r="BN47" s="132">
        <f>'Probois 43 - Bilan (2)'!L53</f>
        <v>0</v>
      </c>
      <c r="BO47" s="132">
        <f>'SAS EMB - Bilan (2)'!K51</f>
        <v>0</v>
      </c>
      <c r="BP47" s="132">
        <f>'BSB - Bilan (2)'!L61</f>
        <v>0</v>
      </c>
      <c r="BQ47" s="132">
        <f>'Profilyss - Bilan (2)'!L50</f>
        <v>0</v>
      </c>
      <c r="BR47" s="132">
        <f>'SC des SUCS - Bilan (2)'!L55</f>
        <v>0</v>
      </c>
      <c r="BS47" s="132">
        <f>'SCI - Bilan (2)'!L51</f>
        <v>0</v>
      </c>
      <c r="BT47" s="132">
        <f>'Antreuil - Bilan (2)'!L50</f>
        <v>0</v>
      </c>
      <c r="BU47" s="132">
        <f t="shared" si="121"/>
        <v>0</v>
      </c>
    </row>
    <row r="48" spans="2:73">
      <c r="B48" s="131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2"/>
      <c r="Y48" s="132"/>
      <c r="Z48" s="132"/>
      <c r="AA48" s="135"/>
      <c r="AB48" s="135"/>
      <c r="AC48" s="135"/>
      <c r="AD48" s="135"/>
      <c r="AE48" s="132"/>
      <c r="AF48" s="132"/>
      <c r="AG48" s="132"/>
      <c r="AH48" s="135"/>
      <c r="AI48" s="135"/>
      <c r="AJ48" s="135"/>
      <c r="AK48" s="135"/>
      <c r="AL48" s="135"/>
      <c r="AM48" s="132"/>
      <c r="AN48" s="132"/>
      <c r="AO48" s="132"/>
      <c r="AP48" s="132"/>
      <c r="AQ48" s="135"/>
      <c r="AR48" s="135"/>
      <c r="AS48" s="135"/>
      <c r="AT48" s="135"/>
      <c r="AU48" s="135"/>
      <c r="AV48" s="132"/>
      <c r="AW48" s="132"/>
      <c r="AX48" s="132"/>
      <c r="AY48" s="132"/>
      <c r="AZ48" s="135"/>
      <c r="BA48" s="135"/>
      <c r="BB48" s="135"/>
      <c r="BC48" s="135"/>
      <c r="BD48" s="135"/>
      <c r="BE48" s="132"/>
      <c r="BF48" s="132"/>
      <c r="BG48" s="132"/>
      <c r="BH48" s="132"/>
      <c r="BI48" s="135"/>
      <c r="BJ48" s="135"/>
      <c r="BK48" s="135"/>
      <c r="BL48" s="135"/>
      <c r="BM48" s="135"/>
      <c r="BN48" s="132"/>
      <c r="BO48" s="132"/>
      <c r="BP48" s="132"/>
      <c r="BQ48" s="132"/>
      <c r="BR48" s="135"/>
      <c r="BS48" s="135"/>
      <c r="BT48" s="135"/>
      <c r="BU48" s="135"/>
    </row>
    <row r="49" spans="1:73" s="168" customFormat="1">
      <c r="B49" s="130" t="s">
        <v>188</v>
      </c>
      <c r="C49" s="128">
        <f>'Probois 43 - Bilan'!C55</f>
        <v>-2</v>
      </c>
      <c r="D49" s="128"/>
      <c r="E49" s="128">
        <f>'BSB - Bilan'!C63</f>
        <v>0</v>
      </c>
      <c r="F49" s="128">
        <f>'SC des SUCS - Bilan'!C56</f>
        <v>0</v>
      </c>
      <c r="G49" s="128"/>
      <c r="H49" s="128">
        <f>SUM(C49:G49)</f>
        <v>-2</v>
      </c>
      <c r="I49" s="128"/>
      <c r="J49" s="128">
        <f>'Probois 43 - Bilan'!D55</f>
        <v>-1</v>
      </c>
      <c r="K49" s="128">
        <f>'SAS EMB - Bilan'!C53</f>
        <v>-1</v>
      </c>
      <c r="L49" s="128">
        <f>'BSB - Bilan'!D63</f>
        <v>-4</v>
      </c>
      <c r="M49" s="128">
        <f>'SC des SUCS - Bilan'!D56</f>
        <v>0</v>
      </c>
      <c r="N49" s="128">
        <f>'SCI - Bilan'!D53</f>
        <v>0</v>
      </c>
      <c r="O49" s="128">
        <f>SUM(J49:N49)</f>
        <v>-6</v>
      </c>
      <c r="P49" s="128"/>
      <c r="Q49" s="128">
        <f>'Probois 43 - Bilan'!E55</f>
        <v>0</v>
      </c>
      <c r="R49" s="128">
        <f>'SAS EMB - Bilan'!D53</f>
        <v>0</v>
      </c>
      <c r="S49" s="128">
        <f>'BSB - Bilan'!E63</f>
        <v>0</v>
      </c>
      <c r="T49" s="128">
        <f>'SC des SUCS - Bilan'!E56</f>
        <v>0</v>
      </c>
      <c r="U49" s="128">
        <f>'SCI - Bilan'!E53</f>
        <v>0</v>
      </c>
      <c r="V49" s="128">
        <f>SUM(Q49:U49)</f>
        <v>0</v>
      </c>
      <c r="W49" s="128"/>
      <c r="X49" s="128">
        <f>'Probois 43 - Bilan'!F55</f>
        <v>1</v>
      </c>
      <c r="Y49" s="128">
        <f>'SAS EMB - Bilan'!E53</f>
        <v>1</v>
      </c>
      <c r="Z49" s="128">
        <f>'BSB - Bilan'!F63</f>
        <v>-2</v>
      </c>
      <c r="AA49" s="128">
        <f>'SC des SUCS - Bilan'!F56</f>
        <v>1</v>
      </c>
      <c r="AB49" s="128">
        <f>'SCI - Bilan'!F53</f>
        <v>-1</v>
      </c>
      <c r="AC49" s="128">
        <f>SUM(X49:AB49)</f>
        <v>0</v>
      </c>
      <c r="AD49" s="128"/>
      <c r="AE49" s="128">
        <f>'Probois 43 - Bilan'!G55</f>
        <v>0</v>
      </c>
      <c r="AF49" s="128">
        <f>'SAS EMB - Bilan'!L53</f>
        <v>0</v>
      </c>
      <c r="AG49" s="128">
        <f>'BSB - Bilan'!G63</f>
        <v>3</v>
      </c>
      <c r="AH49" s="128">
        <f>'SC des SUCS - Bilan'!H56</f>
        <v>1</v>
      </c>
      <c r="AI49" s="128">
        <f>'SCI - Bilan'!M53</f>
        <v>0</v>
      </c>
      <c r="AJ49" s="128">
        <f t="shared" ref="AJ49" si="122">SUM(AE49:AI49)</f>
        <v>4</v>
      </c>
      <c r="AK49" s="128"/>
      <c r="AL49" s="128"/>
      <c r="AM49" s="128">
        <f>'Probois 43 - Bilan (2)'!I55</f>
        <v>0</v>
      </c>
      <c r="AN49" s="128">
        <f>'SAS EMB - Bilan (2)'!H53</f>
        <v>0</v>
      </c>
      <c r="AO49" s="128">
        <f>'BSB - Bilan (2)'!I63</f>
        <v>3</v>
      </c>
      <c r="AP49" s="128">
        <f>'Profilyss - Bilan (2)'!I52</f>
        <v>0</v>
      </c>
      <c r="AQ49" s="128">
        <f>'SC des SUCS - Bilan (2)'!I57</f>
        <v>1</v>
      </c>
      <c r="AR49" s="128">
        <f>'SCI - Bilan (2)'!I53</f>
        <v>0</v>
      </c>
      <c r="AS49" s="128">
        <f>'SCI - Bilan (2)'!J53</f>
        <v>0</v>
      </c>
      <c r="AT49" s="128">
        <f>SUM(AM49:AS49)</f>
        <v>4</v>
      </c>
      <c r="AU49" s="128"/>
      <c r="AV49" s="128">
        <f>'Probois 43 - Bilan (2)'!J55</f>
        <v>0</v>
      </c>
      <c r="AW49" s="128">
        <f>'SAS EMB - Bilan (2)'!I53</f>
        <v>0</v>
      </c>
      <c r="AX49" s="128">
        <f>'BSB - Bilan (2)'!J63</f>
        <v>3</v>
      </c>
      <c r="AY49" s="128">
        <f>'Profilyss - Bilan (2)'!J52</f>
        <v>0</v>
      </c>
      <c r="AZ49" s="128">
        <f>'SC des SUCS - Bilan (2)'!J57</f>
        <v>1</v>
      </c>
      <c r="BA49" s="128">
        <f>'SCI - Bilan (2)'!J53</f>
        <v>0</v>
      </c>
      <c r="BB49" s="128">
        <f>'SCI - Bilan (2)'!S53</f>
        <v>0</v>
      </c>
      <c r="BC49" s="128">
        <f t="shared" ref="BC49" si="123">SUM(AV49:BB49)</f>
        <v>4</v>
      </c>
      <c r="BD49" s="128"/>
      <c r="BE49" s="128">
        <f>'Probois 43 - Bilan (2)'!K55</f>
        <v>0</v>
      </c>
      <c r="BF49" s="128">
        <f>'SAS EMB - Bilan (2)'!J53</f>
        <v>0</v>
      </c>
      <c r="BG49" s="128">
        <f>'BSB - Bilan (2)'!K63</f>
        <v>3</v>
      </c>
      <c r="BH49" s="128">
        <f>'Profilyss - Bilan (2)'!K52</f>
        <v>0</v>
      </c>
      <c r="BI49" s="128">
        <f>'SC des SUCS - Bilan (2)'!K57</f>
        <v>1</v>
      </c>
      <c r="BJ49" s="128">
        <f>'SCI - Bilan (2)'!K53</f>
        <v>0</v>
      </c>
      <c r="BK49" s="128">
        <f>'SCI - Bilan (2)'!AB53</f>
        <v>0</v>
      </c>
      <c r="BL49" s="128">
        <f t="shared" ref="BL49" si="124">SUM(BE49:BK49)</f>
        <v>4</v>
      </c>
      <c r="BM49" s="128"/>
      <c r="BN49" s="128">
        <f>'Probois 43 - Bilan (2)'!L55</f>
        <v>0</v>
      </c>
      <c r="BO49" s="128">
        <f>'SAS EMB - Bilan (2)'!K53</f>
        <v>0</v>
      </c>
      <c r="BP49" s="128">
        <f>'BSB - Bilan (2)'!L63</f>
        <v>3</v>
      </c>
      <c r="BQ49" s="128">
        <f>'Profilyss - Bilan (2)'!L52</f>
        <v>0</v>
      </c>
      <c r="BR49" s="128">
        <f>'SC des SUCS - Bilan (2)'!L57</f>
        <v>1</v>
      </c>
      <c r="BS49" s="128">
        <f>'SCI - Bilan (2)'!L53</f>
        <v>0</v>
      </c>
      <c r="BT49" s="128">
        <f>'SCI - Bilan (2)'!AK53</f>
        <v>0</v>
      </c>
      <c r="BU49" s="128">
        <f t="shared" ref="BU49" si="125">SUM(BN49:BT49)</f>
        <v>4</v>
      </c>
    </row>
    <row r="50" spans="1:73">
      <c r="B50" s="130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</row>
    <row r="51" spans="1:73">
      <c r="B51" s="139" t="s">
        <v>220</v>
      </c>
      <c r="C51" s="140">
        <f>C49+C41+C37+C33+C25</f>
        <v>1085370</v>
      </c>
      <c r="D51" s="140">
        <f>D49+D41+D37+D33+D25</f>
        <v>0</v>
      </c>
      <c r="E51" s="140">
        <f>E49+E41+E37+E33+E25</f>
        <v>1052939</v>
      </c>
      <c r="F51" s="140">
        <f>F49+F41+F37+F33+F25</f>
        <v>1015941</v>
      </c>
      <c r="G51" s="140">
        <f>G49+G41+G37+G33+G25</f>
        <v>0</v>
      </c>
      <c r="H51" s="140">
        <f>SUM(C51:G51)</f>
        <v>3154250</v>
      </c>
      <c r="I51" s="140"/>
      <c r="J51" s="140">
        <f>J49+J41+J37+J33+J25</f>
        <v>1360286</v>
      </c>
      <c r="K51" s="140">
        <f>K49+K41+K37+K33+K25</f>
        <v>673951</v>
      </c>
      <c r="L51" s="140">
        <f>L49+L41+L37+L33+L25</f>
        <v>901970</v>
      </c>
      <c r="M51" s="140">
        <f>M49+M41+M37+M33+M25</f>
        <v>1552813</v>
      </c>
      <c r="N51" s="140">
        <f>N49+N41+N37+N33+N25</f>
        <v>122786</v>
      </c>
      <c r="O51" s="140">
        <f>SUM(J51:N51)</f>
        <v>4611806</v>
      </c>
      <c r="P51" s="140"/>
      <c r="Q51" s="140">
        <f>Q49+Q41+Q37+Q33+Q25</f>
        <v>1704667</v>
      </c>
      <c r="R51" s="140">
        <f>R49+R41+R37+R33+R25</f>
        <v>770683</v>
      </c>
      <c r="S51" s="140">
        <f>S49+S41+S37+S33+S25</f>
        <v>1360859</v>
      </c>
      <c r="T51" s="140">
        <f>T49+T41+T37+T33+T25</f>
        <v>1937667</v>
      </c>
      <c r="U51" s="140">
        <f>U49+U41+U37+U33+U25</f>
        <v>159994</v>
      </c>
      <c r="V51" s="140">
        <f>SUM(Q51:U51)</f>
        <v>5933870</v>
      </c>
      <c r="W51" s="140"/>
      <c r="X51" s="140">
        <f>X49+X41+X37+X33+X25</f>
        <v>1670721</v>
      </c>
      <c r="Y51" s="140">
        <f>Y49+Y41+Y37+Y33+Y25</f>
        <v>743488</v>
      </c>
      <c r="Z51" s="140">
        <f>Z49+Z41+Z37+Z33+Z25</f>
        <v>1484911</v>
      </c>
      <c r="AA51" s="140">
        <f>AA49+AA41+AA37+AA33+AA25</f>
        <v>2567460</v>
      </c>
      <c r="AB51" s="140">
        <f>AB49+AB41+AB37+AB33+AB25</f>
        <v>167460</v>
      </c>
      <c r="AC51" s="140">
        <f>SUM(X51:AB51)</f>
        <v>6634040</v>
      </c>
      <c r="AD51" s="271"/>
      <c r="AE51" s="140">
        <f>AE49+AE41+AE37+AE33+AE25</f>
        <v>1513262</v>
      </c>
      <c r="AF51" s="140">
        <f>AF49+AF41+AF37+AF33+AF25</f>
        <v>853441</v>
      </c>
      <c r="AG51" s="140">
        <f>AG49+AG41+AG37+AG33+AG25</f>
        <v>1894384</v>
      </c>
      <c r="AH51" s="140">
        <f>AH49+AH41+AH37+AH33+AH25</f>
        <v>3588065</v>
      </c>
      <c r="AI51" s="140">
        <f>AI49+AI41+AI37+AI33+AI25</f>
        <v>169872</v>
      </c>
      <c r="AJ51" s="140">
        <f>+AJ25+AJ33+AJ37+AJ41+AJ49</f>
        <v>8019024</v>
      </c>
      <c r="AK51" s="271"/>
      <c r="AL51" s="271"/>
      <c r="AM51" s="140">
        <f t="shared" ref="AM51:AR51" si="126">AM49+AM41+AM37+AM33+AM25</f>
        <v>1503332.75</v>
      </c>
      <c r="AN51" s="140">
        <f t="shared" si="126"/>
        <v>932928.26249999995</v>
      </c>
      <c r="AO51" s="140">
        <f t="shared" si="126"/>
        <v>1803713.9424999999</v>
      </c>
      <c r="AP51" s="140">
        <f t="shared" si="126"/>
        <v>50000</v>
      </c>
      <c r="AQ51" s="140">
        <f t="shared" si="126"/>
        <v>3411311</v>
      </c>
      <c r="AR51" s="140">
        <f t="shared" si="126"/>
        <v>172997</v>
      </c>
      <c r="AS51" s="140">
        <f t="shared" ref="AS51" si="127">AS49+AS41+AS37+AS33+AS25</f>
        <v>1000</v>
      </c>
      <c r="AT51" s="140">
        <f>+AT25+AT33+AT37+AT41+AT49</f>
        <v>7875282.9550000001</v>
      </c>
      <c r="AU51" s="271"/>
      <c r="AV51" s="140">
        <f t="shared" ref="AV51:BB51" si="128">AV49+AV41+AV37+AV33+AV25</f>
        <v>1550308.32</v>
      </c>
      <c r="AW51" s="140">
        <f t="shared" si="128"/>
        <v>986024.53428571415</v>
      </c>
      <c r="AX51" s="140">
        <f t="shared" si="128"/>
        <v>1802413.5225</v>
      </c>
      <c r="AY51" s="140">
        <f t="shared" si="128"/>
        <v>2755211.1227803146</v>
      </c>
      <c r="AZ51" s="140">
        <f t="shared" si="128"/>
        <v>3238467</v>
      </c>
      <c r="BA51" s="140">
        <f t="shared" si="128"/>
        <v>176122</v>
      </c>
      <c r="BB51" s="140">
        <f t="shared" si="128"/>
        <v>3235629</v>
      </c>
      <c r="BC51" s="140">
        <f>+BC25+BC33+BC37+BC41+BC49</f>
        <v>13744175.49956603</v>
      </c>
      <c r="BD51" s="271"/>
      <c r="BE51" s="140">
        <f t="shared" ref="BE51:BK51" si="129">BE49+BE41+BE37+BE33+BE25</f>
        <v>1652745.9500000002</v>
      </c>
      <c r="BF51" s="140">
        <f t="shared" si="129"/>
        <v>1067458.6560714284</v>
      </c>
      <c r="BG51" s="140">
        <f t="shared" si="129"/>
        <v>1870010.9049999998</v>
      </c>
      <c r="BH51" s="140">
        <f t="shared" si="129"/>
        <v>2362292.9802664956</v>
      </c>
      <c r="BI51" s="140">
        <f t="shared" si="129"/>
        <v>3066343</v>
      </c>
      <c r="BJ51" s="140">
        <f t="shared" si="129"/>
        <v>179247</v>
      </c>
      <c r="BK51" s="140">
        <f t="shared" si="129"/>
        <v>3079918</v>
      </c>
      <c r="BL51" s="140">
        <f>+BL25+BL33+BL37+BL41+BL49</f>
        <v>13278016.491337925</v>
      </c>
      <c r="BM51" s="271"/>
      <c r="BN51" s="140">
        <f t="shared" ref="BN51:BT51" si="130">BN49+BN41+BN37+BN33+BN25</f>
        <v>1771735.06</v>
      </c>
      <c r="BO51" s="140">
        <f t="shared" si="130"/>
        <v>1162827.3578571426</v>
      </c>
      <c r="BP51" s="140">
        <f t="shared" si="130"/>
        <v>1982544.02</v>
      </c>
      <c r="BQ51" s="140">
        <f t="shared" si="130"/>
        <v>2525880.9711340759</v>
      </c>
      <c r="BR51" s="140">
        <f t="shared" si="130"/>
        <v>2898169</v>
      </c>
      <c r="BS51" s="140">
        <f t="shared" si="130"/>
        <v>182372</v>
      </c>
      <c r="BT51" s="140">
        <f t="shared" si="130"/>
        <v>2924207</v>
      </c>
      <c r="BU51" s="140">
        <f>+BU25+BU33+BU37+BU41+BU49</f>
        <v>13447735.408991218</v>
      </c>
    </row>
    <row r="52" spans="1:73">
      <c r="B52" s="141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</row>
    <row r="53" spans="1:73">
      <c r="B53" s="143" t="s">
        <v>221</v>
      </c>
      <c r="C53" s="144" t="str">
        <f t="shared" ref="C53:H53" si="131">IF(ABS(C51-C23)&lt;2,"Equilibré","Erreur")</f>
        <v>Equilibré</v>
      </c>
      <c r="D53" s="144" t="str">
        <f t="shared" si="131"/>
        <v>Equilibré</v>
      </c>
      <c r="E53" s="144" t="str">
        <f t="shared" si="131"/>
        <v>Equilibré</v>
      </c>
      <c r="F53" s="144" t="str">
        <f t="shared" si="131"/>
        <v>Equilibré</v>
      </c>
      <c r="G53" s="144" t="str">
        <f t="shared" si="131"/>
        <v>Equilibré</v>
      </c>
      <c r="H53" s="144" t="str">
        <f t="shared" si="131"/>
        <v>Equilibré</v>
      </c>
      <c r="I53" s="252"/>
      <c r="J53" s="144" t="str">
        <f t="shared" ref="J53:O53" si="132">IF(ABS(J51-J23)&lt;2,"Equilibré","Erreur")</f>
        <v>Equilibré</v>
      </c>
      <c r="K53" s="144" t="str">
        <f t="shared" si="132"/>
        <v>Equilibré</v>
      </c>
      <c r="L53" s="144" t="str">
        <f t="shared" si="132"/>
        <v>Equilibré</v>
      </c>
      <c r="M53" s="144" t="str">
        <f t="shared" si="132"/>
        <v>Equilibré</v>
      </c>
      <c r="N53" s="144" t="str">
        <f t="shared" si="132"/>
        <v>Equilibré</v>
      </c>
      <c r="O53" s="144" t="str">
        <f t="shared" si="132"/>
        <v>Equilibré</v>
      </c>
      <c r="P53" s="252"/>
      <c r="Q53" s="144" t="str">
        <f t="shared" ref="Q53:V53" si="133">IF(ABS(Q51-Q23)&lt;2,"Equilibré","Erreur")</f>
        <v>Equilibré</v>
      </c>
      <c r="R53" s="144" t="str">
        <f t="shared" si="133"/>
        <v>Equilibré</v>
      </c>
      <c r="S53" s="144" t="str">
        <f t="shared" si="133"/>
        <v>Equilibré</v>
      </c>
      <c r="T53" s="144" t="str">
        <f t="shared" si="133"/>
        <v>Equilibré</v>
      </c>
      <c r="U53" s="144" t="str">
        <f t="shared" si="133"/>
        <v>Equilibré</v>
      </c>
      <c r="V53" s="144" t="str">
        <f t="shared" si="133"/>
        <v>Equilibré</v>
      </c>
      <c r="W53" s="252"/>
      <c r="X53" s="144" t="str">
        <f t="shared" ref="X53:AC53" si="134">IF(ABS(X51-X23)&lt;2,"Equilibré","Erreur")</f>
        <v>Equilibré</v>
      </c>
      <c r="Y53" s="144" t="str">
        <f t="shared" si="134"/>
        <v>Equilibré</v>
      </c>
      <c r="Z53" s="144" t="str">
        <f t="shared" si="134"/>
        <v>Equilibré</v>
      </c>
      <c r="AA53" s="144" t="str">
        <f t="shared" si="134"/>
        <v>Equilibré</v>
      </c>
      <c r="AB53" s="144" t="str">
        <f t="shared" si="134"/>
        <v>Equilibré</v>
      </c>
      <c r="AC53" s="144" t="str">
        <f t="shared" si="134"/>
        <v>Equilibré</v>
      </c>
      <c r="AD53" s="252"/>
      <c r="AE53" s="144" t="str">
        <f t="shared" ref="AE53:AI53" si="135">IF(ABS(AE51-AE23)&lt;2,"Equilibré","Erreur")</f>
        <v>Equilibré</v>
      </c>
      <c r="AF53" s="144" t="str">
        <f t="shared" si="135"/>
        <v>Equilibré</v>
      </c>
      <c r="AG53" s="144" t="str">
        <f t="shared" si="135"/>
        <v>Equilibré</v>
      </c>
      <c r="AH53" s="144" t="str">
        <f t="shared" si="135"/>
        <v>Equilibré</v>
      </c>
      <c r="AI53" s="144" t="str">
        <f t="shared" si="135"/>
        <v>Equilibré</v>
      </c>
      <c r="AJ53" s="144" t="str">
        <f>IF(ABS(AJ51-AJ23)&lt;2,"Equilibré","Erreur")</f>
        <v>Equilibré</v>
      </c>
      <c r="AK53" s="252"/>
      <c r="AL53" s="252"/>
      <c r="AM53" s="144" t="str">
        <f t="shared" ref="AM53:AR53" si="136">IF(ABS(AM51-AM23)&lt;2,"Equilibré","Erreur")</f>
        <v>Equilibré</v>
      </c>
      <c r="AN53" s="144" t="str">
        <f t="shared" si="136"/>
        <v>Equilibré</v>
      </c>
      <c r="AO53" s="144" t="str">
        <f t="shared" si="136"/>
        <v>Equilibré</v>
      </c>
      <c r="AP53" s="144" t="str">
        <f t="shared" ref="AP53" si="137">IF(ABS(AP51-AP23)&lt;2,"Equilibré","Erreur")</f>
        <v>Equilibré</v>
      </c>
      <c r="AQ53" s="144" t="str">
        <f t="shared" si="136"/>
        <v>Equilibré</v>
      </c>
      <c r="AR53" s="144" t="str">
        <f t="shared" si="136"/>
        <v>Equilibré</v>
      </c>
      <c r="AS53" s="144" t="str">
        <f t="shared" ref="AS53" si="138">IF(ABS(AS51-AS23)&lt;2,"Equilibré","Erreur")</f>
        <v>Equilibré</v>
      </c>
      <c r="AT53" s="144" t="str">
        <f>IF(ABS(AT51-AT23)&lt;2,"Equilibré","Erreur")</f>
        <v>Equilibré</v>
      </c>
      <c r="AU53" s="252"/>
      <c r="AV53" s="144" t="str">
        <f t="shared" ref="AV53:BB53" si="139">IF(ABS(AV51-AV23)&lt;2,"Equilibré","Erreur")</f>
        <v>Equilibré</v>
      </c>
      <c r="AW53" s="144" t="str">
        <f t="shared" si="139"/>
        <v>Equilibré</v>
      </c>
      <c r="AX53" s="144" t="str">
        <f t="shared" si="139"/>
        <v>Equilibré</v>
      </c>
      <c r="AY53" s="144" t="str">
        <f t="shared" si="139"/>
        <v>Equilibré</v>
      </c>
      <c r="AZ53" s="144" t="str">
        <f t="shared" si="139"/>
        <v>Equilibré</v>
      </c>
      <c r="BA53" s="144" t="str">
        <f t="shared" si="139"/>
        <v>Equilibré</v>
      </c>
      <c r="BB53" s="144" t="str">
        <f t="shared" si="139"/>
        <v>Equilibré</v>
      </c>
      <c r="BC53" s="144" t="str">
        <f>IF(ABS(BC51-BC23)&lt;2,"Equilibré","Erreur")</f>
        <v>Equilibré</v>
      </c>
      <c r="BD53" s="252"/>
      <c r="BE53" s="144" t="str">
        <f t="shared" ref="BE53:BK53" si="140">IF(ABS(BE51-BE23)&lt;2,"Equilibré","Erreur")</f>
        <v>Equilibré</v>
      </c>
      <c r="BF53" s="144" t="str">
        <f t="shared" si="140"/>
        <v>Equilibré</v>
      </c>
      <c r="BG53" s="144" t="str">
        <f t="shared" si="140"/>
        <v>Equilibré</v>
      </c>
      <c r="BH53" s="144" t="str">
        <f t="shared" si="140"/>
        <v>Equilibré</v>
      </c>
      <c r="BI53" s="144" t="str">
        <f t="shared" si="140"/>
        <v>Equilibré</v>
      </c>
      <c r="BJ53" s="144" t="str">
        <f t="shared" si="140"/>
        <v>Equilibré</v>
      </c>
      <c r="BK53" s="144" t="str">
        <f t="shared" si="140"/>
        <v>Equilibré</v>
      </c>
      <c r="BL53" s="144" t="str">
        <f>IF(ABS(BL51-BL23)&lt;2,"Equilibré","Erreur")</f>
        <v>Equilibré</v>
      </c>
      <c r="BM53" s="252"/>
      <c r="BN53" s="144" t="str">
        <f t="shared" ref="BN53:BT53" si="141">IF(ABS(BN51-BN23)&lt;2,"Equilibré","Erreur")</f>
        <v>Equilibré</v>
      </c>
      <c r="BO53" s="144" t="str">
        <f t="shared" si="141"/>
        <v>Equilibré</v>
      </c>
      <c r="BP53" s="144" t="str">
        <f t="shared" si="141"/>
        <v>Equilibré</v>
      </c>
      <c r="BQ53" s="144" t="str">
        <f t="shared" si="141"/>
        <v>Equilibré</v>
      </c>
      <c r="BR53" s="144" t="str">
        <f t="shared" si="141"/>
        <v>Equilibré</v>
      </c>
      <c r="BS53" s="144" t="str">
        <f t="shared" si="141"/>
        <v>Equilibré</v>
      </c>
      <c r="BT53" s="144" t="str">
        <f t="shared" si="141"/>
        <v>Equilibré</v>
      </c>
      <c r="BU53" s="144" t="str">
        <f>IF(ABS(BU51-BU23)&lt;2,"Equilibré","Erreur")</f>
        <v>Equilibré</v>
      </c>
    </row>
    <row r="55" spans="1:73" s="32" customFormat="1">
      <c r="A55" s="83"/>
      <c r="B55" s="13" t="s">
        <v>68</v>
      </c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52"/>
      <c r="AE55" s="14"/>
      <c r="AF55" s="14"/>
      <c r="AG55" s="14"/>
      <c r="AH55" s="14"/>
      <c r="AI55" s="14"/>
      <c r="AJ55" s="14"/>
      <c r="AK55" s="52"/>
      <c r="AL55" s="52"/>
      <c r="AM55" s="14"/>
      <c r="AN55" s="14"/>
      <c r="AO55" s="14"/>
      <c r="AP55" s="14"/>
      <c r="AQ55" s="14"/>
      <c r="AR55" s="14"/>
      <c r="AS55" s="14"/>
      <c r="AT55" s="14"/>
      <c r="AU55" s="52"/>
      <c r="AV55" s="14"/>
      <c r="AW55" s="14"/>
      <c r="AX55" s="14"/>
      <c r="AY55" s="14"/>
      <c r="AZ55" s="14"/>
      <c r="BA55" s="14"/>
      <c r="BB55" s="14"/>
      <c r="BC55" s="14"/>
      <c r="BD55" s="52"/>
      <c r="BE55" s="14"/>
      <c r="BF55" s="14"/>
      <c r="BG55" s="14"/>
      <c r="BH55" s="14"/>
      <c r="BI55" s="14"/>
      <c r="BJ55" s="14"/>
      <c r="BK55" s="14"/>
      <c r="BL55" s="14"/>
      <c r="BM55" s="52"/>
      <c r="BN55" s="14"/>
      <c r="BO55" s="14"/>
      <c r="BP55" s="14"/>
      <c r="BQ55" s="14"/>
      <c r="BR55" s="14"/>
      <c r="BS55" s="14"/>
      <c r="BT55" s="14"/>
      <c r="BU55" s="14"/>
    </row>
    <row r="56" spans="1:73" s="32" customFormat="1">
      <c r="A56" s="83"/>
      <c r="B56" s="15" t="s">
        <v>42</v>
      </c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72"/>
      <c r="AE56" s="23"/>
      <c r="AF56" s="23"/>
      <c r="AG56" s="23"/>
      <c r="AH56" s="23"/>
      <c r="AI56" s="23"/>
      <c r="AJ56" s="23"/>
      <c r="AK56" s="272"/>
      <c r="AL56" s="272"/>
      <c r="AM56" s="23"/>
      <c r="AN56" s="23"/>
      <c r="AO56" s="23"/>
      <c r="AP56" s="23"/>
      <c r="AQ56" s="23"/>
      <c r="AR56" s="23"/>
      <c r="AS56" s="23"/>
      <c r="AT56" s="23"/>
      <c r="AU56" s="272"/>
      <c r="AV56" s="23"/>
      <c r="AW56" s="23"/>
      <c r="AX56" s="23"/>
      <c r="AY56" s="23"/>
      <c r="AZ56" s="23"/>
      <c r="BA56" s="23"/>
      <c r="BB56" s="23"/>
      <c r="BC56" s="23"/>
      <c r="BD56" s="272"/>
      <c r="BE56" s="23"/>
      <c r="BF56" s="23"/>
      <c r="BG56" s="23"/>
      <c r="BH56" s="23"/>
      <c r="BI56" s="23"/>
      <c r="BJ56" s="23"/>
      <c r="BK56" s="23"/>
      <c r="BL56" s="23"/>
      <c r="BM56" s="272"/>
      <c r="BN56" s="23"/>
      <c r="BO56" s="23"/>
      <c r="BP56" s="23"/>
      <c r="BQ56" s="23"/>
      <c r="BR56" s="23"/>
      <c r="BS56" s="23"/>
      <c r="BT56" s="23"/>
      <c r="BU56" s="23"/>
    </row>
    <row r="57" spans="1:73" s="32" customFormat="1">
      <c r="A57" s="83"/>
      <c r="B57" s="15" t="s">
        <v>69</v>
      </c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72"/>
      <c r="AE57" s="23"/>
      <c r="AF57" s="23"/>
      <c r="AG57" s="23"/>
      <c r="AH57" s="23"/>
      <c r="AI57" s="23"/>
      <c r="AJ57" s="23"/>
      <c r="AK57" s="272"/>
      <c r="AL57" s="272"/>
      <c r="AM57" s="23"/>
      <c r="AN57" s="23"/>
      <c r="AO57" s="23"/>
      <c r="AP57" s="23"/>
      <c r="AQ57" s="23"/>
      <c r="AR57" s="23"/>
      <c r="AS57" s="23"/>
      <c r="AT57" s="23"/>
      <c r="AU57" s="272"/>
      <c r="AV57" s="23"/>
      <c r="AW57" s="23"/>
      <c r="AX57" s="23"/>
      <c r="AY57" s="23"/>
      <c r="AZ57" s="23"/>
      <c r="BA57" s="23"/>
      <c r="BB57" s="23"/>
      <c r="BC57" s="23"/>
      <c r="BD57" s="272"/>
      <c r="BE57" s="23"/>
      <c r="BF57" s="23"/>
      <c r="BG57" s="23"/>
      <c r="BH57" s="23"/>
      <c r="BI57" s="23"/>
      <c r="BJ57" s="23"/>
      <c r="BK57" s="23"/>
      <c r="BL57" s="23"/>
      <c r="BM57" s="272"/>
      <c r="BN57" s="23"/>
      <c r="BO57" s="23"/>
      <c r="BP57" s="23"/>
      <c r="BQ57" s="23"/>
      <c r="BR57" s="23"/>
      <c r="BS57" s="23"/>
      <c r="BT57" s="23"/>
      <c r="BU57" s="23"/>
    </row>
    <row r="58" spans="1:73" s="32" customFormat="1">
      <c r="A58" s="83"/>
      <c r="B58" s="15" t="s">
        <v>70</v>
      </c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72"/>
      <c r="AE58" s="23"/>
      <c r="AF58" s="23"/>
      <c r="AG58" s="23"/>
      <c r="AH58" s="23"/>
      <c r="AI58" s="23"/>
      <c r="AJ58" s="23"/>
      <c r="AK58" s="272"/>
      <c r="AL58" s="272"/>
      <c r="AM58" s="23"/>
      <c r="AN58" s="23"/>
      <c r="AO58" s="23"/>
      <c r="AP58" s="23"/>
      <c r="AQ58" s="23"/>
      <c r="AR58" s="23"/>
      <c r="AS58" s="23"/>
      <c r="AT58" s="23"/>
      <c r="AU58" s="272"/>
      <c r="AV58" s="23"/>
      <c r="AW58" s="23"/>
      <c r="AX58" s="23"/>
      <c r="AY58" s="23"/>
      <c r="AZ58" s="23"/>
      <c r="BA58" s="23"/>
      <c r="BB58" s="23"/>
      <c r="BC58" s="23"/>
      <c r="BD58" s="272"/>
      <c r="BE58" s="23"/>
      <c r="BF58" s="23"/>
      <c r="BG58" s="23"/>
      <c r="BH58" s="23"/>
      <c r="BI58" s="23"/>
      <c r="BJ58" s="23"/>
      <c r="BK58" s="23"/>
      <c r="BL58" s="23"/>
      <c r="BM58" s="272"/>
      <c r="BN58" s="23"/>
      <c r="BO58" s="23"/>
      <c r="BP58" s="23"/>
      <c r="BQ58" s="23"/>
      <c r="BR58" s="23"/>
      <c r="BS58" s="23"/>
      <c r="BT58" s="23"/>
      <c r="BU58" s="23"/>
    </row>
    <row r="59" spans="1:73">
      <c r="B59" s="24" t="s">
        <v>71</v>
      </c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72"/>
      <c r="AE59" s="23"/>
      <c r="AF59" s="23"/>
      <c r="AG59" s="23"/>
      <c r="AH59" s="23"/>
      <c r="AI59" s="23"/>
      <c r="AJ59" s="23"/>
      <c r="AK59" s="272"/>
      <c r="AL59" s="272"/>
      <c r="AM59" s="23"/>
      <c r="AN59" s="23"/>
      <c r="AO59" s="23"/>
      <c r="AP59" s="23"/>
      <c r="AQ59" s="23"/>
      <c r="AR59" s="23"/>
      <c r="AS59" s="23"/>
      <c r="AT59" s="23"/>
      <c r="AU59" s="272"/>
      <c r="AV59" s="23"/>
      <c r="AW59" s="23"/>
      <c r="AX59" s="23"/>
      <c r="AY59" s="23"/>
      <c r="AZ59" s="23"/>
      <c r="BA59" s="23"/>
      <c r="BB59" s="23"/>
      <c r="BC59" s="23"/>
      <c r="BD59" s="272"/>
      <c r="BE59" s="23"/>
      <c r="BF59" s="23"/>
      <c r="BG59" s="23"/>
      <c r="BH59" s="23"/>
      <c r="BI59" s="23"/>
      <c r="BJ59" s="23"/>
      <c r="BK59" s="23"/>
      <c r="BL59" s="23"/>
      <c r="BM59" s="272"/>
      <c r="BN59" s="23"/>
      <c r="BO59" s="23"/>
      <c r="BP59" s="23"/>
      <c r="BQ59" s="23"/>
      <c r="BR59" s="23"/>
      <c r="BS59" s="23"/>
      <c r="BT59" s="23"/>
      <c r="BU59" s="23"/>
    </row>
    <row r="60" spans="1:73">
      <c r="B60" s="25" t="s">
        <v>50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80"/>
      <c r="AE60" s="26"/>
      <c r="AF60" s="26"/>
      <c r="AG60" s="26"/>
      <c r="AH60" s="26"/>
      <c r="AI60" s="26"/>
      <c r="AJ60" s="26"/>
      <c r="AK60" s="280"/>
      <c r="AL60" s="280"/>
      <c r="AM60" s="26"/>
      <c r="AN60" s="26"/>
      <c r="AO60" s="26"/>
      <c r="AP60" s="26"/>
      <c r="AQ60" s="26"/>
      <c r="AR60" s="26"/>
      <c r="AS60" s="26"/>
      <c r="AT60" s="26"/>
      <c r="AU60" s="280"/>
      <c r="AV60" s="26"/>
      <c r="AW60" s="26"/>
      <c r="AX60" s="26"/>
      <c r="AY60" s="26"/>
      <c r="AZ60" s="26"/>
      <c r="BA60" s="26"/>
      <c r="BB60" s="26"/>
      <c r="BC60" s="26"/>
      <c r="BD60" s="280"/>
      <c r="BE60" s="26"/>
      <c r="BF60" s="26"/>
      <c r="BG60" s="26"/>
      <c r="BH60" s="26"/>
      <c r="BI60" s="26"/>
      <c r="BJ60" s="26"/>
      <c r="BK60" s="26"/>
      <c r="BL60" s="26"/>
      <c r="BM60" s="280"/>
      <c r="BN60" s="26"/>
      <c r="BO60" s="26"/>
      <c r="BP60" s="26"/>
      <c r="BQ60" s="26"/>
      <c r="BR60" s="26"/>
      <c r="BS60" s="26"/>
      <c r="BT60" s="26"/>
      <c r="BU60" s="26"/>
    </row>
    <row r="61" spans="1:73">
      <c r="B61" s="25" t="s">
        <v>72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81"/>
      <c r="AE61" s="27"/>
      <c r="AF61" s="27"/>
      <c r="AG61" s="27"/>
      <c r="AH61" s="27"/>
      <c r="AI61" s="27"/>
      <c r="AJ61" s="27"/>
      <c r="AK61" s="281"/>
      <c r="AL61" s="281"/>
      <c r="AM61" s="27"/>
      <c r="AN61" s="27"/>
      <c r="AO61" s="27"/>
      <c r="AP61" s="27"/>
      <c r="AQ61" s="27"/>
      <c r="AR61" s="27"/>
      <c r="AS61" s="27"/>
      <c r="AT61" s="27"/>
      <c r="AU61" s="281"/>
      <c r="AV61" s="27"/>
      <c r="AW61" s="27"/>
      <c r="AX61" s="27"/>
      <c r="AY61" s="27"/>
      <c r="AZ61" s="27"/>
      <c r="BA61" s="27"/>
      <c r="BB61" s="27"/>
      <c r="BC61" s="27"/>
      <c r="BD61" s="281"/>
      <c r="BE61" s="27"/>
      <c r="BF61" s="27"/>
      <c r="BG61" s="27"/>
      <c r="BH61" s="27"/>
      <c r="BI61" s="27"/>
      <c r="BJ61" s="27"/>
      <c r="BK61" s="27"/>
      <c r="BL61" s="27"/>
      <c r="BM61" s="281"/>
      <c r="BN61" s="27"/>
      <c r="BO61" s="27"/>
      <c r="BP61" s="27"/>
      <c r="BQ61" s="27"/>
      <c r="BR61" s="27"/>
      <c r="BS61" s="27"/>
      <c r="BT61" s="27"/>
      <c r="BU61" s="27"/>
    </row>
    <row r="62" spans="1:73">
      <c r="B62" s="28" t="s">
        <v>73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82"/>
      <c r="AE62" s="29"/>
      <c r="AF62" s="29"/>
      <c r="AG62" s="29"/>
      <c r="AH62" s="29"/>
      <c r="AI62" s="29"/>
      <c r="AJ62" s="29"/>
      <c r="AK62" s="282"/>
      <c r="AL62" s="282"/>
      <c r="AM62" s="29"/>
      <c r="AN62" s="29"/>
      <c r="AO62" s="29"/>
      <c r="AP62" s="29"/>
      <c r="AQ62" s="29"/>
      <c r="AR62" s="29"/>
      <c r="AS62" s="29"/>
      <c r="AT62" s="29"/>
      <c r="AU62" s="282"/>
      <c r="AV62" s="29"/>
      <c r="AW62" s="29"/>
      <c r="AX62" s="29"/>
      <c r="AY62" s="29"/>
      <c r="AZ62" s="29"/>
      <c r="BA62" s="29"/>
      <c r="BB62" s="29"/>
      <c r="BC62" s="29"/>
      <c r="BD62" s="282"/>
      <c r="BE62" s="29"/>
      <c r="BF62" s="29"/>
      <c r="BG62" s="29"/>
      <c r="BH62" s="29"/>
      <c r="BI62" s="29"/>
      <c r="BJ62" s="29"/>
      <c r="BK62" s="29"/>
      <c r="BL62" s="29"/>
      <c r="BM62" s="282"/>
      <c r="BN62" s="29"/>
      <c r="BO62" s="29"/>
      <c r="BP62" s="29"/>
      <c r="BQ62" s="29"/>
      <c r="BR62" s="29"/>
      <c r="BS62" s="29"/>
      <c r="BT62" s="29"/>
      <c r="BU62" s="29"/>
    </row>
    <row r="63" spans="1:73">
      <c r="B63" s="17" t="s">
        <v>74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282"/>
      <c r="AE63" s="30"/>
      <c r="AF63" s="30"/>
      <c r="AG63" s="30"/>
      <c r="AH63" s="30"/>
      <c r="AI63" s="30"/>
      <c r="AJ63" s="30"/>
      <c r="AK63" s="282"/>
      <c r="AL63" s="282"/>
      <c r="AM63" s="30"/>
      <c r="AN63" s="30"/>
      <c r="AO63" s="30"/>
      <c r="AP63" s="30"/>
      <c r="AQ63" s="30"/>
      <c r="AR63" s="30"/>
      <c r="AS63" s="30"/>
      <c r="AT63" s="30"/>
      <c r="AU63" s="282"/>
      <c r="AV63" s="30"/>
      <c r="AW63" s="30"/>
      <c r="AX63" s="30"/>
      <c r="AY63" s="30"/>
      <c r="AZ63" s="30"/>
      <c r="BA63" s="30"/>
      <c r="BB63" s="30"/>
      <c r="BC63" s="30"/>
      <c r="BD63" s="282"/>
      <c r="BE63" s="30"/>
      <c r="BF63" s="30"/>
      <c r="BG63" s="30"/>
      <c r="BH63" s="30"/>
      <c r="BI63" s="30"/>
      <c r="BJ63" s="30"/>
      <c r="BK63" s="30"/>
      <c r="BL63" s="30"/>
      <c r="BM63" s="282"/>
      <c r="BN63" s="30"/>
      <c r="BO63" s="30"/>
      <c r="BP63" s="30"/>
      <c r="BQ63" s="30"/>
      <c r="BR63" s="30"/>
      <c r="BS63" s="30"/>
      <c r="BT63" s="30"/>
      <c r="BU63" s="30"/>
    </row>
    <row r="66" spans="3:72"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L66" s="146"/>
      <c r="AM66" s="146"/>
      <c r="AN66" s="146"/>
      <c r="AO66" s="146"/>
      <c r="AP66" s="146"/>
      <c r="AQ66" s="146"/>
      <c r="AR66" s="146"/>
      <c r="AS66" s="146"/>
      <c r="AU66" s="146"/>
      <c r="AV66" s="146"/>
      <c r="AW66" s="146"/>
      <c r="AX66" s="146"/>
      <c r="AY66" s="146"/>
      <c r="AZ66" s="146"/>
      <c r="BA66" s="146"/>
      <c r="BB66" s="146"/>
      <c r="BD66" s="146"/>
      <c r="BE66" s="146"/>
      <c r="BF66" s="146"/>
      <c r="BG66" s="146"/>
      <c r="BH66" s="146"/>
      <c r="BI66" s="146"/>
      <c r="BJ66" s="146"/>
      <c r="BK66" s="146"/>
      <c r="BM66" s="146"/>
      <c r="BN66" s="146"/>
      <c r="BO66" s="146"/>
      <c r="BP66" s="146"/>
      <c r="BQ66" s="146"/>
      <c r="BR66" s="146"/>
      <c r="BS66" s="146"/>
      <c r="BT66" s="146"/>
    </row>
    <row r="67" spans="3:72"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L67" s="146"/>
      <c r="AM67" s="146"/>
      <c r="AN67" s="146"/>
      <c r="AO67" s="146"/>
      <c r="AP67" s="146"/>
      <c r="AQ67" s="146"/>
      <c r="AR67" s="146"/>
      <c r="AS67" s="146"/>
      <c r="AU67" s="146"/>
      <c r="AV67" s="146"/>
      <c r="AW67" s="146"/>
      <c r="AX67" s="146"/>
      <c r="AY67" s="146"/>
      <c r="AZ67" s="146"/>
      <c r="BA67" s="146"/>
      <c r="BB67" s="146"/>
      <c r="BD67" s="146"/>
      <c r="BE67" s="146"/>
      <c r="BF67" s="146"/>
      <c r="BG67" s="146"/>
      <c r="BH67" s="146"/>
      <c r="BI67" s="146"/>
      <c r="BJ67" s="146"/>
      <c r="BK67" s="146"/>
      <c r="BM67" s="146"/>
      <c r="BN67" s="146"/>
      <c r="BO67" s="146"/>
      <c r="BP67" s="146"/>
      <c r="BQ67" s="146"/>
      <c r="BR67" s="146"/>
      <c r="BS67" s="146"/>
      <c r="BT67" s="146"/>
    </row>
  </sheetData>
  <mergeCells count="1">
    <mergeCell ref="B2:B4"/>
  </mergeCells>
  <conditionalFormatting sqref="C53:BU53">
    <cfRule type="containsText" dxfId="3" priority="118" operator="containsText" text="Equilibré">
      <formula>NOT(ISERROR(SEARCH("Equilibré",C53)))</formula>
    </cfRule>
    <cfRule type="containsText" dxfId="2" priority="119" operator="containsText" text="Erreur">
      <formula>NOT(ISERROR(SEARCH("Erreur",C53)))</formula>
    </cfRule>
    <cfRule type="containsText" dxfId="1" priority="120" operator="containsText" text="Validé">
      <formula>NOT(ISERROR(SEARCH("Validé",C53)))</formula>
    </cfRule>
    <cfRule type="containsText" dxfId="0" priority="121" operator="containsText" text="Erreur">
      <formula>NOT(ISERROR(SEARCH("Erreur",C53)))</formula>
    </cfRule>
    <cfRule type="colorScale" priority="122">
      <colorScale>
        <cfvo type="formula" val="&quot;$F$11=$F$26&quot;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8">
    <tabColor rgb="FF006C4C"/>
  </sheetPr>
  <dimension ref="B3:T197"/>
  <sheetViews>
    <sheetView showGridLines="0" topLeftCell="A159" zoomScaleNormal="100" workbookViewId="0">
      <selection activeCell="H172" sqref="H172"/>
    </sheetView>
  </sheetViews>
  <sheetFormatPr baseColWidth="10" defaultColWidth="11.42578125" defaultRowHeight="15"/>
  <cols>
    <col min="2" max="2" width="25.7109375" customWidth="1"/>
    <col min="3" max="6" width="9.42578125" customWidth="1"/>
    <col min="7" max="10" width="9.28515625" customWidth="1"/>
    <col min="11" max="11" width="9.28515625" style="32" customWidth="1"/>
    <col min="12" max="12" width="25.7109375" customWidth="1"/>
  </cols>
  <sheetData>
    <row r="3" spans="2:19">
      <c r="B3" s="1" t="s">
        <v>931</v>
      </c>
      <c r="C3" s="21"/>
      <c r="D3" s="21"/>
      <c r="E3" s="21"/>
      <c r="F3" s="21"/>
      <c r="G3" s="21"/>
      <c r="H3" s="21"/>
      <c r="I3" s="21"/>
      <c r="J3" s="21" t="s">
        <v>667</v>
      </c>
    </row>
    <row r="4" spans="2:19">
      <c r="B4" s="331"/>
      <c r="C4" s="3"/>
      <c r="D4" s="332" t="s">
        <v>932</v>
      </c>
      <c r="E4" s="332"/>
      <c r="F4" s="348" t="s">
        <v>933</v>
      </c>
      <c r="G4" s="348"/>
      <c r="H4" s="333" t="s">
        <v>934</v>
      </c>
      <c r="I4" s="334" t="s">
        <v>935</v>
      </c>
      <c r="J4" s="333" t="s">
        <v>934</v>
      </c>
    </row>
    <row r="5" spans="2:19">
      <c r="B5" s="7" t="s">
        <v>2</v>
      </c>
      <c r="C5" s="8" t="s">
        <v>101</v>
      </c>
      <c r="D5" s="8" t="s">
        <v>936</v>
      </c>
      <c r="E5" s="8" t="s">
        <v>937</v>
      </c>
      <c r="F5" s="8" t="s">
        <v>938</v>
      </c>
      <c r="G5" s="8" t="s">
        <v>102</v>
      </c>
      <c r="H5" s="335" t="s">
        <v>939</v>
      </c>
      <c r="I5" s="8" t="s">
        <v>102</v>
      </c>
      <c r="J5" s="335" t="s">
        <v>939</v>
      </c>
    </row>
    <row r="6" spans="2:19">
      <c r="B6" s="3" t="s">
        <v>831</v>
      </c>
      <c r="C6" s="10"/>
      <c r="D6" s="340">
        <v>1</v>
      </c>
      <c r="E6" s="10">
        <v>2000</v>
      </c>
      <c r="F6" s="337"/>
      <c r="G6" s="10"/>
      <c r="H6" s="14"/>
      <c r="I6" s="338"/>
      <c r="J6" s="14"/>
    </row>
    <row r="7" spans="2:19">
      <c r="B7" s="3"/>
      <c r="C7" s="10"/>
      <c r="D7" s="336"/>
      <c r="E7" s="10"/>
      <c r="F7" s="337"/>
      <c r="G7" s="10"/>
      <c r="H7" s="14"/>
      <c r="I7" s="338"/>
      <c r="J7" s="14">
        <f>SUM(H7:I7)</f>
        <v>0</v>
      </c>
    </row>
    <row r="8" spans="2:19" ht="15.75" thickBot="1">
      <c r="B8" s="11" t="s">
        <v>103</v>
      </c>
      <c r="C8" s="12"/>
      <c r="D8" s="43">
        <f>SUM(D6:D6)</f>
        <v>1</v>
      </c>
      <c r="E8" s="12">
        <f>E6</f>
        <v>2000</v>
      </c>
      <c r="F8" s="43">
        <f>G8/E8</f>
        <v>0</v>
      </c>
      <c r="G8" s="12">
        <f>SUM(G6:G6)</f>
        <v>0</v>
      </c>
      <c r="H8" s="339">
        <f>SUM(H6:H6)</f>
        <v>0</v>
      </c>
      <c r="I8" s="12">
        <f>SUM(I6:I7)</f>
        <v>0</v>
      </c>
      <c r="J8" s="339">
        <f>SUM(J6:J6)</f>
        <v>0</v>
      </c>
    </row>
    <row r="11" spans="2:19" ht="28.5">
      <c r="B11" s="352" t="s">
        <v>725</v>
      </c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</row>
    <row r="13" spans="2:19">
      <c r="B13" s="1" t="s">
        <v>276</v>
      </c>
      <c r="C13" s="21"/>
      <c r="D13" s="21"/>
      <c r="E13" s="21"/>
      <c r="F13" s="21"/>
      <c r="G13" s="256" t="s">
        <v>725</v>
      </c>
      <c r="L13" s="259" t="s">
        <v>726</v>
      </c>
      <c r="M13" s="259"/>
      <c r="N13" s="259"/>
      <c r="O13" s="266" t="s">
        <v>725</v>
      </c>
      <c r="P13" s="67"/>
    </row>
    <row r="14" spans="2:19">
      <c r="B14" s="7" t="s">
        <v>2</v>
      </c>
      <c r="C14" s="8">
        <v>44439</v>
      </c>
      <c r="D14" s="8">
        <v>44804</v>
      </c>
      <c r="E14" s="8">
        <v>45169</v>
      </c>
      <c r="F14" s="8" t="s">
        <v>97</v>
      </c>
      <c r="G14" s="8" t="s">
        <v>255</v>
      </c>
      <c r="I14" s="8" t="s">
        <v>267</v>
      </c>
      <c r="L14" s="350" t="s">
        <v>2</v>
      </c>
      <c r="M14" s="260">
        <f>C14</f>
        <v>44439</v>
      </c>
      <c r="N14" s="260">
        <f>D14</f>
        <v>44804</v>
      </c>
      <c r="O14" s="260">
        <f>E14</f>
        <v>45169</v>
      </c>
      <c r="P14" s="54"/>
      <c r="R14" s="54"/>
      <c r="S14" s="32"/>
    </row>
    <row r="15" spans="2:19">
      <c r="B15" s="5" t="s">
        <v>24</v>
      </c>
      <c r="C15" s="22">
        <f>'Probois 43 - P&amp;L'!D218/1000</f>
        <v>43.182000000000002</v>
      </c>
      <c r="D15" s="22">
        <f>'Probois 43 - P&amp;L'!E218/1000</f>
        <v>152.49600000000001</v>
      </c>
      <c r="E15" s="22">
        <f>'Probois 43 - P&amp;L'!F218/1000</f>
        <v>131.09800000000001</v>
      </c>
      <c r="F15" s="22">
        <f>AVERAGE(D15:E15)</f>
        <v>141.79700000000003</v>
      </c>
      <c r="G15" s="22">
        <f>AVERAGE(C15:E15)</f>
        <v>108.92533333333334</v>
      </c>
      <c r="L15" s="351"/>
      <c r="M15" s="261" t="s">
        <v>3</v>
      </c>
      <c r="N15" s="261" t="s">
        <v>3</v>
      </c>
      <c r="O15" s="261" t="s">
        <v>3</v>
      </c>
      <c r="P15" s="257"/>
      <c r="R15" s="32"/>
      <c r="S15" s="32"/>
    </row>
    <row r="16" spans="2:19">
      <c r="B16" s="41" t="s">
        <v>98</v>
      </c>
      <c r="C16" s="42">
        <v>5</v>
      </c>
      <c r="D16" s="42">
        <v>5</v>
      </c>
      <c r="E16" s="42">
        <v>5</v>
      </c>
      <c r="F16" s="42">
        <v>5</v>
      </c>
      <c r="G16" s="42">
        <v>5</v>
      </c>
      <c r="I16" s="42">
        <f>AVERAGE(C16:G16)</f>
        <v>5</v>
      </c>
      <c r="L16" s="262" t="s">
        <v>24</v>
      </c>
      <c r="M16" s="263">
        <f>C15</f>
        <v>43.182000000000002</v>
      </c>
      <c r="N16" s="263">
        <f>D15</f>
        <v>152.49600000000001</v>
      </c>
      <c r="O16" s="263">
        <f>E15</f>
        <v>131.09800000000001</v>
      </c>
      <c r="P16" s="258"/>
      <c r="R16" s="258"/>
      <c r="S16" s="32"/>
    </row>
    <row r="17" spans="2:19">
      <c r="B17" s="5" t="s">
        <v>99</v>
      </c>
      <c r="C17" s="22">
        <f>C15*C16</f>
        <v>215.91000000000003</v>
      </c>
      <c r="D17" s="22">
        <f t="shared" ref="D17:G17" si="0">D15*D16</f>
        <v>762.48</v>
      </c>
      <c r="E17" s="22">
        <f t="shared" si="0"/>
        <v>655.49</v>
      </c>
      <c r="F17" s="22">
        <f t="shared" si="0"/>
        <v>708.98500000000013</v>
      </c>
      <c r="G17" s="22">
        <f t="shared" si="0"/>
        <v>544.62666666666667</v>
      </c>
      <c r="L17" s="262" t="s">
        <v>173</v>
      </c>
      <c r="M17" s="263">
        <f>-'Probois 43 - P&amp;L'!D85/1000</f>
        <v>26.236999999999998</v>
      </c>
      <c r="N17" s="263">
        <f>-'Probois 43 - P&amp;L'!E85/1000</f>
        <v>25.181999999999999</v>
      </c>
      <c r="O17" s="263">
        <f>-'Probois 43 - P&amp;L'!F85/1000</f>
        <v>25.248000000000001</v>
      </c>
      <c r="P17" s="257"/>
      <c r="R17" s="32"/>
      <c r="S17" s="32"/>
    </row>
    <row r="18" spans="2:19">
      <c r="B18" s="5" t="s">
        <v>163</v>
      </c>
      <c r="C18" s="22">
        <f>('Probois 43 - Bilan'!D37-'Probois 43 - Bilan'!D18)/1000</f>
        <v>170.79</v>
      </c>
      <c r="D18" s="22">
        <f>('Probois 43 - Bilan'!E37-'Probois 43 - Bilan'!E18)/1000</f>
        <v>299.13299999999998</v>
      </c>
      <c r="E18" s="22">
        <f>('Probois 43 - Bilan'!F37-'Probois 43 - Bilan'!F18)/1000</f>
        <v>24.617999999999999</v>
      </c>
      <c r="F18" s="22">
        <f>E18</f>
        <v>24.617999999999999</v>
      </c>
      <c r="G18" s="22">
        <f>F18</f>
        <v>24.617999999999999</v>
      </c>
      <c r="H18" s="32"/>
      <c r="I18" s="32"/>
      <c r="L18" s="262" t="s">
        <v>729</v>
      </c>
      <c r="M18" s="263">
        <f>'Probois 43 - P&amp;L'!D220/1000</f>
        <v>3.4780000000000002</v>
      </c>
      <c r="N18" s="263">
        <f>'Probois 43 - P&amp;L'!E220/1000</f>
        <v>5.16</v>
      </c>
      <c r="O18" s="263">
        <f>'Probois 43 - P&amp;L'!F220/1000</f>
        <v>8.1590000000000007</v>
      </c>
      <c r="P18" s="257"/>
      <c r="R18" s="32"/>
      <c r="S18" s="32"/>
    </row>
    <row r="19" spans="2:19" ht="15.75" thickBot="1">
      <c r="B19" s="11" t="s">
        <v>100</v>
      </c>
      <c r="C19" s="12">
        <f>C17-C18</f>
        <v>45.120000000000033</v>
      </c>
      <c r="D19" s="12">
        <f>D17-D18</f>
        <v>463.34700000000004</v>
      </c>
      <c r="E19" s="12">
        <f>E17-E18</f>
        <v>630.87199999999996</v>
      </c>
      <c r="F19" s="12">
        <f>F17-F18</f>
        <v>684.36700000000008</v>
      </c>
      <c r="G19" s="12">
        <f>G17-G18</f>
        <v>520.00866666666661</v>
      </c>
      <c r="L19" s="264" t="s">
        <v>727</v>
      </c>
      <c r="M19" s="265">
        <f>SUM(M16:M18)</f>
        <v>72.896999999999991</v>
      </c>
      <c r="N19" s="265">
        <f>SUM(N16:N18)</f>
        <v>182.83799999999999</v>
      </c>
      <c r="O19" s="265">
        <f>SUM(O16:O18)</f>
        <v>164.505</v>
      </c>
      <c r="P19" s="257"/>
    </row>
    <row r="20" spans="2:19" ht="15.75" thickBot="1">
      <c r="B20" s="11" t="s">
        <v>67</v>
      </c>
      <c r="C20" s="12">
        <f>'Probois 43 - Bilan'!D25/1000</f>
        <v>363.12400000000002</v>
      </c>
      <c r="D20" s="12">
        <f>'Probois 43 - Bilan'!E25/1000</f>
        <v>447.12400000000002</v>
      </c>
      <c r="E20" s="12">
        <f>'Probois 43 - Bilan'!F25/1000</f>
        <v>465.60500000000002</v>
      </c>
      <c r="J20" s="3"/>
      <c r="L20" s="262" t="s">
        <v>728</v>
      </c>
      <c r="M20" s="263">
        <v>41.555999999999997</v>
      </c>
      <c r="N20" s="263">
        <v>40.78</v>
      </c>
      <c r="O20" s="263">
        <v>57.064999999999998</v>
      </c>
      <c r="P20" s="32"/>
      <c r="Q20" s="32"/>
    </row>
    <row r="21" spans="2:19">
      <c r="B21" s="3"/>
      <c r="C21" s="3"/>
      <c r="D21" s="3"/>
      <c r="E21" s="3"/>
      <c r="F21" s="3"/>
      <c r="G21" s="3"/>
      <c r="H21" s="3"/>
      <c r="I21" s="3"/>
      <c r="J21" s="3"/>
      <c r="L21" s="67"/>
      <c r="M21" s="67"/>
    </row>
    <row r="22" spans="2:19" s="177" customFormat="1">
      <c r="B22" s="175" t="s">
        <v>256</v>
      </c>
      <c r="C22" s="176" t="s">
        <v>732</v>
      </c>
      <c r="D22" s="175"/>
      <c r="E22" s="175"/>
      <c r="F22" s="175"/>
      <c r="G22" s="175"/>
      <c r="H22" s="175"/>
      <c r="I22" s="175"/>
      <c r="J22" s="175"/>
      <c r="K22" s="71"/>
      <c r="L22" s="215"/>
      <c r="M22" s="67"/>
    </row>
    <row r="23" spans="2:19" s="177" customFormat="1">
      <c r="B23" s="175"/>
      <c r="C23" s="176"/>
      <c r="D23" s="175"/>
      <c r="E23" s="175"/>
      <c r="F23" s="175"/>
      <c r="G23" s="175"/>
      <c r="H23" s="175"/>
      <c r="I23" s="175"/>
      <c r="J23" s="175"/>
      <c r="K23" s="71"/>
      <c r="L23" s="67"/>
      <c r="M23" s="67"/>
    </row>
    <row r="24" spans="2:19">
      <c r="B24" s="3"/>
      <c r="C24" s="3"/>
      <c r="D24" s="3"/>
      <c r="E24" s="3"/>
      <c r="F24" s="3"/>
      <c r="G24" s="3"/>
      <c r="H24" s="3"/>
      <c r="I24" s="3"/>
      <c r="J24" s="3"/>
      <c r="L24" s="67"/>
      <c r="M24" s="67"/>
    </row>
    <row r="25" spans="2:19">
      <c r="B25" s="1" t="s">
        <v>277</v>
      </c>
      <c r="C25" s="21"/>
      <c r="D25" s="21"/>
      <c r="E25" s="21"/>
      <c r="F25" s="21"/>
      <c r="G25" s="256" t="str">
        <f>G13</f>
        <v>PROBOIS</v>
      </c>
      <c r="H25" s="3"/>
      <c r="I25" s="3"/>
      <c r="J25" s="3"/>
      <c r="L25" s="67"/>
      <c r="M25" s="67"/>
    </row>
    <row r="26" spans="2:19">
      <c r="B26" s="7" t="s">
        <v>2</v>
      </c>
      <c r="C26" s="8">
        <f>C14</f>
        <v>44439</v>
      </c>
      <c r="D26" s="8">
        <f t="shared" ref="D26:G26" si="1">D14</f>
        <v>44804</v>
      </c>
      <c r="E26" s="8">
        <f t="shared" si="1"/>
        <v>45169</v>
      </c>
      <c r="F26" s="8" t="str">
        <f t="shared" si="1"/>
        <v>Moy 2 ans</v>
      </c>
      <c r="G26" s="8" t="str">
        <f t="shared" si="1"/>
        <v>Moy 3 ans</v>
      </c>
      <c r="H26" s="3"/>
      <c r="I26" s="3"/>
      <c r="J26" s="3"/>
      <c r="L26" s="67"/>
      <c r="M26" s="67"/>
    </row>
    <row r="27" spans="2:19">
      <c r="B27" s="5" t="s">
        <v>266</v>
      </c>
      <c r="C27" s="22">
        <f>M19</f>
        <v>72.896999999999991</v>
      </c>
      <c r="D27" s="22">
        <f>N19</f>
        <v>182.83799999999999</v>
      </c>
      <c r="E27" s="22">
        <f>O19</f>
        <v>164.505</v>
      </c>
      <c r="F27" s="22">
        <f>AVERAGE(D27:E27)</f>
        <v>173.67149999999998</v>
      </c>
      <c r="G27" s="22">
        <f>AVERAGE(C27:E27)</f>
        <v>140.08000000000001</v>
      </c>
      <c r="H27" s="3"/>
      <c r="I27" s="3"/>
      <c r="J27" s="3"/>
      <c r="L27" s="67"/>
      <c r="M27" s="67"/>
    </row>
    <row r="28" spans="2:19">
      <c r="B28" s="41" t="s">
        <v>98</v>
      </c>
      <c r="C28" s="42">
        <v>5</v>
      </c>
      <c r="D28" s="42">
        <v>5</v>
      </c>
      <c r="E28" s="42">
        <v>5</v>
      </c>
      <c r="F28" s="42">
        <v>5</v>
      </c>
      <c r="G28" s="42">
        <v>5</v>
      </c>
      <c r="H28" s="3"/>
      <c r="I28" s="3"/>
      <c r="J28" s="3"/>
      <c r="L28" s="67"/>
      <c r="M28" s="67"/>
    </row>
    <row r="29" spans="2:19">
      <c r="B29" s="5" t="s">
        <v>99</v>
      </c>
      <c r="C29" s="22">
        <f>C27*C28</f>
        <v>364.48499999999996</v>
      </c>
      <c r="D29" s="22">
        <f t="shared" ref="D29:G29" si="2">D27*D28</f>
        <v>914.18999999999994</v>
      </c>
      <c r="E29" s="22">
        <f t="shared" si="2"/>
        <v>822.52499999999998</v>
      </c>
      <c r="F29" s="22">
        <f t="shared" si="2"/>
        <v>868.35749999999985</v>
      </c>
      <c r="G29" s="22">
        <f t="shared" si="2"/>
        <v>700.40000000000009</v>
      </c>
      <c r="H29" s="3"/>
      <c r="I29" s="3"/>
      <c r="J29" s="3"/>
      <c r="L29" s="67"/>
      <c r="M29" s="67"/>
    </row>
    <row r="30" spans="2:19">
      <c r="B30" s="5" t="s">
        <v>163</v>
      </c>
      <c r="C30" s="22">
        <f>C18+M20</f>
        <v>212.346</v>
      </c>
      <c r="D30" s="22">
        <f t="shared" ref="D30:E30" si="3">D18+N20</f>
        <v>339.91300000000001</v>
      </c>
      <c r="E30" s="22">
        <f t="shared" si="3"/>
        <v>81.682999999999993</v>
      </c>
      <c r="F30" s="22">
        <f>E30</f>
        <v>81.682999999999993</v>
      </c>
      <c r="G30" s="22">
        <f>F30</f>
        <v>81.682999999999993</v>
      </c>
      <c r="H30" s="3"/>
      <c r="I30" s="3"/>
      <c r="J30" s="3"/>
      <c r="L30" s="67"/>
      <c r="M30" s="67"/>
    </row>
    <row r="31" spans="2:19" ht="15.75" thickBot="1">
      <c r="B31" s="11" t="s">
        <v>100</v>
      </c>
      <c r="C31" s="12">
        <f>C29-C30</f>
        <v>152.13899999999995</v>
      </c>
      <c r="D31" s="12">
        <f t="shared" ref="D31:G31" si="4">D29-D30</f>
        <v>574.27699999999993</v>
      </c>
      <c r="E31" s="12">
        <f t="shared" si="4"/>
        <v>740.84199999999998</v>
      </c>
      <c r="F31" s="12">
        <f t="shared" si="4"/>
        <v>786.67449999999985</v>
      </c>
      <c r="G31" s="12">
        <f t="shared" si="4"/>
        <v>618.7170000000001</v>
      </c>
      <c r="H31" s="3"/>
      <c r="I31" s="3"/>
      <c r="J31" s="3"/>
      <c r="L31" s="67"/>
      <c r="M31" s="67"/>
    </row>
    <row r="32" spans="2:19" ht="15.75" thickBot="1">
      <c r="B32" s="11" t="s">
        <v>67</v>
      </c>
      <c r="C32" s="12">
        <f>C20</f>
        <v>363.12400000000002</v>
      </c>
      <c r="D32" s="12">
        <f>D20</f>
        <v>447.12400000000002</v>
      </c>
      <c r="E32" s="12">
        <f>E20</f>
        <v>465.60500000000002</v>
      </c>
      <c r="H32" s="3"/>
      <c r="I32" s="3"/>
      <c r="J32" s="3"/>
      <c r="L32" s="67"/>
      <c r="M32" s="67"/>
    </row>
    <row r="33" spans="2:19">
      <c r="B33" s="3"/>
      <c r="C33" s="3"/>
      <c r="D33" s="3"/>
      <c r="E33" s="3"/>
      <c r="F33" s="3"/>
      <c r="G33" s="3"/>
      <c r="H33" s="3"/>
      <c r="I33" s="3"/>
      <c r="J33" s="3"/>
      <c r="L33" s="67"/>
      <c r="M33" s="67"/>
    </row>
    <row r="34" spans="2:19">
      <c r="B34" s="175" t="s">
        <v>256</v>
      </c>
      <c r="C34" s="176" t="s">
        <v>730</v>
      </c>
      <c r="D34" s="3"/>
      <c r="E34" s="3" t="s">
        <v>731</v>
      </c>
      <c r="F34" s="3"/>
      <c r="G34" s="3"/>
      <c r="H34" s="3"/>
      <c r="I34" s="3"/>
      <c r="J34" s="3"/>
      <c r="L34" s="67"/>
      <c r="M34" s="67"/>
    </row>
    <row r="35" spans="2:19">
      <c r="B35" s="3"/>
      <c r="C35" s="3"/>
      <c r="D35" s="3"/>
      <c r="E35" s="3"/>
      <c r="F35" s="3"/>
      <c r="G35" s="3"/>
      <c r="H35" s="3"/>
      <c r="I35" s="3"/>
      <c r="J35" s="3"/>
      <c r="L35" s="67"/>
      <c r="M35" s="67"/>
    </row>
    <row r="36" spans="2:19">
      <c r="B36" s="3"/>
      <c r="C36" s="3"/>
      <c r="D36" s="3"/>
      <c r="E36" s="3"/>
      <c r="F36" s="3"/>
      <c r="G36" s="3"/>
      <c r="H36" s="3"/>
      <c r="I36" s="3"/>
      <c r="J36" s="3"/>
      <c r="L36" s="67"/>
      <c r="M36" s="67"/>
    </row>
    <row r="37" spans="2:19" ht="28.5">
      <c r="B37" s="352" t="s">
        <v>274</v>
      </c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/>
    </row>
    <row r="38" spans="2:19">
      <c r="B38" s="3"/>
      <c r="C38" s="3"/>
      <c r="D38" s="3"/>
      <c r="E38" s="3"/>
      <c r="F38" s="3"/>
      <c r="G38" s="3"/>
      <c r="H38" s="3"/>
      <c r="I38" s="3"/>
      <c r="J38" s="3"/>
      <c r="L38" s="67"/>
      <c r="M38" s="67"/>
    </row>
    <row r="39" spans="2:19">
      <c r="B39" s="1" t="s">
        <v>276</v>
      </c>
      <c r="C39" s="21"/>
      <c r="D39" s="21"/>
      <c r="E39" s="21"/>
      <c r="F39" s="21"/>
      <c r="G39" s="256" t="s">
        <v>274</v>
      </c>
      <c r="L39" s="259" t="s">
        <v>726</v>
      </c>
      <c r="M39" s="259"/>
      <c r="N39" s="259"/>
      <c r="O39" s="266" t="s">
        <v>274</v>
      </c>
      <c r="P39" s="67"/>
    </row>
    <row r="40" spans="2:19">
      <c r="B40" s="7" t="s">
        <v>2</v>
      </c>
      <c r="C40" s="8">
        <v>44439</v>
      </c>
      <c r="D40" s="8">
        <v>44804</v>
      </c>
      <c r="E40" s="8">
        <v>45169</v>
      </c>
      <c r="F40" s="8" t="s">
        <v>97</v>
      </c>
      <c r="G40" s="8" t="s">
        <v>255</v>
      </c>
      <c r="I40" s="8" t="s">
        <v>267</v>
      </c>
      <c r="L40" s="350" t="s">
        <v>2</v>
      </c>
      <c r="M40" s="260">
        <f>C40</f>
        <v>44439</v>
      </c>
      <c r="N40" s="260">
        <f>D40</f>
        <v>44804</v>
      </c>
      <c r="O40" s="260">
        <f>E40</f>
        <v>45169</v>
      </c>
      <c r="P40" s="54"/>
      <c r="R40" s="54"/>
      <c r="S40" s="32"/>
    </row>
    <row r="41" spans="2:19">
      <c r="B41" s="5" t="s">
        <v>24</v>
      </c>
      <c r="C41" s="22">
        <f>'BSB - P&amp;L'!D188/1000</f>
        <v>72.896000000000001</v>
      </c>
      <c r="D41" s="22">
        <f>'BSB - P&amp;L'!E188/1000</f>
        <v>138.56399999999999</v>
      </c>
      <c r="E41" s="22">
        <f>'BSB - P&amp;L'!F188/1000</f>
        <v>150.06299999999999</v>
      </c>
      <c r="F41" s="22">
        <f>AVERAGE(D41:E41)</f>
        <v>144.31349999999998</v>
      </c>
      <c r="G41" s="22">
        <f>AVERAGE(C41:E41)</f>
        <v>120.50766666666665</v>
      </c>
      <c r="L41" s="351"/>
      <c r="M41" s="261" t="s">
        <v>3</v>
      </c>
      <c r="N41" s="261" t="s">
        <v>3</v>
      </c>
      <c r="O41" s="261" t="s">
        <v>3</v>
      </c>
      <c r="P41" s="257"/>
      <c r="R41" s="32"/>
      <c r="S41" s="32"/>
    </row>
    <row r="42" spans="2:19">
      <c r="B42" s="41" t="s">
        <v>98</v>
      </c>
      <c r="C42" s="42">
        <v>5</v>
      </c>
      <c r="D42" s="42">
        <f>C42</f>
        <v>5</v>
      </c>
      <c r="E42" s="42">
        <f>D42</f>
        <v>5</v>
      </c>
      <c r="F42" s="42">
        <f>E42</f>
        <v>5</v>
      </c>
      <c r="G42" s="42">
        <f>F42</f>
        <v>5</v>
      </c>
      <c r="I42" s="42">
        <f>AVERAGE(C42:G42)</f>
        <v>5</v>
      </c>
      <c r="L42" s="262" t="s">
        <v>24</v>
      </c>
      <c r="M42" s="263">
        <f>C41</f>
        <v>72.896000000000001</v>
      </c>
      <c r="N42" s="263">
        <f>D41</f>
        <v>138.56399999999999</v>
      </c>
      <c r="O42" s="263">
        <f>E41</f>
        <v>150.06299999999999</v>
      </c>
      <c r="P42" s="258"/>
      <c r="R42" s="258"/>
      <c r="S42" s="32"/>
    </row>
    <row r="43" spans="2:19">
      <c r="B43" s="5" t="s">
        <v>99</v>
      </c>
      <c r="C43" s="22">
        <f>C41*C42</f>
        <v>364.48</v>
      </c>
      <c r="D43" s="22">
        <f t="shared" ref="D43" si="5">D41*D42</f>
        <v>692.81999999999994</v>
      </c>
      <c r="E43" s="22">
        <f t="shared" ref="E43" si="6">E41*E42</f>
        <v>750.31499999999994</v>
      </c>
      <c r="F43" s="22">
        <f t="shared" ref="F43" si="7">F41*F42</f>
        <v>721.56749999999988</v>
      </c>
      <c r="G43" s="22">
        <f t="shared" ref="G43" si="8">G41*G42</f>
        <v>602.5383333333333</v>
      </c>
      <c r="L43" s="262" t="s">
        <v>173</v>
      </c>
      <c r="M43" s="263">
        <f>-'BSB - P&amp;L'!D92/1000</f>
        <v>38.926000000000002</v>
      </c>
      <c r="N43" s="263">
        <f>-'BSB - P&amp;L'!E92/1000</f>
        <v>118.988</v>
      </c>
      <c r="O43" s="263">
        <f>-'BSB - P&amp;L'!F92/1000</f>
        <v>122.271</v>
      </c>
      <c r="P43" s="257"/>
      <c r="R43" s="32"/>
      <c r="S43" s="32"/>
    </row>
    <row r="44" spans="2:19">
      <c r="B44" s="5" t="s">
        <v>163</v>
      </c>
      <c r="C44" s="22">
        <f>('BSB - Bilan'!D37-'BSB - Bilan'!D18)/1000</f>
        <v>520.69500000000005</v>
      </c>
      <c r="D44" s="22">
        <f>('BSB - Bilan'!E37-'BSB - Bilan'!E18)/1000</f>
        <v>452.61799999999999</v>
      </c>
      <c r="E44" s="22">
        <f>('BSB - Bilan'!F37-'BSB - Bilan'!F18)/1000</f>
        <v>690.52700000000004</v>
      </c>
      <c r="F44" s="22">
        <f>E44</f>
        <v>690.52700000000004</v>
      </c>
      <c r="G44" s="22">
        <f>F44</f>
        <v>690.52700000000004</v>
      </c>
      <c r="H44" s="32"/>
      <c r="I44" s="32"/>
      <c r="L44" s="262" t="s">
        <v>729</v>
      </c>
      <c r="M44" s="263">
        <f>'BSB - P&amp;L'!D191/1000</f>
        <v>6.0000000000000001E-3</v>
      </c>
      <c r="N44" s="263">
        <f>'BSB - P&amp;L'!E191/1000</f>
        <v>3.0640000000000001</v>
      </c>
      <c r="O44" s="263">
        <f>'BSB - P&amp;L'!F191/1000</f>
        <v>1.002</v>
      </c>
      <c r="P44" s="257"/>
      <c r="R44" s="32"/>
      <c r="S44" s="32"/>
    </row>
    <row r="45" spans="2:19" ht="15.75" thickBot="1">
      <c r="B45" s="11" t="s">
        <v>100</v>
      </c>
      <c r="C45" s="12">
        <f>C43-C44</f>
        <v>-156.21500000000003</v>
      </c>
      <c r="D45" s="12">
        <f>D43-D44</f>
        <v>240.20199999999994</v>
      </c>
      <c r="E45" s="12">
        <f>E43-E44</f>
        <v>59.787999999999897</v>
      </c>
      <c r="F45" s="12">
        <f>F43-F44</f>
        <v>31.040499999999838</v>
      </c>
      <c r="G45" s="12">
        <f>G43-G44</f>
        <v>-87.988666666666745</v>
      </c>
      <c r="L45" s="264" t="s">
        <v>727</v>
      </c>
      <c r="M45" s="265">
        <f>SUM(M42:M44)</f>
        <v>111.828</v>
      </c>
      <c r="N45" s="265">
        <f>SUM(N42:N44)</f>
        <v>260.61600000000004</v>
      </c>
      <c r="O45" s="265">
        <f>SUM(O42:O44)</f>
        <v>273.33600000000001</v>
      </c>
      <c r="P45" s="257"/>
    </row>
    <row r="46" spans="2:19" ht="15.75" thickBot="1">
      <c r="B46" s="11" t="s">
        <v>67</v>
      </c>
      <c r="C46" s="12">
        <f>'BSB - Bilan'!D25/1000</f>
        <v>186.905</v>
      </c>
      <c r="D46" s="12">
        <f>'BSB - Bilan'!E25/1000</f>
        <v>266.70499999999998</v>
      </c>
      <c r="E46" s="12">
        <f>'BSB - Bilan'!F25/1000</f>
        <v>357.75099999999998</v>
      </c>
      <c r="J46" s="3"/>
      <c r="L46" s="262" t="s">
        <v>728</v>
      </c>
      <c r="M46" s="263">
        <v>1094.6489999999999</v>
      </c>
      <c r="N46" s="263">
        <f>997226/1000</f>
        <v>997.226</v>
      </c>
      <c r="O46" s="263">
        <f>N46-O43</f>
        <v>874.95500000000004</v>
      </c>
      <c r="P46" s="32" t="s">
        <v>734</v>
      </c>
      <c r="Q46" s="32"/>
    </row>
    <row r="47" spans="2:19">
      <c r="B47" s="3"/>
      <c r="C47" s="3"/>
      <c r="D47" s="3"/>
      <c r="E47" s="3"/>
      <c r="F47" s="3"/>
      <c r="G47" s="3"/>
      <c r="H47" s="3"/>
      <c r="I47" s="3"/>
      <c r="J47" s="3"/>
      <c r="L47" s="67"/>
      <c r="M47" s="67"/>
    </row>
    <row r="48" spans="2:19" s="177" customFormat="1">
      <c r="B48" s="175" t="s">
        <v>256</v>
      </c>
      <c r="C48" s="267">
        <f>E46</f>
        <v>357.75099999999998</v>
      </c>
      <c r="D48" s="175"/>
      <c r="E48" s="175" t="s">
        <v>733</v>
      </c>
      <c r="F48" s="175"/>
      <c r="G48" s="175"/>
      <c r="H48" s="175"/>
      <c r="I48" s="175"/>
      <c r="J48" s="175"/>
      <c r="K48" s="71"/>
      <c r="L48" s="215"/>
      <c r="M48" s="67"/>
    </row>
    <row r="49" spans="2:15" s="177" customFormat="1">
      <c r="B49" s="175"/>
      <c r="C49" s="176"/>
      <c r="D49" s="175"/>
      <c r="E49" s="175"/>
      <c r="F49" s="175"/>
      <c r="G49" s="175"/>
      <c r="H49" s="175"/>
      <c r="I49" s="175"/>
      <c r="J49" s="175"/>
      <c r="K49" s="71"/>
      <c r="L49" s="67"/>
      <c r="M49" s="67"/>
    </row>
    <row r="50" spans="2:15">
      <c r="B50" s="3"/>
      <c r="C50" s="3"/>
      <c r="D50" s="3"/>
      <c r="E50" s="3"/>
      <c r="F50" s="3"/>
      <c r="G50" s="3"/>
      <c r="H50" s="3"/>
      <c r="I50" s="3"/>
      <c r="J50" s="3"/>
      <c r="L50" s="67"/>
      <c r="M50" s="67"/>
    </row>
    <row r="51" spans="2:15">
      <c r="B51" s="1" t="s">
        <v>277</v>
      </c>
      <c r="C51" s="21"/>
      <c r="D51" s="21"/>
      <c r="E51" s="21"/>
      <c r="F51" s="21"/>
      <c r="G51" s="256" t="str">
        <f>G39</f>
        <v>BSB</v>
      </c>
      <c r="H51" s="3"/>
      <c r="I51" s="3"/>
      <c r="J51" s="3"/>
      <c r="L51" s="67"/>
      <c r="M51" s="67"/>
    </row>
    <row r="52" spans="2:15">
      <c r="B52" s="7" t="s">
        <v>2</v>
      </c>
      <c r="C52" s="8">
        <f>C40</f>
        <v>44439</v>
      </c>
      <c r="D52" s="8">
        <f t="shared" ref="D52:G52" si="9">D40</f>
        <v>44804</v>
      </c>
      <c r="E52" s="8">
        <f t="shared" si="9"/>
        <v>45169</v>
      </c>
      <c r="F52" s="8" t="str">
        <f t="shared" si="9"/>
        <v>Moy 2 ans</v>
      </c>
      <c r="G52" s="8" t="str">
        <f t="shared" si="9"/>
        <v>Moy 3 ans</v>
      </c>
      <c r="H52" s="3"/>
      <c r="I52" s="3"/>
      <c r="J52" s="3"/>
      <c r="L52" s="67"/>
      <c r="M52" s="67"/>
    </row>
    <row r="53" spans="2:15">
      <c r="B53" s="5" t="s">
        <v>266</v>
      </c>
      <c r="C53" s="22">
        <f>M45</f>
        <v>111.828</v>
      </c>
      <c r="D53" s="22">
        <f>N45</f>
        <v>260.61600000000004</v>
      </c>
      <c r="E53" s="22">
        <f>O45</f>
        <v>273.33600000000001</v>
      </c>
      <c r="F53" s="22">
        <f>AVERAGE(D53:E53)</f>
        <v>266.976</v>
      </c>
      <c r="G53" s="22">
        <f>AVERAGE(C53:E53)</f>
        <v>215.26000000000002</v>
      </c>
      <c r="H53" s="3"/>
      <c r="I53" s="3"/>
      <c r="J53" s="3" t="s">
        <v>749</v>
      </c>
      <c r="L53" s="67"/>
      <c r="M53" s="67"/>
    </row>
    <row r="54" spans="2:15">
      <c r="B54" s="41" t="s">
        <v>98</v>
      </c>
      <c r="C54" s="42">
        <v>5</v>
      </c>
      <c r="D54" s="42">
        <v>5</v>
      </c>
      <c r="E54" s="42">
        <v>5</v>
      </c>
      <c r="F54" s="42">
        <v>5</v>
      </c>
      <c r="G54" s="42">
        <v>5</v>
      </c>
      <c r="H54" s="3"/>
      <c r="I54" s="3"/>
      <c r="J54" s="3"/>
      <c r="L54" s="67"/>
      <c r="M54" s="67"/>
    </row>
    <row r="55" spans="2:15">
      <c r="B55" s="5" t="s">
        <v>99</v>
      </c>
      <c r="C55" s="22">
        <f>C53*C54</f>
        <v>559.14</v>
      </c>
      <c r="D55" s="22">
        <f t="shared" ref="D55" si="10">D53*D54</f>
        <v>1303.0800000000002</v>
      </c>
      <c r="E55" s="22">
        <f t="shared" ref="E55" si="11">E53*E54</f>
        <v>1366.68</v>
      </c>
      <c r="F55" s="22">
        <f t="shared" ref="F55" si="12">F53*F54</f>
        <v>1334.88</v>
      </c>
      <c r="G55" s="22">
        <f t="shared" ref="G55" si="13">G53*G54</f>
        <v>1076.3000000000002</v>
      </c>
      <c r="H55" s="3"/>
      <c r="I55" s="3"/>
      <c r="J55" s="3"/>
      <c r="L55" s="67"/>
      <c r="M55" s="67"/>
    </row>
    <row r="56" spans="2:15">
      <c r="B56" s="5" t="s">
        <v>163</v>
      </c>
      <c r="C56" s="22">
        <f>C44+M46</f>
        <v>1615.3440000000001</v>
      </c>
      <c r="D56" s="22">
        <f t="shared" ref="D56" si="14">D44+N46</f>
        <v>1449.8440000000001</v>
      </c>
      <c r="E56" s="22">
        <f t="shared" ref="E56" si="15">E44+O46</f>
        <v>1565.482</v>
      </c>
      <c r="F56" s="22">
        <f>E56</f>
        <v>1565.482</v>
      </c>
      <c r="G56" s="22">
        <f>F56</f>
        <v>1565.482</v>
      </c>
      <c r="H56" s="3"/>
      <c r="I56" s="3"/>
      <c r="J56" s="3"/>
      <c r="L56" s="67"/>
      <c r="M56" s="67"/>
    </row>
    <row r="57" spans="2:15" ht="15.75" thickBot="1">
      <c r="B57" s="11" t="s">
        <v>100</v>
      </c>
      <c r="C57" s="12">
        <f>C55-C56</f>
        <v>-1056.2040000000002</v>
      </c>
      <c r="D57" s="12">
        <f t="shared" ref="D57" si="16">D55-D56</f>
        <v>-146.7639999999999</v>
      </c>
      <c r="E57" s="12">
        <f t="shared" ref="E57" si="17">E55-E56</f>
        <v>-198.80199999999991</v>
      </c>
      <c r="F57" s="12">
        <f t="shared" ref="F57" si="18">F55-F56</f>
        <v>-230.60199999999986</v>
      </c>
      <c r="G57" s="12">
        <f t="shared" ref="G57" si="19">G55-G56</f>
        <v>-489.18199999999979</v>
      </c>
      <c r="H57" s="3"/>
      <c r="I57" s="3"/>
      <c r="J57" s="3"/>
      <c r="L57" s="67"/>
      <c r="M57" s="67"/>
    </row>
    <row r="58" spans="2:15" ht="15.75" thickBot="1">
      <c r="B58" s="11" t="s">
        <v>67</v>
      </c>
      <c r="C58" s="12">
        <f>C46</f>
        <v>186.905</v>
      </c>
      <c r="D58" s="12">
        <f>D46</f>
        <v>266.70499999999998</v>
      </c>
      <c r="E58" s="12">
        <f>E46</f>
        <v>357.75099999999998</v>
      </c>
      <c r="H58" s="3"/>
      <c r="I58" s="3"/>
      <c r="J58" s="3"/>
      <c r="L58" s="67"/>
      <c r="M58" s="67"/>
    </row>
    <row r="59" spans="2:15">
      <c r="B59" s="3"/>
      <c r="C59" s="3"/>
      <c r="D59" s="3"/>
      <c r="E59" s="3"/>
      <c r="F59" s="3"/>
      <c r="G59" s="3"/>
      <c r="H59" s="3"/>
      <c r="I59" s="3"/>
      <c r="J59" s="3"/>
      <c r="L59" s="67"/>
      <c r="M59" s="67"/>
    </row>
    <row r="60" spans="2:15">
      <c r="B60" s="175" t="s">
        <v>256</v>
      </c>
      <c r="C60" s="267">
        <f>E58</f>
        <v>357.75099999999998</v>
      </c>
      <c r="D60" s="3"/>
      <c r="E60" s="175" t="s">
        <v>733</v>
      </c>
      <c r="F60" s="3"/>
      <c r="G60" s="3"/>
      <c r="H60" s="3"/>
      <c r="I60" s="3"/>
      <c r="J60" s="3"/>
      <c r="L60" s="67"/>
      <c r="M60" s="67"/>
    </row>
    <row r="61" spans="2:15">
      <c r="B61" s="3"/>
      <c r="C61" s="3"/>
      <c r="D61" s="3"/>
      <c r="E61" s="3"/>
      <c r="F61" s="3"/>
      <c r="G61" s="3"/>
      <c r="H61" s="3"/>
      <c r="I61" s="3"/>
      <c r="J61" s="3"/>
      <c r="L61" s="67"/>
      <c r="M61" s="67"/>
    </row>
    <row r="62" spans="2:15">
      <c r="B62" s="3"/>
      <c r="C62" s="3"/>
      <c r="D62" s="3"/>
      <c r="E62" s="3"/>
      <c r="F62" s="3"/>
      <c r="G62" s="3"/>
      <c r="H62" s="3"/>
      <c r="I62" s="3"/>
      <c r="J62" s="3"/>
      <c r="L62" s="67"/>
      <c r="M62" s="67"/>
    </row>
    <row r="63" spans="2:15" ht="28.5">
      <c r="B63" s="352" t="s">
        <v>735</v>
      </c>
      <c r="C63" s="352"/>
      <c r="D63" s="352"/>
      <c r="E63" s="352"/>
      <c r="F63" s="352"/>
      <c r="G63" s="352"/>
      <c r="H63" s="352"/>
      <c r="I63" s="352"/>
      <c r="J63" s="352"/>
      <c r="K63" s="352"/>
      <c r="L63" s="352"/>
      <c r="M63" s="352"/>
      <c r="N63" s="352"/>
      <c r="O63" s="352"/>
    </row>
    <row r="64" spans="2:15">
      <c r="B64" s="3"/>
      <c r="C64" s="3"/>
      <c r="D64" s="3"/>
      <c r="E64" s="3"/>
      <c r="F64" s="3"/>
      <c r="G64" s="3"/>
      <c r="H64" s="3"/>
      <c r="I64" s="3"/>
      <c r="J64" s="3"/>
      <c r="L64" s="67"/>
      <c r="M64" s="67"/>
    </row>
    <row r="65" spans="2:19">
      <c r="B65" s="1" t="s">
        <v>276</v>
      </c>
      <c r="C65" s="21"/>
      <c r="D65" s="21"/>
      <c r="E65" s="21"/>
      <c r="F65" s="21"/>
      <c r="G65" s="256" t="s">
        <v>735</v>
      </c>
      <c r="L65" s="259" t="s">
        <v>726</v>
      </c>
      <c r="M65" s="259"/>
      <c r="N65" s="259"/>
      <c r="O65" s="266" t="str">
        <f>G65</f>
        <v>EMB</v>
      </c>
      <c r="P65" s="67"/>
    </row>
    <row r="66" spans="2:19">
      <c r="B66" s="7" t="s">
        <v>2</v>
      </c>
      <c r="C66" s="8">
        <v>44439</v>
      </c>
      <c r="D66" s="8">
        <v>44804</v>
      </c>
      <c r="E66" s="8">
        <v>45169</v>
      </c>
      <c r="F66" s="8" t="s">
        <v>97</v>
      </c>
      <c r="G66" s="8" t="s">
        <v>255</v>
      </c>
      <c r="I66" s="8" t="s">
        <v>267</v>
      </c>
      <c r="L66" s="350" t="s">
        <v>2</v>
      </c>
      <c r="M66" s="260">
        <f>C66</f>
        <v>44439</v>
      </c>
      <c r="N66" s="260">
        <f>D66</f>
        <v>44804</v>
      </c>
      <c r="O66" s="260">
        <f>E66</f>
        <v>45169</v>
      </c>
      <c r="P66" s="54"/>
      <c r="R66" s="54"/>
      <c r="S66" s="32"/>
    </row>
    <row r="67" spans="2:19">
      <c r="B67" s="5" t="s">
        <v>24</v>
      </c>
      <c r="C67" s="22">
        <f>'SAS EMB - P&amp;L'!C170/1000</f>
        <v>1.722</v>
      </c>
      <c r="D67" s="22">
        <f>'SAS EMB - P&amp;L'!D170/1000</f>
        <v>145.928</v>
      </c>
      <c r="E67" s="22">
        <f>'SAS EMB - P&amp;L'!E170/1000</f>
        <v>172.67699999999999</v>
      </c>
      <c r="F67" s="22">
        <f>AVERAGE(D67:E67)</f>
        <v>159.30250000000001</v>
      </c>
      <c r="G67" s="22">
        <f>AVERAGE(C67:E67)</f>
        <v>106.77566666666667</v>
      </c>
      <c r="L67" s="351"/>
      <c r="M67" s="261" t="s">
        <v>3</v>
      </c>
      <c r="N67" s="261" t="s">
        <v>3</v>
      </c>
      <c r="O67" s="261" t="s">
        <v>3</v>
      </c>
      <c r="P67" s="257"/>
      <c r="R67" s="32"/>
      <c r="S67" s="32"/>
    </row>
    <row r="68" spans="2:19">
      <c r="B68" s="41" t="s">
        <v>98</v>
      </c>
      <c r="C68" s="42">
        <v>5</v>
      </c>
      <c r="D68" s="42">
        <f>C68</f>
        <v>5</v>
      </c>
      <c r="E68" s="42">
        <f>D68</f>
        <v>5</v>
      </c>
      <c r="F68" s="42">
        <f>E68</f>
        <v>5</v>
      </c>
      <c r="G68" s="42">
        <f>F68</f>
        <v>5</v>
      </c>
      <c r="I68" s="42">
        <f>AVERAGE(C68:G68)</f>
        <v>5</v>
      </c>
      <c r="L68" s="262" t="s">
        <v>24</v>
      </c>
      <c r="M68" s="263">
        <f>C67</f>
        <v>1.722</v>
      </c>
      <c r="N68" s="263">
        <f>D67</f>
        <v>145.928</v>
      </c>
      <c r="O68" s="263">
        <f>E67</f>
        <v>172.67699999999999</v>
      </c>
      <c r="P68" s="258"/>
      <c r="R68" s="258"/>
      <c r="S68" s="32"/>
    </row>
    <row r="69" spans="2:19">
      <c r="B69" s="5" t="s">
        <v>99</v>
      </c>
      <c r="C69" s="22">
        <f>C67*C68</f>
        <v>8.61</v>
      </c>
      <c r="D69" s="22">
        <f t="shared" ref="D69" si="20">D67*D68</f>
        <v>729.64</v>
      </c>
      <c r="E69" s="22">
        <f t="shared" ref="E69" si="21">E67*E68</f>
        <v>863.38499999999999</v>
      </c>
      <c r="F69" s="22">
        <f t="shared" ref="F69" si="22">F67*F68</f>
        <v>796.51250000000005</v>
      </c>
      <c r="G69" s="22">
        <f t="shared" ref="G69" si="23">G67*G68</f>
        <v>533.87833333333333</v>
      </c>
      <c r="L69" s="262" t="s">
        <v>173</v>
      </c>
      <c r="M69" s="263">
        <f>-'SAS EMB - P&amp;L'!C54/1000</f>
        <v>15.096</v>
      </c>
      <c r="N69" s="263">
        <f>-'SAS EMB - P&amp;L'!D54/1000</f>
        <v>6.6790000000000003</v>
      </c>
      <c r="O69" s="263">
        <f>-'SAS EMB - P&amp;L'!E54/1000</f>
        <v>4.766</v>
      </c>
      <c r="P69" s="257"/>
      <c r="R69" s="32"/>
      <c r="S69" s="32"/>
    </row>
    <row r="70" spans="2:19">
      <c r="B70" s="5" t="s">
        <v>163</v>
      </c>
      <c r="C70" s="22">
        <f>('SAS EMB - Bilan'!C37-'SAS EMB - Bilan'!C18)/1000</f>
        <v>-38.274999999999999</v>
      </c>
      <c r="D70" s="22">
        <f>('SAS EMB - Bilan'!D37-'SAS EMB - Bilan'!D18)/1000</f>
        <v>-9.3219999999999992</v>
      </c>
      <c r="E70" s="22">
        <f>('SAS EMB - Bilan'!E37-'SAS EMB - Bilan'!E18)/1000</f>
        <v>-193.82</v>
      </c>
      <c r="F70" s="22">
        <f>E70</f>
        <v>-193.82</v>
      </c>
      <c r="G70" s="22">
        <f>F70</f>
        <v>-193.82</v>
      </c>
      <c r="H70" s="32"/>
      <c r="I70" s="32"/>
      <c r="L70" s="262" t="s">
        <v>729</v>
      </c>
      <c r="M70" s="263">
        <f>'SAS EMB - P&amp;L'!C172/1000</f>
        <v>17.097999999999999</v>
      </c>
      <c r="N70" s="263">
        <f>'SAS EMB - P&amp;L'!D172/1000</f>
        <v>11.916</v>
      </c>
      <c r="O70" s="263">
        <f>'SAS EMB - P&amp;L'!E172/1000</f>
        <v>16.859000000000002</v>
      </c>
      <c r="P70" s="257"/>
      <c r="R70" s="32"/>
      <c r="S70" s="32"/>
    </row>
    <row r="71" spans="2:19" ht="15.75" thickBot="1">
      <c r="B71" s="11" t="s">
        <v>100</v>
      </c>
      <c r="C71" s="12">
        <f>C69-C70</f>
        <v>46.884999999999998</v>
      </c>
      <c r="D71" s="12">
        <f>D69-D70</f>
        <v>738.96199999999999</v>
      </c>
      <c r="E71" s="12">
        <f>E69-E70</f>
        <v>1057.2049999999999</v>
      </c>
      <c r="F71" s="12">
        <f>F69-F70</f>
        <v>990.33249999999998</v>
      </c>
      <c r="G71" s="12">
        <f>G69-G70</f>
        <v>727.69833333333327</v>
      </c>
      <c r="L71" s="264" t="s">
        <v>727</v>
      </c>
      <c r="M71" s="265">
        <f>SUM(M68:M70)</f>
        <v>33.915999999999997</v>
      </c>
      <c r="N71" s="265">
        <f>SUM(N68:N70)</f>
        <v>164.523</v>
      </c>
      <c r="O71" s="265">
        <f>SUM(O68:O70)</f>
        <v>194.30199999999999</v>
      </c>
      <c r="P71" s="257"/>
    </row>
    <row r="72" spans="2:19" ht="15.75" thickBot="1">
      <c r="B72" s="11" t="s">
        <v>67</v>
      </c>
      <c r="C72" s="12">
        <f>'SAS EMB - Bilan'!C25/1000</f>
        <v>385.99400000000003</v>
      </c>
      <c r="D72" s="12">
        <f>'SAS EMB - Bilan'!D25/1000</f>
        <v>491.267</v>
      </c>
      <c r="E72" s="12">
        <f>'SAS EMB - Bilan'!E25/1000</f>
        <v>502.33199999999999</v>
      </c>
      <c r="J72" s="3"/>
      <c r="L72" s="262" t="s">
        <v>728</v>
      </c>
      <c r="M72" s="263">
        <f>N72+M69</f>
        <v>21.898</v>
      </c>
      <c r="N72" s="263">
        <v>6.8019999999999996</v>
      </c>
      <c r="O72" s="263">
        <f>N72-O69</f>
        <v>2.0359999999999996</v>
      </c>
      <c r="P72" s="32"/>
      <c r="Q72" s="32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L73" s="67"/>
      <c r="M73" s="67"/>
    </row>
    <row r="74" spans="2:19" s="177" customFormat="1">
      <c r="B74" s="175" t="s">
        <v>256</v>
      </c>
      <c r="C74" s="267" t="s">
        <v>736</v>
      </c>
      <c r="D74" s="175"/>
      <c r="E74" s="175"/>
      <c r="F74" s="175"/>
      <c r="G74" s="175"/>
      <c r="H74" s="175"/>
      <c r="I74" s="175"/>
      <c r="J74" s="175"/>
      <c r="K74" s="71"/>
      <c r="L74" s="215"/>
      <c r="M74" s="67"/>
    </row>
    <row r="75" spans="2:19" s="177" customFormat="1">
      <c r="B75" s="175"/>
      <c r="C75" s="176"/>
      <c r="D75" s="175"/>
      <c r="E75" s="175"/>
      <c r="F75" s="175"/>
      <c r="G75" s="175"/>
      <c r="H75" s="175"/>
      <c r="I75" s="175"/>
      <c r="J75" s="175"/>
      <c r="K75" s="71"/>
      <c r="L75" s="67"/>
      <c r="M75" s="67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L76" s="67"/>
      <c r="M76" s="67"/>
    </row>
    <row r="77" spans="2:19">
      <c r="B77" s="1" t="s">
        <v>277</v>
      </c>
      <c r="C77" s="21"/>
      <c r="D77" s="21"/>
      <c r="E77" s="21"/>
      <c r="F77" s="21"/>
      <c r="G77" s="256" t="str">
        <f>G65</f>
        <v>EMB</v>
      </c>
      <c r="H77" s="3"/>
      <c r="I77" s="3"/>
      <c r="J77" s="3"/>
      <c r="L77" s="67"/>
      <c r="M77" s="67"/>
    </row>
    <row r="78" spans="2:19">
      <c r="B78" s="7" t="s">
        <v>2</v>
      </c>
      <c r="C78" s="8">
        <f>C66</f>
        <v>44439</v>
      </c>
      <c r="D78" s="8">
        <f t="shared" ref="D78:G78" si="24">D66</f>
        <v>44804</v>
      </c>
      <c r="E78" s="8">
        <f t="shared" si="24"/>
        <v>45169</v>
      </c>
      <c r="F78" s="8" t="str">
        <f t="shared" si="24"/>
        <v>Moy 2 ans</v>
      </c>
      <c r="G78" s="8" t="str">
        <f t="shared" si="24"/>
        <v>Moy 3 ans</v>
      </c>
      <c r="H78" s="3"/>
      <c r="I78" s="3"/>
      <c r="J78" s="3"/>
      <c r="L78" s="67"/>
      <c r="M78" s="67"/>
    </row>
    <row r="79" spans="2:19">
      <c r="B79" s="5" t="s">
        <v>266</v>
      </c>
      <c r="C79" s="22">
        <f>M71</f>
        <v>33.915999999999997</v>
      </c>
      <c r="D79" s="22">
        <f>N71</f>
        <v>164.523</v>
      </c>
      <c r="E79" s="22">
        <f>O71</f>
        <v>194.30199999999999</v>
      </c>
      <c r="F79" s="22">
        <f>AVERAGE(D79:E79)</f>
        <v>179.41249999999999</v>
      </c>
      <c r="G79" s="22">
        <f>AVERAGE(C79:E79)</f>
        <v>130.91366666666667</v>
      </c>
      <c r="H79" s="3"/>
      <c r="I79" s="3"/>
      <c r="J79" s="3"/>
      <c r="L79" s="67"/>
      <c r="M79" s="67"/>
    </row>
    <row r="80" spans="2:19">
      <c r="B80" s="41" t="s">
        <v>98</v>
      </c>
      <c r="C80" s="42">
        <v>5</v>
      </c>
      <c r="D80" s="42">
        <v>5</v>
      </c>
      <c r="E80" s="42">
        <v>5</v>
      </c>
      <c r="F80" s="42">
        <v>5</v>
      </c>
      <c r="G80" s="42">
        <v>5</v>
      </c>
      <c r="H80" s="3"/>
      <c r="I80" s="3"/>
      <c r="J80" s="3"/>
      <c r="L80" s="67"/>
      <c r="M80" s="67"/>
    </row>
    <row r="81" spans="2:15">
      <c r="B81" s="5" t="s">
        <v>99</v>
      </c>
      <c r="C81" s="22">
        <f>C79*C80</f>
        <v>169.57999999999998</v>
      </c>
      <c r="D81" s="22">
        <f t="shared" ref="D81" si="25">D79*D80</f>
        <v>822.61500000000001</v>
      </c>
      <c r="E81" s="22">
        <f t="shared" ref="E81" si="26">E79*E80</f>
        <v>971.51</v>
      </c>
      <c r="F81" s="22">
        <f t="shared" ref="F81" si="27">F79*F80</f>
        <v>897.0625</v>
      </c>
      <c r="G81" s="22">
        <f t="shared" ref="G81" si="28">G79*G80</f>
        <v>654.56833333333338</v>
      </c>
      <c r="H81" s="3"/>
      <c r="I81" s="3"/>
      <c r="J81" s="3"/>
      <c r="L81" s="67"/>
      <c r="M81" s="67"/>
    </row>
    <row r="82" spans="2:15">
      <c r="B82" s="5" t="s">
        <v>163</v>
      </c>
      <c r="C82" s="22">
        <f>C70+M72</f>
        <v>-16.376999999999999</v>
      </c>
      <c r="D82" s="22">
        <f t="shared" ref="D82" si="29">D70+N72</f>
        <v>-2.5199999999999996</v>
      </c>
      <c r="E82" s="22">
        <f t="shared" ref="E82" si="30">E70+O72</f>
        <v>-191.78399999999999</v>
      </c>
      <c r="F82" s="22">
        <f>E82</f>
        <v>-191.78399999999999</v>
      </c>
      <c r="G82" s="22">
        <f>F82</f>
        <v>-191.78399999999999</v>
      </c>
      <c r="H82" s="3"/>
      <c r="I82" s="3"/>
      <c r="J82" s="3"/>
      <c r="L82" s="67"/>
      <c r="M82" s="67"/>
    </row>
    <row r="83" spans="2:15" ht="15.75" thickBot="1">
      <c r="B83" s="11" t="s">
        <v>100</v>
      </c>
      <c r="C83" s="12">
        <f>C81-C82</f>
        <v>185.95699999999999</v>
      </c>
      <c r="D83" s="12">
        <f t="shared" ref="D83" si="31">D81-D82</f>
        <v>825.13499999999999</v>
      </c>
      <c r="E83" s="12">
        <f t="shared" ref="E83" si="32">E81-E82</f>
        <v>1163.2939999999999</v>
      </c>
      <c r="F83" s="12">
        <f t="shared" ref="F83" si="33">F81-F82</f>
        <v>1088.8465000000001</v>
      </c>
      <c r="G83" s="12">
        <f t="shared" ref="G83" si="34">G81-G82</f>
        <v>846.35233333333338</v>
      </c>
      <c r="H83" s="3"/>
      <c r="I83" s="3"/>
      <c r="J83" s="3"/>
      <c r="L83" s="67"/>
      <c r="M83" s="67"/>
    </row>
    <row r="84" spans="2:15" ht="15.75" thickBot="1">
      <c r="B84" s="11" t="s">
        <v>67</v>
      </c>
      <c r="C84" s="12">
        <f>C72</f>
        <v>385.99400000000003</v>
      </c>
      <c r="D84" s="12">
        <f>D72</f>
        <v>491.267</v>
      </c>
      <c r="E84" s="12">
        <f>E72</f>
        <v>502.33199999999999</v>
      </c>
      <c r="H84" s="3"/>
      <c r="I84" s="3"/>
      <c r="J84" s="3"/>
      <c r="L84" s="67"/>
      <c r="M84" s="67"/>
    </row>
    <row r="85" spans="2:15">
      <c r="B85" s="3"/>
      <c r="C85" s="3"/>
      <c r="D85" s="3"/>
      <c r="E85" s="3"/>
      <c r="F85" s="3"/>
      <c r="G85" s="3"/>
      <c r="H85" s="3"/>
      <c r="I85" s="3"/>
      <c r="J85" s="3"/>
      <c r="L85" s="67"/>
      <c r="M85" s="67"/>
    </row>
    <row r="86" spans="2:15">
      <c r="B86" s="175" t="s">
        <v>256</v>
      </c>
      <c r="C86" s="267" t="s">
        <v>737</v>
      </c>
      <c r="D86" s="3"/>
      <c r="E86" s="175"/>
      <c r="F86" s="3"/>
      <c r="G86" s="3"/>
      <c r="H86" s="3"/>
      <c r="I86" s="3"/>
      <c r="J86" s="3"/>
      <c r="L86" s="67"/>
      <c r="M86" s="67"/>
    </row>
    <row r="87" spans="2:15">
      <c r="B87" s="3"/>
      <c r="C87" s="3"/>
      <c r="D87" s="3"/>
      <c r="E87" s="3"/>
      <c r="F87" s="3"/>
      <c r="G87" s="3"/>
      <c r="H87" s="3"/>
      <c r="I87" s="3"/>
      <c r="J87" s="3"/>
      <c r="L87" s="67"/>
      <c r="M87" s="67"/>
    </row>
    <row r="88" spans="2:15">
      <c r="B88" s="3"/>
      <c r="C88" s="3"/>
      <c r="D88" s="3"/>
      <c r="E88" s="3"/>
      <c r="F88" s="3"/>
      <c r="G88" s="3"/>
      <c r="H88" s="3"/>
      <c r="I88" s="3"/>
      <c r="J88" s="3"/>
      <c r="L88" s="67"/>
      <c r="M88" s="67"/>
    </row>
    <row r="89" spans="2:15">
      <c r="B89" s="3"/>
      <c r="C89" s="3"/>
      <c r="D89" s="3"/>
      <c r="E89" s="3"/>
      <c r="F89" s="3"/>
      <c r="G89" s="3"/>
      <c r="H89" s="3"/>
      <c r="I89" s="3"/>
      <c r="J89" s="3"/>
      <c r="L89" s="67"/>
      <c r="M89" s="67"/>
    </row>
    <row r="90" spans="2:15" ht="28.5">
      <c r="B90" s="352" t="s">
        <v>667</v>
      </c>
      <c r="C90" s="352"/>
      <c r="D90" s="352"/>
      <c r="E90" s="352"/>
      <c r="F90" s="352"/>
      <c r="G90" s="352"/>
      <c r="H90" s="352"/>
      <c r="I90" s="352"/>
      <c r="J90" s="352"/>
      <c r="K90" s="352"/>
      <c r="L90" s="352"/>
      <c r="M90" s="352"/>
      <c r="N90" s="352"/>
      <c r="O90" s="352"/>
    </row>
    <row r="91" spans="2:15">
      <c r="B91" s="269" t="s">
        <v>2</v>
      </c>
      <c r="C91" s="3"/>
      <c r="D91" s="3"/>
      <c r="E91" s="3"/>
      <c r="F91" s="3"/>
      <c r="G91" s="3"/>
      <c r="H91" s="3"/>
      <c r="I91" s="3"/>
      <c r="J91" s="3"/>
      <c r="L91" s="67"/>
      <c r="M91" s="67"/>
    </row>
    <row r="92" spans="2:15">
      <c r="B92" s="3" t="s">
        <v>738</v>
      </c>
      <c r="C92" s="268">
        <v>600</v>
      </c>
      <c r="D92" s="3"/>
      <c r="E92" s="3"/>
      <c r="F92" s="3"/>
      <c r="G92" s="3"/>
      <c r="H92" s="3"/>
      <c r="I92" s="3"/>
      <c r="J92" s="3"/>
      <c r="L92" s="67"/>
      <c r="M92" s="67"/>
    </row>
    <row r="93" spans="2:15">
      <c r="B93" s="3" t="s">
        <v>739</v>
      </c>
      <c r="C93" s="268">
        <v>358</v>
      </c>
      <c r="D93" s="3"/>
      <c r="E93" s="3"/>
      <c r="F93" s="3"/>
      <c r="G93" s="3"/>
      <c r="H93" s="3"/>
      <c r="I93" s="3"/>
      <c r="J93" s="3"/>
      <c r="L93" s="67"/>
      <c r="M93" s="67"/>
    </row>
    <row r="94" spans="2:15">
      <c r="B94" s="3" t="s">
        <v>740</v>
      </c>
      <c r="C94" s="268">
        <v>800</v>
      </c>
      <c r="D94" s="3"/>
      <c r="E94" s="3"/>
      <c r="F94" s="3"/>
      <c r="G94" s="3"/>
      <c r="H94" s="3"/>
      <c r="I94" s="3"/>
      <c r="J94" s="3"/>
      <c r="L94" s="67"/>
      <c r="M94" s="67"/>
    </row>
    <row r="95" spans="2:15">
      <c r="B95" s="3" t="s">
        <v>741</v>
      </c>
      <c r="C95" s="268">
        <f>(231421+39189-115590)/1000</f>
        <v>155.02000000000001</v>
      </c>
      <c r="D95" s="3"/>
      <c r="E95" s="3"/>
      <c r="F95" s="3"/>
      <c r="G95" s="3"/>
      <c r="H95" s="3"/>
      <c r="I95" s="3"/>
      <c r="J95" s="3"/>
      <c r="L95" s="67"/>
      <c r="M95" s="67"/>
    </row>
    <row r="96" spans="2:15">
      <c r="B96" s="175" t="s">
        <v>742</v>
      </c>
      <c r="C96" s="267">
        <f>SUM(C92:C95)</f>
        <v>1913.02</v>
      </c>
      <c r="D96" s="3"/>
      <c r="E96" s="3"/>
      <c r="F96" s="3"/>
      <c r="G96" s="3"/>
      <c r="H96" s="3"/>
      <c r="I96" s="3"/>
      <c r="J96" s="3"/>
      <c r="L96" s="67"/>
      <c r="M96" s="67"/>
    </row>
    <row r="97" spans="2:13">
      <c r="B97" s="3"/>
      <c r="C97" s="3"/>
      <c r="D97" s="3"/>
      <c r="E97" s="3"/>
      <c r="F97" s="3"/>
      <c r="G97" s="3"/>
      <c r="H97" s="3"/>
      <c r="I97" s="3"/>
      <c r="J97" s="3"/>
      <c r="L97" s="67"/>
      <c r="M97" s="67"/>
    </row>
    <row r="98" spans="2:13" s="177" customFormat="1">
      <c r="B98" s="175" t="s">
        <v>743</v>
      </c>
      <c r="C98" s="267">
        <f>'SC des SUCS - Bilan'!F11/1000</f>
        <v>1562.817</v>
      </c>
      <c r="D98" s="175"/>
      <c r="E98" s="175"/>
      <c r="F98" s="175"/>
      <c r="G98" s="175"/>
      <c r="H98" s="175"/>
      <c r="I98" s="175"/>
      <c r="J98" s="175"/>
      <c r="K98" s="71"/>
      <c r="L98" s="67"/>
      <c r="M98" s="67"/>
    </row>
    <row r="99" spans="2:13" s="177" customFormat="1">
      <c r="B99" s="175"/>
      <c r="C99" s="175"/>
      <c r="D99" s="175"/>
      <c r="E99" s="175"/>
      <c r="F99" s="175"/>
      <c r="G99" s="175"/>
      <c r="H99" s="175"/>
      <c r="I99" s="175"/>
      <c r="J99" s="175"/>
      <c r="K99" s="71"/>
      <c r="L99" s="67"/>
      <c r="M99" s="67"/>
    </row>
    <row r="100" spans="2:13" s="177" customFormat="1">
      <c r="B100" s="175" t="s">
        <v>744</v>
      </c>
      <c r="C100" s="267">
        <f>C96-C98</f>
        <v>350.20299999999997</v>
      </c>
      <c r="D100" s="175"/>
      <c r="E100" s="175"/>
      <c r="F100" s="175"/>
      <c r="G100" s="175"/>
      <c r="H100" s="175"/>
      <c r="I100" s="175"/>
      <c r="J100" s="175"/>
      <c r="K100" s="71"/>
      <c r="L100" s="67"/>
      <c r="M100" s="67"/>
    </row>
    <row r="101" spans="2:13" s="177" customFormat="1">
      <c r="B101" s="175"/>
      <c r="C101" s="267"/>
      <c r="D101" s="175"/>
      <c r="E101" s="175"/>
      <c r="F101" s="175"/>
      <c r="G101" s="175"/>
      <c r="H101" s="175"/>
      <c r="I101" s="175"/>
      <c r="J101" s="175"/>
      <c r="K101" s="71"/>
      <c r="L101" s="67"/>
      <c r="M101" s="67"/>
    </row>
    <row r="102" spans="2:13">
      <c r="B102" s="175" t="s">
        <v>745</v>
      </c>
      <c r="C102" s="267">
        <f>('SC des SUCS - Bilan'!F44+'SC des SUCS - Bilan'!F46)/1000</f>
        <v>778.39800000000002</v>
      </c>
      <c r="D102" s="3"/>
      <c r="E102" s="3"/>
      <c r="F102" s="3"/>
      <c r="G102" s="3"/>
      <c r="H102" s="3"/>
      <c r="I102" s="3"/>
      <c r="J102" s="3"/>
      <c r="L102" s="67"/>
      <c r="M102" s="67"/>
    </row>
    <row r="103" spans="2:13">
      <c r="B103" s="3"/>
      <c r="C103" s="3"/>
      <c r="D103" s="3"/>
      <c r="E103" s="3"/>
      <c r="F103" s="3"/>
      <c r="G103" s="3"/>
      <c r="H103" s="3"/>
      <c r="I103" s="3"/>
      <c r="J103" s="3"/>
      <c r="L103" s="67"/>
      <c r="M103" s="67"/>
    </row>
    <row r="104" spans="2:13">
      <c r="B104" s="175" t="s">
        <v>746</v>
      </c>
      <c r="C104" s="267">
        <f>'SC des SUCS - Bilan'!F25/1000</f>
        <v>1537.2850000000001</v>
      </c>
      <c r="D104" s="3"/>
      <c r="E104" s="3"/>
      <c r="F104" s="3"/>
      <c r="G104" s="3"/>
      <c r="H104" s="3"/>
      <c r="I104" s="3"/>
      <c r="J104" s="3"/>
      <c r="L104" s="67"/>
      <c r="M104" s="67"/>
    </row>
    <row r="105" spans="2:13">
      <c r="B105" s="175" t="s">
        <v>747</v>
      </c>
      <c r="C105" s="267">
        <f>C104+C100+C102</f>
        <v>2665.886</v>
      </c>
      <c r="D105" s="175" t="s">
        <v>748</v>
      </c>
      <c r="E105" s="3"/>
      <c r="F105" s="3"/>
      <c r="G105" s="3"/>
      <c r="H105" s="3"/>
      <c r="I105" s="3"/>
      <c r="J105" s="3"/>
      <c r="L105" s="67"/>
      <c r="M105" s="67"/>
    </row>
    <row r="106" spans="2:13">
      <c r="B106" s="3"/>
      <c r="C106" s="3"/>
      <c r="D106" s="3"/>
      <c r="E106" s="3"/>
      <c r="F106" s="3"/>
      <c r="G106" s="3"/>
      <c r="H106" s="3"/>
      <c r="I106" s="3"/>
      <c r="J106" s="3"/>
      <c r="L106" s="67"/>
      <c r="M106" s="67"/>
    </row>
    <row r="107" spans="2:13">
      <c r="B107" s="3"/>
      <c r="C107" s="3"/>
      <c r="D107" s="3"/>
      <c r="E107" s="3"/>
      <c r="F107" s="3"/>
      <c r="G107" s="3"/>
      <c r="H107" s="3"/>
      <c r="I107" s="3"/>
      <c r="J107" s="3"/>
      <c r="K107"/>
    </row>
    <row r="108" spans="2:13">
      <c r="B108" s="3"/>
      <c r="C108" s="3"/>
      <c r="D108" s="3"/>
      <c r="E108" s="3"/>
      <c r="F108" s="3"/>
      <c r="G108" s="3"/>
      <c r="H108" s="3"/>
      <c r="I108" s="3"/>
      <c r="J108" s="3"/>
      <c r="K108"/>
    </row>
    <row r="109" spans="2:13">
      <c r="B109" s="1" t="s">
        <v>940</v>
      </c>
      <c r="C109" s="21"/>
      <c r="D109" s="21"/>
      <c r="E109" s="21"/>
      <c r="F109" s="21"/>
      <c r="G109" s="256"/>
      <c r="J109" s="3"/>
      <c r="K109"/>
    </row>
    <row r="110" spans="2:13">
      <c r="B110" s="7" t="s">
        <v>2</v>
      </c>
      <c r="C110" s="8">
        <v>44804</v>
      </c>
      <c r="D110" s="8">
        <v>45169</v>
      </c>
      <c r="E110" s="8">
        <v>45535</v>
      </c>
      <c r="F110" s="8" t="s">
        <v>97</v>
      </c>
      <c r="G110" s="8" t="s">
        <v>255</v>
      </c>
      <c r="I110" s="8" t="s">
        <v>267</v>
      </c>
      <c r="J110" s="3"/>
      <c r="K110"/>
    </row>
    <row r="111" spans="2:13">
      <c r="B111" s="5" t="s">
        <v>941</v>
      </c>
      <c r="C111" s="22">
        <f>'Agrégé - P&amp;L (2)'!V42/1000</f>
        <v>447.66300000000001</v>
      </c>
      <c r="D111" s="22">
        <f>'Agrégé - P&amp;L (2)'!AC42/1000</f>
        <v>491.24599999999998</v>
      </c>
      <c r="E111" s="22">
        <f>'Agrégé - P&amp;L (2)'!AJ42/1000</f>
        <v>505.08800000000002</v>
      </c>
      <c r="F111" s="22">
        <f>AVERAGE(D111:E111)</f>
        <v>498.16700000000003</v>
      </c>
      <c r="G111" s="22">
        <f>AVERAGE(C111:E111)</f>
        <v>481.33233333333334</v>
      </c>
      <c r="J111" s="3"/>
      <c r="K111"/>
    </row>
    <row r="112" spans="2:13">
      <c r="B112" s="41" t="s">
        <v>98</v>
      </c>
      <c r="C112" s="42">
        <f>C113/C111</f>
        <v>5.1254559791628971</v>
      </c>
      <c r="D112" s="42">
        <f>D113/D111</f>
        <v>3.8289675641124812</v>
      </c>
      <c r="E112" s="42">
        <f>E113/E111</f>
        <v>3.9680511118854533</v>
      </c>
      <c r="F112" s="42">
        <f>AVERAGE(D112:E112)</f>
        <v>3.8985093379989673</v>
      </c>
      <c r="G112" s="42">
        <f>AVERAGE(C112:E112)</f>
        <v>4.3074915517202772</v>
      </c>
      <c r="I112" s="42">
        <f>F112</f>
        <v>3.8985093379989673</v>
      </c>
      <c r="J112" s="3"/>
      <c r="K112"/>
    </row>
    <row r="113" spans="2:11">
      <c r="B113" s="5" t="s">
        <v>942</v>
      </c>
      <c r="C113" s="22">
        <f>C115+C114</f>
        <v>2294.4769999999999</v>
      </c>
      <c r="D113" s="22">
        <f>D115+D114</f>
        <v>1880.9649999999999</v>
      </c>
      <c r="E113" s="22">
        <f>E115+E114</f>
        <v>2004.2149999999999</v>
      </c>
      <c r="F113" s="22"/>
      <c r="G113" s="22"/>
      <c r="J113" s="3"/>
      <c r="K113"/>
    </row>
    <row r="114" spans="2:11">
      <c r="B114" s="5" t="s">
        <v>943</v>
      </c>
      <c r="C114" s="22">
        <f>('Agrégé - Bilan (2)'!V38-'Agrégé - Bilan (2)'!V18)/1000</f>
        <v>294.47699999999998</v>
      </c>
      <c r="D114" s="22">
        <f>('Agrégé - Bilan (2)'!AC38-'Agrégé - Bilan (2)'!AC18)/1000</f>
        <v>-119.035</v>
      </c>
      <c r="E114" s="22">
        <f>('Agrégé - Bilan (2)'!AJ38-'Agrégé - Bilan (2)'!AJ18)/1000</f>
        <v>4.2149999999999999</v>
      </c>
      <c r="F114" s="22"/>
      <c r="G114" s="22"/>
      <c r="H114" s="32"/>
      <c r="I114" s="32"/>
      <c r="J114" s="3"/>
      <c r="K114"/>
    </row>
    <row r="115" spans="2:11" ht="15.75" thickBot="1">
      <c r="B115" s="11" t="s">
        <v>100</v>
      </c>
      <c r="C115" s="12">
        <v>2000</v>
      </c>
      <c r="D115" s="12">
        <f>C115</f>
        <v>2000</v>
      </c>
      <c r="E115" s="12">
        <f>D115</f>
        <v>2000</v>
      </c>
      <c r="F115" s="12"/>
      <c r="G115" s="12"/>
      <c r="J115" s="3"/>
      <c r="K115"/>
    </row>
    <row r="116" spans="2:11" ht="15.75" thickBot="1">
      <c r="B116" s="11" t="s">
        <v>944</v>
      </c>
      <c r="C116" s="12"/>
      <c r="D116" s="12"/>
      <c r="E116" s="12"/>
      <c r="J116" s="3"/>
      <c r="K116"/>
    </row>
    <row r="117" spans="2:11">
      <c r="B117" s="3"/>
      <c r="C117" s="3"/>
      <c r="D117" s="3"/>
      <c r="E117" s="3"/>
      <c r="F117" s="3"/>
      <c r="G117" s="3"/>
      <c r="H117" s="3"/>
      <c r="I117" s="3"/>
      <c r="J117" s="3"/>
      <c r="K117"/>
    </row>
    <row r="118" spans="2:11">
      <c r="B118" s="175" t="s">
        <v>256</v>
      </c>
      <c r="C118" s="176">
        <v>2000</v>
      </c>
      <c r="D118" s="175"/>
      <c r="E118" s="175"/>
      <c r="F118" s="175"/>
      <c r="G118" s="175"/>
      <c r="H118" s="175"/>
      <c r="I118" s="175"/>
      <c r="J118" s="3"/>
      <c r="K118"/>
    </row>
    <row r="119" spans="2:11">
      <c r="B119" s="3"/>
      <c r="C119" s="3"/>
      <c r="D119" s="3"/>
      <c r="E119" s="3"/>
      <c r="F119" s="3"/>
      <c r="G119" s="3"/>
      <c r="H119" s="3"/>
      <c r="I119" s="3"/>
      <c r="J119" s="3"/>
      <c r="K119"/>
    </row>
    <row r="120" spans="2:11">
      <c r="B120" s="3"/>
      <c r="C120" s="3"/>
      <c r="D120" s="3"/>
      <c r="E120" s="3"/>
      <c r="F120" s="3"/>
      <c r="G120" s="3"/>
      <c r="H120" s="3"/>
      <c r="I120" s="3"/>
      <c r="J120" s="3"/>
      <c r="K120"/>
    </row>
    <row r="121" spans="2:11">
      <c r="B121" s="3"/>
      <c r="C121" s="3"/>
      <c r="D121" s="3"/>
      <c r="E121" s="3"/>
      <c r="F121" s="3"/>
      <c r="G121" s="3"/>
      <c r="H121" s="3"/>
      <c r="I121" s="3"/>
      <c r="J121" s="3"/>
      <c r="K121"/>
    </row>
    <row r="122" spans="2:11">
      <c r="B122" s="3"/>
      <c r="C122" s="3"/>
      <c r="D122" s="3"/>
      <c r="E122" s="3"/>
      <c r="F122" s="3"/>
      <c r="G122" s="3"/>
      <c r="H122" s="3"/>
      <c r="I122" s="3"/>
      <c r="J122" s="3"/>
      <c r="K122"/>
    </row>
    <row r="123" spans="2:11">
      <c r="B123" s="3"/>
      <c r="C123" s="3"/>
      <c r="D123" s="3"/>
      <c r="E123" s="3"/>
      <c r="F123" s="3"/>
      <c r="G123" s="3"/>
      <c r="H123" s="3"/>
      <c r="I123" s="3"/>
      <c r="J123" s="3"/>
      <c r="K123"/>
    </row>
    <row r="124" spans="2:11" ht="23.25">
      <c r="B124" s="349" t="s">
        <v>667</v>
      </c>
      <c r="C124" s="349"/>
      <c r="D124" s="349"/>
      <c r="E124" s="349"/>
      <c r="F124" s="349"/>
      <c r="G124" s="349"/>
      <c r="H124" s="349"/>
      <c r="I124" s="349"/>
      <c r="J124" s="349"/>
      <c r="K124"/>
    </row>
    <row r="125" spans="2:11">
      <c r="B125" s="3"/>
      <c r="C125" s="3"/>
      <c r="D125" s="3"/>
      <c r="E125" s="3"/>
      <c r="F125" s="3"/>
      <c r="G125" s="3"/>
      <c r="H125" s="3"/>
      <c r="I125" s="3"/>
      <c r="J125" s="3"/>
      <c r="K125"/>
    </row>
    <row r="126" spans="2:11">
      <c r="B126" s="1" t="s">
        <v>104</v>
      </c>
      <c r="C126" s="21"/>
      <c r="D126" s="21"/>
      <c r="E126" s="21"/>
      <c r="F126" s="21"/>
      <c r="G126" s="21"/>
      <c r="H126" s="21"/>
      <c r="I126" s="21"/>
      <c r="J126" s="40"/>
      <c r="K126"/>
    </row>
    <row r="127" spans="2:11">
      <c r="B127" s="7" t="s">
        <v>105</v>
      </c>
      <c r="C127" s="8" t="s">
        <v>106</v>
      </c>
      <c r="D127" s="44" t="s">
        <v>102</v>
      </c>
      <c r="E127" s="45" t="s">
        <v>107</v>
      </c>
      <c r="F127" s="8"/>
      <c r="G127" s="8" t="s">
        <v>108</v>
      </c>
      <c r="H127" s="8" t="s">
        <v>106</v>
      </c>
      <c r="I127" s="8" t="s">
        <v>109</v>
      </c>
      <c r="J127" s="8" t="s">
        <v>106</v>
      </c>
      <c r="K127"/>
    </row>
    <row r="128" spans="2:11">
      <c r="B128" s="3" t="s">
        <v>161</v>
      </c>
      <c r="C128" s="46">
        <f>D128/D141</f>
        <v>0.22935842942686996</v>
      </c>
      <c r="D128" s="47">
        <f>G128</f>
        <v>2000</v>
      </c>
      <c r="E128" s="48" t="s">
        <v>831</v>
      </c>
      <c r="F128" s="3"/>
      <c r="G128" s="10">
        <v>2000</v>
      </c>
      <c r="H128" s="46">
        <f>G128/G$131</f>
        <v>0.88888888888888884</v>
      </c>
      <c r="I128" s="10">
        <f>G128</f>
        <v>2000</v>
      </c>
      <c r="J128" s="46">
        <f>I128/I$131</f>
        <v>0.88888888888888884</v>
      </c>
      <c r="K128"/>
    </row>
    <row r="129" spans="2:20">
      <c r="B129" s="3"/>
      <c r="C129" s="46"/>
      <c r="D129" s="47"/>
      <c r="E129" s="48" t="s">
        <v>901</v>
      </c>
      <c r="F129" s="3"/>
      <c r="G129" s="10">
        <f>1000/2*0.25</f>
        <v>125</v>
      </c>
      <c r="H129" s="46">
        <f>G129/G$131</f>
        <v>5.5555555555555552E-2</v>
      </c>
      <c r="I129" s="10">
        <f>G129</f>
        <v>125</v>
      </c>
      <c r="J129" s="46">
        <f>I129/I$131</f>
        <v>5.5555555555555552E-2</v>
      </c>
      <c r="K129"/>
    </row>
    <row r="130" spans="2:20">
      <c r="B130" s="3" t="s">
        <v>928</v>
      </c>
      <c r="C130" s="46">
        <f>D130/D141</f>
        <v>0.244798380179028</v>
      </c>
      <c r="D130" s="47">
        <f>D148</f>
        <v>2134.636</v>
      </c>
      <c r="E130" s="48" t="s">
        <v>902</v>
      </c>
      <c r="F130" s="3"/>
      <c r="G130" s="10">
        <f>G129</f>
        <v>125</v>
      </c>
      <c r="H130" s="46">
        <f>G130/G$131</f>
        <v>5.5555555555555552E-2</v>
      </c>
      <c r="I130" s="10">
        <f>G130</f>
        <v>125</v>
      </c>
      <c r="J130" s="46">
        <f>I130/I$131</f>
        <v>5.5555555555555552E-2</v>
      </c>
      <c r="K130"/>
    </row>
    <row r="131" spans="2:20" ht="15.75" thickBot="1">
      <c r="B131" s="3" t="s">
        <v>929</v>
      </c>
      <c r="C131" s="46">
        <f>D131/D141</f>
        <v>0.38662262373199191</v>
      </c>
      <c r="D131" s="47">
        <f>N148</f>
        <v>3371.34</v>
      </c>
      <c r="E131" s="11" t="s">
        <v>110</v>
      </c>
      <c r="F131" s="12"/>
      <c r="G131" s="12">
        <f>SUM(G128:G130)</f>
        <v>2250</v>
      </c>
      <c r="H131" s="49">
        <f>G131/G141</f>
        <v>0.25801746262187025</v>
      </c>
      <c r="I131" s="12">
        <f>SUM(I128:I130)</f>
        <v>2250</v>
      </c>
      <c r="J131" s="49">
        <f>SUM(J128:J130)</f>
        <v>1</v>
      </c>
      <c r="K131"/>
    </row>
    <row r="132" spans="2:20">
      <c r="B132" s="3" t="s">
        <v>50</v>
      </c>
      <c r="C132" s="46">
        <f>D132/D141</f>
        <v>6.8807528828060988E-2</v>
      </c>
      <c r="D132" s="47">
        <f>D150</f>
        <v>600</v>
      </c>
      <c r="E132" s="5"/>
      <c r="F132" s="22"/>
      <c r="G132" s="22"/>
      <c r="H132" s="315"/>
      <c r="I132" s="22"/>
      <c r="J132" s="315"/>
      <c r="K132"/>
      <c r="L132" s="32"/>
      <c r="M132" s="32"/>
    </row>
    <row r="133" spans="2:20">
      <c r="B133" s="3" t="s">
        <v>112</v>
      </c>
      <c r="C133" s="46">
        <f>D133/D141</f>
        <v>7.0413037834049078E-2</v>
      </c>
      <c r="D133" s="47">
        <v>614</v>
      </c>
      <c r="E133" s="48" t="s">
        <v>903</v>
      </c>
      <c r="F133" s="3"/>
      <c r="G133" s="10">
        <f>1000/2*0.75</f>
        <v>375</v>
      </c>
      <c r="H133" s="79">
        <f t="shared" ref="H133:H139" si="35">G133/G$141</f>
        <v>4.3002910436978375E-2</v>
      </c>
      <c r="I133" s="3"/>
      <c r="J133" s="3"/>
      <c r="K133"/>
    </row>
    <row r="134" spans="2:20">
      <c r="B134" s="3"/>
      <c r="C134" s="46"/>
      <c r="D134" s="47"/>
      <c r="E134" s="48" t="s">
        <v>904</v>
      </c>
      <c r="F134" s="3"/>
      <c r="G134" s="10">
        <f>G133</f>
        <v>375</v>
      </c>
      <c r="H134" s="79">
        <f t="shared" si="35"/>
        <v>4.3002910436978375E-2</v>
      </c>
      <c r="I134" s="3"/>
      <c r="K134"/>
    </row>
    <row r="135" spans="2:20">
      <c r="B135" s="3"/>
      <c r="C135" s="46"/>
      <c r="D135" s="47"/>
      <c r="E135" s="48" t="s">
        <v>924</v>
      </c>
      <c r="F135" s="3"/>
      <c r="G135" s="10">
        <f>G153</f>
        <v>1650</v>
      </c>
      <c r="H135" s="79">
        <f t="shared" si="35"/>
        <v>0.18921280592270484</v>
      </c>
      <c r="I135" s="3"/>
      <c r="K135"/>
    </row>
    <row r="136" spans="2:20">
      <c r="B136" s="3"/>
      <c r="C136" s="46"/>
      <c r="D136" s="47"/>
      <c r="E136" s="48" t="s">
        <v>926</v>
      </c>
      <c r="F136" s="3"/>
      <c r="G136" s="10">
        <f>Q153</f>
        <v>2570.34</v>
      </c>
      <c r="H136" s="79">
        <f t="shared" si="35"/>
        <v>0.29475226883355465</v>
      </c>
      <c r="I136" s="3"/>
      <c r="K136"/>
    </row>
    <row r="137" spans="2:20">
      <c r="B137" s="3"/>
      <c r="C137" s="46"/>
      <c r="D137" s="47"/>
      <c r="E137" s="48" t="s">
        <v>905</v>
      </c>
      <c r="F137" s="3"/>
      <c r="G137" s="10">
        <f>G154</f>
        <v>100</v>
      </c>
      <c r="H137" s="79">
        <f t="shared" si="35"/>
        <v>1.1467442783194233E-2</v>
      </c>
      <c r="I137" s="3"/>
      <c r="K137"/>
    </row>
    <row r="138" spans="2:20">
      <c r="B138" s="3"/>
      <c r="C138" s="46"/>
      <c r="D138" s="47"/>
      <c r="E138" s="48" t="s">
        <v>925</v>
      </c>
      <c r="F138" s="3"/>
      <c r="G138" s="10">
        <f>G155</f>
        <v>600</v>
      </c>
      <c r="H138" s="79">
        <f t="shared" si="35"/>
        <v>6.8804656699165398E-2</v>
      </c>
      <c r="I138" s="3"/>
      <c r="K138"/>
    </row>
    <row r="139" spans="2:20">
      <c r="B139" s="3"/>
      <c r="C139" s="46"/>
      <c r="D139" s="47"/>
      <c r="E139" s="48" t="s">
        <v>927</v>
      </c>
      <c r="F139" s="3"/>
      <c r="G139" s="10">
        <f>Q154</f>
        <v>800</v>
      </c>
      <c r="H139" s="79">
        <f t="shared" si="35"/>
        <v>9.1739542265553864E-2</v>
      </c>
      <c r="I139" s="3"/>
      <c r="K139"/>
    </row>
    <row r="140" spans="2:20">
      <c r="B140" s="51"/>
      <c r="C140" s="68"/>
      <c r="D140" s="70"/>
      <c r="E140" s="48"/>
      <c r="F140" s="3"/>
      <c r="G140" s="10"/>
      <c r="H140" s="79"/>
      <c r="I140" s="3"/>
      <c r="K140"/>
    </row>
    <row r="141" spans="2:20" ht="15.75" thickBot="1">
      <c r="B141" s="11" t="s">
        <v>103</v>
      </c>
      <c r="C141" s="49">
        <f>SUM(C128:C140)</f>
        <v>0.99999999999999989</v>
      </c>
      <c r="D141" s="50">
        <f>SUM(D128:D134)</f>
        <v>8719.9760000000006</v>
      </c>
      <c r="E141" s="11" t="s">
        <v>103</v>
      </c>
      <c r="F141" s="43"/>
      <c r="G141" s="12">
        <f>SUM(G131:G140)</f>
        <v>8720.34</v>
      </c>
      <c r="H141" s="80">
        <f>SUM(H131:H140)</f>
        <v>1</v>
      </c>
      <c r="I141" s="3"/>
      <c r="K141"/>
    </row>
    <row r="142" spans="2:20">
      <c r="B142" s="3"/>
      <c r="C142" s="3"/>
      <c r="D142" s="3"/>
      <c r="E142" s="3"/>
      <c r="F142" s="3"/>
      <c r="G142" s="3"/>
      <c r="H142" s="3"/>
      <c r="I142" s="3"/>
      <c r="J142" s="3"/>
      <c r="K142"/>
    </row>
    <row r="143" spans="2:20">
      <c r="B143" s="3"/>
      <c r="C143" s="3"/>
      <c r="D143" s="3"/>
      <c r="E143" s="3"/>
      <c r="F143" s="3"/>
      <c r="G143" s="3"/>
      <c r="H143" s="3"/>
      <c r="I143" s="3"/>
      <c r="J143" s="3"/>
      <c r="K143"/>
    </row>
    <row r="144" spans="2:20" ht="23.25">
      <c r="B144" s="349" t="s">
        <v>830</v>
      </c>
      <c r="C144" s="349"/>
      <c r="D144" s="349"/>
      <c r="E144" s="349"/>
      <c r="F144" s="349"/>
      <c r="G144" s="349"/>
      <c r="H144" s="349"/>
      <c r="I144" s="349"/>
      <c r="J144" s="349"/>
      <c r="K144"/>
      <c r="L144" s="349" t="s">
        <v>278</v>
      </c>
      <c r="M144" s="349"/>
      <c r="N144" s="349"/>
      <c r="O144" s="349"/>
      <c r="P144" s="349"/>
      <c r="Q144" s="349"/>
      <c r="R144" s="349"/>
      <c r="S144" s="349"/>
      <c r="T144" s="349"/>
    </row>
    <row r="145" spans="2:20">
      <c r="B145" s="3"/>
      <c r="C145" s="3"/>
      <c r="D145" s="3"/>
      <c r="E145" s="3"/>
      <c r="F145" s="3"/>
      <c r="G145" s="3"/>
      <c r="H145" s="3"/>
      <c r="I145" s="3"/>
      <c r="J145" s="3"/>
      <c r="K145"/>
      <c r="L145" s="3"/>
      <c r="M145" s="3"/>
      <c r="N145" s="3"/>
      <c r="O145" s="3"/>
      <c r="P145" s="3"/>
      <c r="Q145" s="3"/>
      <c r="R145" s="3"/>
      <c r="S145" s="3"/>
      <c r="T145" s="3"/>
    </row>
    <row r="146" spans="2:20">
      <c r="B146" s="1" t="s">
        <v>104</v>
      </c>
      <c r="C146" s="21"/>
      <c r="D146" s="21"/>
      <c r="E146" s="21"/>
      <c r="F146" s="21"/>
      <c r="G146" s="21"/>
      <c r="H146" s="21"/>
      <c r="I146" s="21"/>
      <c r="J146" s="40"/>
      <c r="K146"/>
      <c r="L146" s="1" t="s">
        <v>104</v>
      </c>
      <c r="M146" s="21"/>
      <c r="N146" s="21"/>
      <c r="O146" s="21"/>
      <c r="P146" s="21"/>
      <c r="Q146" s="21"/>
      <c r="R146" s="21"/>
      <c r="S146" s="21"/>
      <c r="T146" s="40"/>
    </row>
    <row r="147" spans="2:20">
      <c r="B147" s="7" t="s">
        <v>105</v>
      </c>
      <c r="C147" s="8" t="s">
        <v>106</v>
      </c>
      <c r="D147" s="44" t="s">
        <v>102</v>
      </c>
      <c r="E147" s="45" t="s">
        <v>107</v>
      </c>
      <c r="F147" s="8"/>
      <c r="G147" s="8" t="s">
        <v>108</v>
      </c>
      <c r="H147" s="8" t="s">
        <v>106</v>
      </c>
      <c r="I147" s="8" t="s">
        <v>109</v>
      </c>
      <c r="J147" s="8" t="s">
        <v>106</v>
      </c>
      <c r="K147"/>
      <c r="L147" s="7" t="s">
        <v>105</v>
      </c>
      <c r="M147" s="8" t="s">
        <v>106</v>
      </c>
      <c r="N147" s="44" t="s">
        <v>102</v>
      </c>
      <c r="O147" s="45" t="s">
        <v>107</v>
      </c>
      <c r="P147" s="8"/>
      <c r="Q147" s="8" t="s">
        <v>108</v>
      </c>
      <c r="R147" s="8" t="s">
        <v>106</v>
      </c>
      <c r="S147" s="8" t="s">
        <v>109</v>
      </c>
      <c r="T147" s="8" t="s">
        <v>106</v>
      </c>
    </row>
    <row r="148" spans="2:20">
      <c r="B148" s="3" t="s">
        <v>159</v>
      </c>
      <c r="C148" s="46">
        <f>D148/D$157</f>
        <v>0.62790134002581455</v>
      </c>
      <c r="D148" s="47">
        <f>Investissement!D30/1000</f>
        <v>2134.636</v>
      </c>
      <c r="E148" s="48" t="s">
        <v>831</v>
      </c>
      <c r="F148" s="3"/>
      <c r="G148" s="10">
        <v>25.5</v>
      </c>
      <c r="H148" s="46">
        <f>G148/G$151</f>
        <v>0.51</v>
      </c>
      <c r="I148" s="10">
        <f>G148</f>
        <v>25.5</v>
      </c>
      <c r="J148" s="46">
        <f>I148/I$151</f>
        <v>0.51</v>
      </c>
      <c r="K148"/>
      <c r="L148" s="51" t="s">
        <v>159</v>
      </c>
      <c r="M148" s="68">
        <f>N148/N$157</f>
        <v>1</v>
      </c>
      <c r="N148" s="322">
        <f>-'Antreuil - CF (2)'!J32/1000</f>
        <v>3371.34</v>
      </c>
      <c r="O148" s="323" t="s">
        <v>667</v>
      </c>
      <c r="P148" s="51"/>
      <c r="Q148" s="52">
        <v>1</v>
      </c>
      <c r="R148" s="68">
        <f>Q148/Q151</f>
        <v>1</v>
      </c>
      <c r="S148" s="52">
        <f>Q148</f>
        <v>1</v>
      </c>
      <c r="T148" s="46">
        <f>S148/S$151</f>
        <v>1</v>
      </c>
    </row>
    <row r="149" spans="2:20">
      <c r="B149" s="3"/>
      <c r="C149" s="46"/>
      <c r="D149" s="47"/>
      <c r="E149" s="48" t="s">
        <v>832</v>
      </c>
      <c r="F149" s="3"/>
      <c r="G149" s="10">
        <v>24.5</v>
      </c>
      <c r="H149" s="46">
        <f>G149/G$151</f>
        <v>0.49</v>
      </c>
      <c r="I149" s="10">
        <f>G149</f>
        <v>24.5</v>
      </c>
      <c r="J149" s="46">
        <f>I149/I$151</f>
        <v>0.49</v>
      </c>
      <c r="K149"/>
      <c r="L149" s="32"/>
      <c r="M149" s="32"/>
      <c r="N149" s="322"/>
      <c r="O149" s="323"/>
      <c r="P149" s="51"/>
      <c r="Q149" s="52"/>
      <c r="R149" s="68"/>
      <c r="S149" s="52"/>
      <c r="T149" s="46"/>
    </row>
    <row r="150" spans="2:20">
      <c r="B150" s="3" t="s">
        <v>50</v>
      </c>
      <c r="C150" s="46"/>
      <c r="D150" s="47">
        <v>600</v>
      </c>
      <c r="E150" s="48"/>
      <c r="F150" s="3"/>
      <c r="G150" s="10"/>
      <c r="H150" s="46"/>
      <c r="I150" s="10"/>
      <c r="J150" s="46"/>
      <c r="K150"/>
      <c r="L150" s="51"/>
      <c r="M150" s="68"/>
      <c r="N150" s="322"/>
      <c r="O150" s="323"/>
      <c r="P150" s="51"/>
      <c r="Q150" s="52"/>
      <c r="R150" s="68"/>
      <c r="S150" s="52"/>
      <c r="T150" s="46"/>
    </row>
    <row r="151" spans="2:20" ht="15.75" thickBot="1">
      <c r="B151" s="3"/>
      <c r="C151" s="46"/>
      <c r="D151" s="47"/>
      <c r="E151" s="11" t="s">
        <v>110</v>
      </c>
      <c r="F151" s="12"/>
      <c r="G151" s="12">
        <f>SUM(G148:G150)</f>
        <v>50</v>
      </c>
      <c r="H151" s="49">
        <f>G151/G157</f>
        <v>1.4705882352941176E-2</v>
      </c>
      <c r="I151" s="12">
        <f>SUM(I148:I150)</f>
        <v>50</v>
      </c>
      <c r="J151" s="49">
        <f>SUM(J148:J150)</f>
        <v>1</v>
      </c>
      <c r="K151"/>
      <c r="L151" s="51"/>
      <c r="M151" s="68"/>
      <c r="N151" s="322"/>
      <c r="O151" s="56" t="s">
        <v>110</v>
      </c>
      <c r="P151" s="296"/>
      <c r="Q151" s="296">
        <f>SUM(Q148:Q149)</f>
        <v>1</v>
      </c>
      <c r="R151" s="324">
        <f>Q151/Q157</f>
        <v>2.9661796199730668E-4</v>
      </c>
      <c r="S151" s="296">
        <f>SUM(S148:S149)</f>
        <v>1</v>
      </c>
      <c r="T151" s="49">
        <f>SUM(T148:T149)</f>
        <v>1</v>
      </c>
    </row>
    <row r="152" spans="2:20">
      <c r="B152" s="3" t="s">
        <v>112</v>
      </c>
      <c r="C152" s="46"/>
      <c r="D152" s="47">
        <f>710-45</f>
        <v>665</v>
      </c>
      <c r="E152" s="48" t="s">
        <v>833</v>
      </c>
      <c r="F152" s="3"/>
      <c r="G152" s="10">
        <v>1000</v>
      </c>
      <c r="H152" s="79">
        <f>G152/G157</f>
        <v>0.29411764705882354</v>
      </c>
      <c r="I152" s="3"/>
      <c r="J152" s="3"/>
      <c r="K152"/>
      <c r="L152" s="51"/>
      <c r="M152" s="68"/>
      <c r="N152" s="322"/>
      <c r="O152" s="323"/>
      <c r="P152" s="51"/>
      <c r="Q152" s="52"/>
      <c r="R152" s="325"/>
      <c r="S152" s="51"/>
      <c r="T152" s="3"/>
    </row>
    <row r="153" spans="2:20">
      <c r="B153" s="3"/>
      <c r="C153" s="46"/>
      <c r="D153" s="47"/>
      <c r="E153" s="48" t="s">
        <v>834</v>
      </c>
      <c r="F153" s="3"/>
      <c r="G153" s="10">
        <v>1650</v>
      </c>
      <c r="H153" s="79">
        <f>G153/G157</f>
        <v>0.48529411764705882</v>
      </c>
      <c r="I153" s="3"/>
      <c r="K153"/>
      <c r="L153" s="51"/>
      <c r="M153" s="68"/>
      <c r="N153" s="322"/>
      <c r="O153" s="323" t="s">
        <v>923</v>
      </c>
      <c r="P153" s="51"/>
      <c r="Q153" s="52">
        <v>2570.34</v>
      </c>
      <c r="R153" s="325">
        <f>Q153/Q157</f>
        <v>0.76240901244015735</v>
      </c>
      <c r="S153" s="51"/>
    </row>
    <row r="154" spans="2:20">
      <c r="B154" s="3"/>
      <c r="C154" s="46"/>
      <c r="D154" s="47"/>
      <c r="E154" s="48" t="s">
        <v>835</v>
      </c>
      <c r="F154" s="3"/>
      <c r="G154" s="10">
        <v>100</v>
      </c>
      <c r="H154" s="79">
        <f>G154/G157</f>
        <v>2.9411764705882353E-2</v>
      </c>
      <c r="I154" s="3"/>
      <c r="K154"/>
      <c r="L154" s="51"/>
      <c r="M154" s="68"/>
      <c r="N154" s="70"/>
      <c r="O154" s="323" t="s">
        <v>836</v>
      </c>
      <c r="P154" s="51"/>
      <c r="Q154" s="52">
        <v>800</v>
      </c>
      <c r="R154" s="325">
        <f>Q154/Q157</f>
        <v>0.23729436959784536</v>
      </c>
      <c r="S154" s="51"/>
    </row>
    <row r="155" spans="2:20">
      <c r="B155" s="3"/>
      <c r="C155" s="46"/>
      <c r="D155" s="47"/>
      <c r="E155" s="48" t="s">
        <v>836</v>
      </c>
      <c r="F155" s="3"/>
      <c r="G155" s="10">
        <v>600</v>
      </c>
      <c r="H155" s="79">
        <f>G155/G157</f>
        <v>0.17647058823529413</v>
      </c>
      <c r="I155" s="3"/>
      <c r="K155"/>
      <c r="L155" s="51"/>
      <c r="M155" s="68"/>
      <c r="N155" s="70"/>
      <c r="O155" s="323"/>
      <c r="P155" s="51"/>
      <c r="Q155" s="52"/>
      <c r="R155" s="325"/>
      <c r="S155" s="51"/>
    </row>
    <row r="156" spans="2:20">
      <c r="B156" s="51"/>
      <c r="C156" s="68"/>
      <c r="D156" s="70"/>
      <c r="E156" s="48"/>
      <c r="F156" s="3"/>
      <c r="G156" s="10"/>
      <c r="H156" s="79"/>
      <c r="I156" s="3"/>
      <c r="K156"/>
      <c r="L156" s="51"/>
      <c r="M156" s="68"/>
      <c r="N156" s="70"/>
      <c r="O156" s="323"/>
      <c r="P156" s="51"/>
      <c r="Q156" s="52"/>
      <c r="R156" s="325"/>
      <c r="S156" s="51"/>
    </row>
    <row r="157" spans="2:20" ht="15.75" thickBot="1">
      <c r="B157" s="11" t="s">
        <v>103</v>
      </c>
      <c r="C157" s="49">
        <f>SUM(C148:C156)</f>
        <v>0.62790134002581455</v>
      </c>
      <c r="D157" s="50">
        <f>SUM(D148:D153)</f>
        <v>3399.636</v>
      </c>
      <c r="E157" s="11" t="s">
        <v>103</v>
      </c>
      <c r="F157" s="43"/>
      <c r="G157" s="12">
        <f>SUM(G151:G156)</f>
        <v>3400</v>
      </c>
      <c r="H157" s="80">
        <f>SUM(H151:H156)</f>
        <v>1</v>
      </c>
      <c r="I157" s="3"/>
      <c r="K157"/>
      <c r="L157" s="56" t="s">
        <v>103</v>
      </c>
      <c r="M157" s="324">
        <f>SUM(M148:M156)</f>
        <v>1</v>
      </c>
      <c r="N157" s="326">
        <f>SUM(N148:N153)</f>
        <v>3371.34</v>
      </c>
      <c r="O157" s="56" t="s">
        <v>103</v>
      </c>
      <c r="P157" s="327"/>
      <c r="Q157" s="296">
        <f>SUM(Q151:Q156)</f>
        <v>3371.34</v>
      </c>
      <c r="R157" s="328">
        <f>SUM(R151:R156)</f>
        <v>1</v>
      </c>
      <c r="S157" s="51"/>
    </row>
    <row r="158" spans="2:20">
      <c r="B158" s="3"/>
      <c r="C158" s="3"/>
      <c r="D158" s="3"/>
      <c r="E158" s="3"/>
      <c r="F158" s="3"/>
      <c r="G158" s="3"/>
      <c r="H158" s="3"/>
      <c r="I158" s="3"/>
      <c r="J158" s="3"/>
      <c r="K158"/>
    </row>
    <row r="159" spans="2:20">
      <c r="B159" s="3"/>
      <c r="C159" s="3"/>
      <c r="D159" s="3"/>
      <c r="E159" s="3"/>
      <c r="F159" s="3"/>
      <c r="G159" s="82"/>
      <c r="H159" s="3"/>
      <c r="I159" s="3"/>
      <c r="J159" s="3"/>
      <c r="K159"/>
    </row>
    <row r="160" spans="2:20">
      <c r="B160" s="3"/>
      <c r="C160" s="3"/>
      <c r="D160" s="3"/>
      <c r="E160" s="3"/>
      <c r="F160" s="3"/>
      <c r="G160" s="82"/>
      <c r="H160" s="3"/>
      <c r="I160" s="3"/>
      <c r="J160" s="3"/>
      <c r="K160"/>
    </row>
    <row r="161" spans="2:18">
      <c r="B161" s="3"/>
      <c r="C161" s="3"/>
      <c r="D161" s="3"/>
      <c r="E161" s="3"/>
      <c r="F161" s="3"/>
      <c r="G161" s="82"/>
      <c r="H161" s="3"/>
      <c r="I161" s="3"/>
      <c r="J161" s="3"/>
      <c r="K161"/>
    </row>
    <row r="162" spans="2:18">
      <c r="B162" s="3"/>
      <c r="C162" s="3"/>
      <c r="D162" s="3"/>
      <c r="E162" s="3"/>
      <c r="F162" s="3"/>
      <c r="G162" s="82"/>
      <c r="H162" s="3"/>
      <c r="I162" s="3"/>
      <c r="J162" s="3"/>
      <c r="K162"/>
    </row>
    <row r="163" spans="2:18">
      <c r="B163" s="3"/>
      <c r="C163" s="3"/>
      <c r="D163" s="3"/>
      <c r="E163" s="3"/>
      <c r="F163" s="3"/>
      <c r="G163" s="82"/>
      <c r="H163" s="3"/>
      <c r="I163" s="3"/>
      <c r="J163" s="3"/>
      <c r="K163"/>
    </row>
    <row r="164" spans="2:18">
      <c r="B164" s="3"/>
      <c r="C164" s="3"/>
      <c r="D164" s="3"/>
      <c r="E164" s="3"/>
      <c r="F164" s="3"/>
      <c r="G164" s="82"/>
      <c r="H164" s="3"/>
      <c r="I164" s="3"/>
      <c r="J164" s="3"/>
      <c r="K164"/>
    </row>
    <row r="165" spans="2:18">
      <c r="B165" s="1" t="s">
        <v>277</v>
      </c>
      <c r="C165" s="21"/>
      <c r="D165" s="21"/>
      <c r="E165" s="21"/>
      <c r="F165" s="40"/>
      <c r="G165" s="3"/>
      <c r="K165"/>
      <c r="L165" s="67"/>
      <c r="M165" s="67"/>
      <c r="N165" s="67"/>
      <c r="O165" s="67"/>
      <c r="P165" s="316"/>
      <c r="Q165" s="51"/>
      <c r="R165" s="32"/>
    </row>
    <row r="166" spans="2:18">
      <c r="B166" s="7" t="s">
        <v>2</v>
      </c>
      <c r="C166" s="8">
        <v>47756</v>
      </c>
      <c r="D166" s="8">
        <v>11596</v>
      </c>
      <c r="E166" s="8">
        <v>11962</v>
      </c>
      <c r="F166" s="8" t="s">
        <v>255</v>
      </c>
      <c r="G166" s="3"/>
      <c r="H166" s="54"/>
      <c r="K166"/>
      <c r="L166" s="55"/>
      <c r="M166" s="54"/>
      <c r="N166" s="54"/>
      <c r="O166" s="54"/>
      <c r="P166" s="54"/>
      <c r="Q166" s="51"/>
      <c r="R166" s="54"/>
    </row>
    <row r="167" spans="2:18">
      <c r="B167" s="5" t="s">
        <v>24</v>
      </c>
      <c r="C167" s="22">
        <f>'Agrégé - P&amp;L (2)'!BU42/1000</f>
        <v>1402.2915690476191</v>
      </c>
      <c r="D167" s="22">
        <f>C167</f>
        <v>1402.2915690476191</v>
      </c>
      <c r="E167" s="22">
        <f>D167</f>
        <v>1402.2915690476191</v>
      </c>
      <c r="F167" s="22">
        <f>AVERAGE(C167:E167)</f>
        <v>1402.2915690476191</v>
      </c>
      <c r="G167" s="3"/>
      <c r="H167" s="32"/>
      <c r="K167"/>
      <c r="L167" s="55"/>
      <c r="M167" s="257"/>
      <c r="N167" s="257"/>
      <c r="O167" s="257"/>
      <c r="P167" s="257"/>
      <c r="Q167" s="51"/>
      <c r="R167" s="32"/>
    </row>
    <row r="168" spans="2:18">
      <c r="B168" s="41" t="s">
        <v>98</v>
      </c>
      <c r="C168" s="42">
        <v>4.5</v>
      </c>
      <c r="D168" s="42">
        <f>C168</f>
        <v>4.5</v>
      </c>
      <c r="E168" s="42">
        <f>D168</f>
        <v>4.5</v>
      </c>
      <c r="F168" s="42"/>
      <c r="G168" s="3"/>
      <c r="H168" s="258"/>
      <c r="I168" s="317"/>
      <c r="K168"/>
      <c r="L168" s="235"/>
      <c r="M168" s="258"/>
      <c r="N168" s="258"/>
      <c r="O168" s="258"/>
      <c r="P168" s="258"/>
      <c r="Q168" s="51"/>
      <c r="R168" s="258"/>
    </row>
    <row r="169" spans="2:18">
      <c r="B169" s="5" t="s">
        <v>99</v>
      </c>
      <c r="C169" s="22">
        <f>C167*C168</f>
        <v>6310.3120607142855</v>
      </c>
      <c r="D169" s="22">
        <f>D167*D168</f>
        <v>6310.3120607142855</v>
      </c>
      <c r="E169" s="22">
        <f>E167*E168</f>
        <v>6310.3120607142855</v>
      </c>
      <c r="F169" s="22"/>
      <c r="G169" s="3"/>
      <c r="H169" s="32"/>
      <c r="K169"/>
      <c r="L169" s="55"/>
      <c r="M169" s="257"/>
      <c r="N169" s="257"/>
      <c r="O169" s="257"/>
      <c r="P169" s="257"/>
      <c r="Q169" s="51"/>
      <c r="R169" s="32"/>
    </row>
    <row r="170" spans="2:18">
      <c r="B170" s="5" t="s">
        <v>163</v>
      </c>
      <c r="C170" s="22"/>
      <c r="D170" s="22"/>
      <c r="E170" s="22"/>
      <c r="F170" s="22"/>
      <c r="G170" s="3"/>
      <c r="H170" s="32"/>
      <c r="I170" s="32"/>
      <c r="J170" s="32"/>
      <c r="K170"/>
      <c r="L170" s="55"/>
      <c r="M170" s="257"/>
      <c r="N170" s="257"/>
      <c r="O170" s="257"/>
      <c r="P170" s="257"/>
      <c r="Q170" s="51"/>
      <c r="R170" s="32"/>
    </row>
    <row r="171" spans="2:18" ht="15.75" thickBot="1">
      <c r="B171" s="11" t="s">
        <v>100</v>
      </c>
      <c r="C171" s="12">
        <f>C169+C170</f>
        <v>6310.3120607142855</v>
      </c>
      <c r="D171" s="12">
        <f t="shared" ref="D171:E171" si="36">D169+D170</f>
        <v>6310.3120607142855</v>
      </c>
      <c r="E171" s="12">
        <f t="shared" si="36"/>
        <v>6310.3120607142855</v>
      </c>
      <c r="F171" s="12"/>
      <c r="G171" s="3"/>
      <c r="K171"/>
      <c r="L171" s="55"/>
      <c r="M171" s="257"/>
      <c r="N171" s="257"/>
      <c r="O171" s="257"/>
      <c r="P171" s="257"/>
      <c r="Q171" s="51"/>
      <c r="R171" s="32"/>
    </row>
    <row r="172" spans="2:18" ht="15.75" thickBot="1">
      <c r="B172" s="11" t="s">
        <v>67</v>
      </c>
      <c r="C172" s="12"/>
      <c r="D172" s="12"/>
      <c r="E172" s="12"/>
      <c r="J172" s="3"/>
      <c r="K172"/>
      <c r="L172" s="55"/>
      <c r="M172" s="257"/>
      <c r="N172" s="257"/>
      <c r="O172" s="257"/>
      <c r="P172" s="32"/>
      <c r="Q172" s="32"/>
      <c r="R172" s="32"/>
    </row>
    <row r="173" spans="2:18">
      <c r="B173" s="3"/>
      <c r="C173" s="3"/>
      <c r="D173" s="3"/>
      <c r="E173" s="3"/>
      <c r="F173" s="3"/>
      <c r="G173" s="3"/>
      <c r="H173" s="3"/>
      <c r="I173" s="3"/>
      <c r="J173" s="3"/>
      <c r="K173"/>
    </row>
    <row r="174" spans="2:18" s="177" customFormat="1">
      <c r="B174" s="175" t="s">
        <v>256</v>
      </c>
      <c r="C174" s="176">
        <v>5000</v>
      </c>
      <c r="D174" s="175"/>
      <c r="E174" s="175"/>
      <c r="F174" s="175" t="s">
        <v>930</v>
      </c>
      <c r="G174" s="175"/>
      <c r="H174" s="175"/>
      <c r="I174" s="175"/>
      <c r="J174" s="175"/>
      <c r="K174" s="71"/>
      <c r="L174" s="215"/>
      <c r="M174" s="67"/>
    </row>
    <row r="175" spans="2:18">
      <c r="B175" s="3"/>
      <c r="C175" s="3"/>
      <c r="D175" s="3"/>
      <c r="E175" s="3"/>
      <c r="F175" s="3"/>
      <c r="G175" s="3"/>
      <c r="H175" s="3"/>
      <c r="I175" s="3"/>
      <c r="J175" s="3"/>
      <c r="K175"/>
    </row>
    <row r="176" spans="2:18">
      <c r="B176" s="1" t="s">
        <v>268</v>
      </c>
      <c r="C176" s="21"/>
      <c r="D176" s="21"/>
      <c r="E176" s="21"/>
      <c r="F176" s="21"/>
      <c r="G176" s="21"/>
      <c r="H176" s="21"/>
      <c r="I176" s="21"/>
      <c r="J176" s="21"/>
      <c r="K176" s="21"/>
    </row>
    <row r="177" spans="2:12">
      <c r="B177" s="7" t="s">
        <v>2</v>
      </c>
      <c r="C177" s="8" t="s">
        <v>908</v>
      </c>
      <c r="D177" s="8" t="s">
        <v>909</v>
      </c>
      <c r="E177" s="8" t="s">
        <v>910</v>
      </c>
      <c r="F177" s="8" t="s">
        <v>911</v>
      </c>
      <c r="G177" s="8" t="s">
        <v>912</v>
      </c>
      <c r="H177" s="8" t="s">
        <v>913</v>
      </c>
      <c r="I177" s="8" t="s">
        <v>914</v>
      </c>
      <c r="J177" s="8" t="s">
        <v>915</v>
      </c>
      <c r="K177" s="8" t="s">
        <v>254</v>
      </c>
    </row>
    <row r="178" spans="2:12">
      <c r="B178" s="3" t="s">
        <v>101</v>
      </c>
      <c r="C178" s="170">
        <f>-G129</f>
        <v>-125</v>
      </c>
      <c r="D178" s="171">
        <v>0</v>
      </c>
      <c r="E178" s="170">
        <v>0</v>
      </c>
      <c r="F178" s="170">
        <v>0</v>
      </c>
      <c r="G178" s="170">
        <v>0</v>
      </c>
      <c r="H178" s="170">
        <v>0</v>
      </c>
      <c r="I178" s="170">
        <v>0</v>
      </c>
      <c r="J178" s="170">
        <f>C174*H129</f>
        <v>277.77777777777777</v>
      </c>
      <c r="K178" s="46">
        <f>IRR(C178:J178)</f>
        <v>0.12083341377695955</v>
      </c>
      <c r="L178" s="178"/>
    </row>
    <row r="179" spans="2:12">
      <c r="B179" s="3" t="s">
        <v>906</v>
      </c>
      <c r="C179" s="170">
        <f>-G133/2</f>
        <v>-187.5</v>
      </c>
      <c r="D179" s="171">
        <f>-C179*L179*2</f>
        <v>22.5</v>
      </c>
      <c r="E179" s="170">
        <f>D179</f>
        <v>22.5</v>
      </c>
      <c r="F179" s="170">
        <f>E179</f>
        <v>22.5</v>
      </c>
      <c r="G179" s="170">
        <f>F179</f>
        <v>22.5</v>
      </c>
      <c r="H179" s="170">
        <f>G179</f>
        <v>22.5</v>
      </c>
      <c r="I179" s="170">
        <f>H179</f>
        <v>22.5</v>
      </c>
      <c r="J179" s="170">
        <f>I179-C179</f>
        <v>210</v>
      </c>
      <c r="K179" s="46">
        <f>IRR(C179:J179)</f>
        <v>0.11999999998913258</v>
      </c>
      <c r="L179" s="178">
        <v>0.06</v>
      </c>
    </row>
    <row r="180" spans="2:12">
      <c r="B180" s="3" t="s">
        <v>907</v>
      </c>
      <c r="C180" s="170">
        <f>C179</f>
        <v>-187.5</v>
      </c>
      <c r="D180" s="171">
        <v>0</v>
      </c>
      <c r="E180" s="170">
        <v>0</v>
      </c>
      <c r="F180" s="170">
        <v>0</v>
      </c>
      <c r="G180" s="170">
        <v>0</v>
      </c>
      <c r="H180" s="170">
        <v>0</v>
      </c>
      <c r="I180" s="170">
        <v>0</v>
      </c>
      <c r="J180" s="170">
        <f>-C180*(1+L180*2)^7</f>
        <v>414.50276388864017</v>
      </c>
      <c r="K180" s="46">
        <f>IRR(C180:J180)</f>
        <v>0.12000000000000011</v>
      </c>
      <c r="L180" s="178">
        <v>0.06</v>
      </c>
    </row>
    <row r="181" spans="2:12">
      <c r="B181" s="3"/>
      <c r="C181" s="170"/>
      <c r="D181" s="171"/>
      <c r="E181" s="170"/>
      <c r="F181" s="170"/>
      <c r="G181" s="170"/>
      <c r="H181" s="170"/>
      <c r="I181" s="170"/>
      <c r="J181" s="170"/>
      <c r="K181" s="170"/>
      <c r="L181" s="178"/>
    </row>
    <row r="182" spans="2:12" ht="15.75" thickBot="1">
      <c r="B182" s="11" t="s">
        <v>103</v>
      </c>
      <c r="C182" s="172">
        <f t="shared" ref="C182:I182" si="37">SUM(C178:C180)</f>
        <v>-500</v>
      </c>
      <c r="D182" s="172">
        <f t="shared" si="37"/>
        <v>22.5</v>
      </c>
      <c r="E182" s="172">
        <f t="shared" si="37"/>
        <v>22.5</v>
      </c>
      <c r="F182" s="172">
        <f t="shared" si="37"/>
        <v>22.5</v>
      </c>
      <c r="G182" s="172">
        <f t="shared" si="37"/>
        <v>22.5</v>
      </c>
      <c r="H182" s="172">
        <f t="shared" si="37"/>
        <v>22.5</v>
      </c>
      <c r="I182" s="172">
        <f t="shared" si="37"/>
        <v>22.5</v>
      </c>
      <c r="J182" s="172">
        <f>SUM(J178:J180)</f>
        <v>902.280541666418</v>
      </c>
      <c r="K182" s="172"/>
    </row>
    <row r="183" spans="2:12" ht="15.75" thickBot="1">
      <c r="B183" s="11" t="s">
        <v>254</v>
      </c>
      <c r="C183" s="174">
        <f>IRR(C182:J182)</f>
        <v>0.12023217346196158</v>
      </c>
      <c r="D183" s="172"/>
      <c r="E183" s="173"/>
      <c r="F183" s="172"/>
      <c r="G183" s="173"/>
      <c r="H183" s="173"/>
      <c r="I183" s="173"/>
      <c r="J183" s="173"/>
      <c r="K183" s="173"/>
    </row>
    <row r="184" spans="2:12">
      <c r="C184" s="178"/>
      <c r="H184" s="69"/>
      <c r="K184"/>
    </row>
    <row r="185" spans="2:12">
      <c r="C185" s="320"/>
      <c r="D185" s="320"/>
      <c r="E185" s="320"/>
      <c r="F185" s="320"/>
      <c r="G185" s="320"/>
      <c r="H185" s="320"/>
      <c r="I185" s="320"/>
      <c r="J185" s="320"/>
    </row>
    <row r="186" spans="2:12">
      <c r="C186" s="320"/>
      <c r="D186" s="320"/>
      <c r="E186" s="320"/>
      <c r="F186" s="320"/>
      <c r="G186" s="320"/>
      <c r="H186" s="320"/>
      <c r="I186" s="320"/>
      <c r="J186" s="320"/>
    </row>
    <row r="187" spans="2:12">
      <c r="C187" s="320"/>
      <c r="D187" s="320"/>
      <c r="E187" s="320"/>
      <c r="F187" s="320"/>
      <c r="G187" s="320"/>
      <c r="H187" s="320"/>
      <c r="I187" s="320"/>
      <c r="J187" s="320"/>
    </row>
    <row r="188" spans="2:12">
      <c r="J188" s="319"/>
    </row>
    <row r="190" spans="2:12">
      <c r="K190" s="321"/>
      <c r="L190" s="318"/>
    </row>
    <row r="191" spans="2:12">
      <c r="J191" s="319"/>
    </row>
    <row r="193" spans="10:12">
      <c r="L193" s="318"/>
    </row>
    <row r="194" spans="10:12">
      <c r="J194" s="319"/>
    </row>
    <row r="197" spans="10:12">
      <c r="J197" s="319"/>
    </row>
  </sheetData>
  <mergeCells count="11">
    <mergeCell ref="F4:G4"/>
    <mergeCell ref="B144:J144"/>
    <mergeCell ref="L144:T144"/>
    <mergeCell ref="L14:L15"/>
    <mergeCell ref="L40:L41"/>
    <mergeCell ref="B11:O11"/>
    <mergeCell ref="B37:O37"/>
    <mergeCell ref="B63:O63"/>
    <mergeCell ref="L66:L67"/>
    <mergeCell ref="B90:O90"/>
    <mergeCell ref="B124:J124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4EA51-50ED-ED4B-AE35-62B4F1175A1B}">
  <sheetPr codeName="Feuil40">
    <tabColor rgb="FFFFC000"/>
  </sheetPr>
  <dimension ref="A1"/>
  <sheetViews>
    <sheetView workbookViewId="0">
      <selection activeCell="Y31" sqref="Y31"/>
    </sheetView>
  </sheetViews>
  <sheetFormatPr baseColWidth="10" defaultColWidth="10.7109375" defaultRowHeight="15"/>
  <cols>
    <col min="1" max="16384" width="10.7109375" style="78"/>
  </cols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9ABAB-AE54-8C49-837F-FE25516EE1A4}">
  <sheetPr codeName="Feuil55">
    <tabColor rgb="FF006C4C"/>
  </sheetPr>
  <dimension ref="B3:D30"/>
  <sheetViews>
    <sheetView zoomScaleNormal="100" workbookViewId="0">
      <selection activeCell="F15" sqref="F15"/>
    </sheetView>
  </sheetViews>
  <sheetFormatPr baseColWidth="10" defaultColWidth="10.85546875" defaultRowHeight="15"/>
  <cols>
    <col min="1" max="1" width="10.85546875" style="32"/>
    <col min="2" max="2" width="23.42578125" style="32" customWidth="1"/>
    <col min="3" max="4" width="11.85546875" style="32" customWidth="1"/>
    <col min="5" max="16384" width="10.85546875" style="32"/>
  </cols>
  <sheetData>
    <row r="3" spans="2:4" ht="15" customHeight="1">
      <c r="B3" s="353" t="s">
        <v>809</v>
      </c>
      <c r="C3" s="353"/>
      <c r="D3" s="353"/>
    </row>
    <row r="4" spans="2:4" ht="15" customHeight="1">
      <c r="B4" s="353"/>
      <c r="C4" s="353"/>
      <c r="D4" s="353"/>
    </row>
    <row r="5" spans="2:4">
      <c r="B5" s="289"/>
      <c r="C5" s="289"/>
      <c r="D5" s="289"/>
    </row>
    <row r="6" spans="2:4">
      <c r="B6" s="290" t="s">
        <v>810</v>
      </c>
      <c r="C6" s="291"/>
      <c r="D6" s="292"/>
    </row>
    <row r="7" spans="2:4">
      <c r="B7" s="293" t="s">
        <v>2</v>
      </c>
      <c r="C7" s="294"/>
      <c r="D7" s="294"/>
    </row>
    <row r="8" spans="2:4">
      <c r="B8" s="289" t="s">
        <v>812</v>
      </c>
      <c r="C8" s="52"/>
      <c r="D8" s="297">
        <v>165808</v>
      </c>
    </row>
    <row r="9" spans="2:4">
      <c r="B9" s="289" t="s">
        <v>811</v>
      </c>
      <c r="C9" s="52"/>
      <c r="D9" s="297">
        <v>246047</v>
      </c>
    </row>
    <row r="10" spans="2:4">
      <c r="B10" s="289" t="s">
        <v>813</v>
      </c>
      <c r="C10" s="52"/>
      <c r="D10" s="297">
        <v>161747</v>
      </c>
    </row>
    <row r="11" spans="2:4">
      <c r="B11" s="289" t="s">
        <v>819</v>
      </c>
      <c r="C11" s="52"/>
      <c r="D11" s="297">
        <f>87300+91500</f>
        <v>178800</v>
      </c>
    </row>
    <row r="12" spans="2:4">
      <c r="B12" s="289" t="s">
        <v>820</v>
      </c>
      <c r="C12" s="52"/>
      <c r="D12" s="297">
        <v>74500</v>
      </c>
    </row>
    <row r="13" spans="2:4">
      <c r="B13" s="289" t="s">
        <v>814</v>
      </c>
      <c r="C13" s="52"/>
      <c r="D13" s="297">
        <f>22690+32+1400</f>
        <v>24122</v>
      </c>
    </row>
    <row r="14" spans="2:4">
      <c r="B14" s="289" t="s">
        <v>815</v>
      </c>
      <c r="C14" s="52"/>
      <c r="D14" s="297">
        <v>232368</v>
      </c>
    </row>
    <row r="15" spans="2:4">
      <c r="B15" s="289" t="s">
        <v>816</v>
      </c>
      <c r="C15" s="52"/>
      <c r="D15" s="297">
        <f>249500+15750+3750+32500</f>
        <v>301500</v>
      </c>
    </row>
    <row r="16" spans="2:4">
      <c r="B16" s="289" t="s">
        <v>817</v>
      </c>
      <c r="C16" s="52"/>
      <c r="D16" s="297">
        <v>25100</v>
      </c>
    </row>
    <row r="17" spans="2:4">
      <c r="B17" s="289" t="s">
        <v>818</v>
      </c>
      <c r="C17" s="52"/>
      <c r="D17" s="297">
        <f>230937+29547</f>
        <v>260484</v>
      </c>
    </row>
    <row r="18" spans="2:4">
      <c r="B18" s="289" t="s">
        <v>821</v>
      </c>
      <c r="C18" s="52"/>
      <c r="D18" s="297">
        <f>7800+1350+9150+970+1650</f>
        <v>20920</v>
      </c>
    </row>
    <row r="19" spans="2:4">
      <c r="B19" s="289" t="s">
        <v>822</v>
      </c>
      <c r="C19" s="52"/>
      <c r="D19" s="297">
        <v>26985</v>
      </c>
    </row>
    <row r="20" spans="2:4">
      <c r="B20" s="289" t="s">
        <v>824</v>
      </c>
      <c r="C20" s="52"/>
      <c r="D20" s="297">
        <v>40000</v>
      </c>
    </row>
    <row r="21" spans="2:4">
      <c r="B21" s="289" t="s">
        <v>825</v>
      </c>
      <c r="C21" s="52"/>
      <c r="D21" s="297">
        <v>110000</v>
      </c>
    </row>
    <row r="22" spans="2:4">
      <c r="B22" s="289" t="s">
        <v>826</v>
      </c>
      <c r="C22" s="52"/>
      <c r="D22" s="297">
        <v>80000</v>
      </c>
    </row>
    <row r="23" spans="2:4">
      <c r="B23" s="289" t="s">
        <v>827</v>
      </c>
      <c r="C23" s="52"/>
      <c r="D23" s="297">
        <v>50000</v>
      </c>
    </row>
    <row r="24" spans="2:4">
      <c r="B24" s="289" t="s">
        <v>828</v>
      </c>
      <c r="C24" s="52"/>
      <c r="D24" s="297">
        <v>40000</v>
      </c>
    </row>
    <row r="25" spans="2:4">
      <c r="B25" s="289"/>
      <c r="C25" s="52"/>
      <c r="D25" s="297"/>
    </row>
    <row r="26" spans="2:4">
      <c r="B26" s="289" t="s">
        <v>823</v>
      </c>
      <c r="C26" s="52"/>
      <c r="D26" s="297">
        <v>52000</v>
      </c>
    </row>
    <row r="27" spans="2:4">
      <c r="B27" s="289" t="s">
        <v>829</v>
      </c>
      <c r="C27" s="52"/>
      <c r="D27" s="297">
        <f>0.007*7*0.3*'E-R'!G153*1000</f>
        <v>24255</v>
      </c>
    </row>
    <row r="28" spans="2:4">
      <c r="B28" s="289" t="s">
        <v>895</v>
      </c>
      <c r="C28" s="52"/>
      <c r="D28" s="297">
        <v>20000</v>
      </c>
    </row>
    <row r="29" spans="2:4">
      <c r="B29" s="289"/>
      <c r="C29" s="52"/>
      <c r="D29" s="297"/>
    </row>
    <row r="30" spans="2:4" ht="15.75" thickBot="1">
      <c r="B30" s="295" t="s">
        <v>103</v>
      </c>
      <c r="C30" s="296"/>
      <c r="D30" s="298">
        <f>SUM(D8:D29)</f>
        <v>2134636</v>
      </c>
    </row>
  </sheetData>
  <mergeCells count="1">
    <mergeCell ref="B3:D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CBDB8-8BC9-764A-93F3-C711724DAA90}">
  <sheetPr codeName="Feuil56">
    <tabColor rgb="FF006C4C"/>
  </sheetPr>
  <dimension ref="B3:D27"/>
  <sheetViews>
    <sheetView topLeftCell="A7" zoomScale="115" zoomScaleNormal="115" workbookViewId="0">
      <selection activeCell="D5" sqref="D5"/>
    </sheetView>
  </sheetViews>
  <sheetFormatPr baseColWidth="10" defaultColWidth="10.85546875" defaultRowHeight="15"/>
  <cols>
    <col min="1" max="1" width="10.85546875" style="32"/>
    <col min="2" max="2" width="23.42578125" style="32" customWidth="1"/>
    <col min="3" max="4" width="11.85546875" style="32" customWidth="1"/>
    <col min="5" max="16384" width="10.85546875" style="32"/>
  </cols>
  <sheetData>
    <row r="3" spans="2:4">
      <c r="B3" s="290" t="s">
        <v>881</v>
      </c>
      <c r="C3" s="291"/>
      <c r="D3" s="292"/>
    </row>
    <row r="4" spans="2:4">
      <c r="B4" s="293" t="s">
        <v>882</v>
      </c>
      <c r="C4" s="294"/>
      <c r="D4" s="294"/>
    </row>
    <row r="5" spans="2:4">
      <c r="B5" s="289" t="s">
        <v>812</v>
      </c>
      <c r="C5" s="52"/>
      <c r="D5" s="312">
        <v>18</v>
      </c>
    </row>
    <row r="6" spans="2:4">
      <c r="B6" s="289" t="s">
        <v>811</v>
      </c>
      <c r="C6" s="52"/>
      <c r="D6" s="312">
        <f>11+22+1.47+3+2.2</f>
        <v>39.67</v>
      </c>
    </row>
    <row r="7" spans="2:4">
      <c r="B7" s="289" t="s">
        <v>813</v>
      </c>
      <c r="C7" s="52"/>
      <c r="D7" s="312">
        <v>95</v>
      </c>
    </row>
    <row r="8" spans="2:4">
      <c r="B8" s="289" t="s">
        <v>819</v>
      </c>
      <c r="C8" s="52"/>
      <c r="D8" s="312">
        <v>3</v>
      </c>
    </row>
    <row r="9" spans="2:4">
      <c r="B9" s="289" t="s">
        <v>820</v>
      </c>
      <c r="C9" s="52"/>
      <c r="D9" s="312">
        <v>3.75</v>
      </c>
    </row>
    <row r="10" spans="2:4">
      <c r="B10" s="289" t="s">
        <v>814</v>
      </c>
      <c r="C10" s="52"/>
      <c r="D10" s="312">
        <v>18.5</v>
      </c>
    </row>
    <row r="11" spans="2:4">
      <c r="B11" s="289" t="s">
        <v>815</v>
      </c>
      <c r="C11" s="52"/>
      <c r="D11" s="312">
        <v>1.6</v>
      </c>
    </row>
    <row r="12" spans="2:4">
      <c r="B12" s="289" t="s">
        <v>816</v>
      </c>
      <c r="C12" s="52"/>
      <c r="D12" s="312">
        <f>7*3</f>
        <v>21</v>
      </c>
    </row>
    <row r="13" spans="2:4">
      <c r="B13" s="289" t="s">
        <v>817</v>
      </c>
      <c r="C13" s="52"/>
      <c r="D13" s="312">
        <v>1</v>
      </c>
    </row>
    <row r="14" spans="2:4">
      <c r="B14" s="289" t="s">
        <v>818</v>
      </c>
      <c r="C14" s="52"/>
      <c r="D14" s="312">
        <v>55</v>
      </c>
    </row>
    <row r="15" spans="2:4">
      <c r="B15" s="289" t="s">
        <v>821</v>
      </c>
      <c r="C15" s="52"/>
      <c r="D15" s="312">
        <f>2*0.25+0.25</f>
        <v>0.75</v>
      </c>
    </row>
    <row r="16" spans="2:4">
      <c r="B16" s="289" t="s">
        <v>822</v>
      </c>
      <c r="C16" s="52"/>
      <c r="D16" s="312">
        <v>3</v>
      </c>
    </row>
    <row r="17" spans="2:4">
      <c r="B17" s="289" t="s">
        <v>824</v>
      </c>
      <c r="C17" s="52"/>
      <c r="D17" s="312">
        <v>3</v>
      </c>
    </row>
    <row r="18" spans="2:4">
      <c r="B18" s="289" t="s">
        <v>825</v>
      </c>
      <c r="C18" s="52"/>
      <c r="D18" s="312"/>
    </row>
    <row r="19" spans="2:4">
      <c r="B19" s="289" t="s">
        <v>826</v>
      </c>
      <c r="C19" s="52"/>
      <c r="D19" s="312"/>
    </row>
    <row r="20" spans="2:4">
      <c r="B20" s="289" t="s">
        <v>827</v>
      </c>
      <c r="C20" s="52"/>
      <c r="D20" s="312">
        <v>2</v>
      </c>
    </row>
    <row r="21" spans="2:4">
      <c r="B21" s="289" t="s">
        <v>828</v>
      </c>
      <c r="C21" s="52"/>
      <c r="D21" s="312"/>
    </row>
    <row r="22" spans="2:4">
      <c r="B22" s="289"/>
      <c r="C22" s="52"/>
      <c r="D22" s="312"/>
    </row>
    <row r="23" spans="2:4" ht="15.75" thickBot="1">
      <c r="B23" s="295" t="s">
        <v>103</v>
      </c>
      <c r="C23" s="296"/>
      <c r="D23" s="313">
        <f>SUM(D5:D22)</f>
        <v>265.27</v>
      </c>
    </row>
    <row r="25" spans="2:4">
      <c r="B25" s="32" t="s">
        <v>883</v>
      </c>
      <c r="D25" s="32">
        <v>250</v>
      </c>
    </row>
    <row r="27" spans="2:4">
      <c r="B27" s="32" t="s">
        <v>884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245E0-F82B-434D-836D-5FA68244467C}">
  <sheetPr codeName="Feuil15">
    <tabColor rgb="FF006C4C"/>
  </sheetPr>
  <dimension ref="A1"/>
  <sheetViews>
    <sheetView zoomScale="70" zoomScaleNormal="70" workbookViewId="0">
      <selection activeCell="AI29" sqref="AI29"/>
    </sheetView>
  </sheetViews>
  <sheetFormatPr baseColWidth="10" defaultColWidth="10.7109375" defaultRowHeight="15"/>
  <cols>
    <col min="1" max="16384" width="10.7109375" style="32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1">
    <tabColor rgb="FFFFC000"/>
  </sheetPr>
  <dimension ref="A1"/>
  <sheetViews>
    <sheetView workbookViewId="0">
      <selection activeCell="M26" sqref="M26"/>
    </sheetView>
  </sheetViews>
  <sheetFormatPr baseColWidth="10" defaultColWidth="10.7109375" defaultRowHeight="15"/>
  <cols>
    <col min="1" max="16384" width="10.7109375" style="66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DA135-CAFB-4343-BF7A-AAF98F95B09A}">
  <sheetPr codeName="Feuil19">
    <tabColor rgb="FF006C4C"/>
  </sheetPr>
  <dimension ref="B3:BC43"/>
  <sheetViews>
    <sheetView zoomScale="110" zoomScaleNormal="110" workbookViewId="0">
      <pane xSplit="2" ySplit="6" topLeftCell="G7" activePane="bottomRight" state="frozen"/>
      <selection pane="topRight" activeCell="C1" sqref="C1"/>
      <selection pane="bottomLeft" activeCell="A7" sqref="A7"/>
      <selection pane="bottomRight" activeCell="BE26" sqref="BE26"/>
    </sheetView>
  </sheetViews>
  <sheetFormatPr baseColWidth="10" defaultColWidth="12.42578125" defaultRowHeight="15" outlineLevelCol="1"/>
  <cols>
    <col min="1" max="1" width="12.42578125" style="32"/>
    <col min="2" max="2" width="46.7109375" style="32" customWidth="1"/>
    <col min="3" max="6" width="18.140625" style="32" hidden="1" customWidth="1" outlineLevel="1"/>
    <col min="7" max="7" width="18.140625" style="32" customWidth="1" collapsed="1"/>
    <col min="8" max="12" width="18.140625" style="32" hidden="1" customWidth="1" outlineLevel="1"/>
    <col min="13" max="13" width="18.140625" style="32" customWidth="1" collapsed="1"/>
    <col min="14" max="18" width="18.140625" style="32" hidden="1" customWidth="1" outlineLevel="1"/>
    <col min="19" max="19" width="18.140625" style="32" customWidth="1" collapsed="1"/>
    <col min="20" max="24" width="18.140625" style="32" hidden="1" customWidth="1" outlineLevel="1"/>
    <col min="25" max="25" width="18.140625" style="32" customWidth="1" collapsed="1"/>
    <col min="26" max="30" width="18.140625" style="32" hidden="1" customWidth="1" outlineLevel="1"/>
    <col min="31" max="31" width="18.140625" style="32" customWidth="1" collapsed="1"/>
    <col min="32" max="36" width="18.140625" style="32" hidden="1" customWidth="1" outlineLevel="1"/>
    <col min="37" max="37" width="18.140625" style="32" customWidth="1" collapsed="1"/>
    <col min="38" max="42" width="18.140625" style="32" hidden="1" customWidth="1" outlineLevel="1"/>
    <col min="43" max="43" width="18.140625" style="32" customWidth="1" collapsed="1"/>
    <col min="44" max="48" width="18.140625" style="32" hidden="1" customWidth="1" outlineLevel="1"/>
    <col min="49" max="49" width="18.140625" style="32" customWidth="1" collapsed="1"/>
    <col min="50" max="54" width="18.140625" style="32" hidden="1" customWidth="1" outlineLevel="1"/>
    <col min="55" max="55" width="18.140625" style="32" customWidth="1" collapsed="1"/>
    <col min="56" max="16384" width="12.42578125" style="32"/>
  </cols>
  <sheetData>
    <row r="3" spans="2:55" ht="15.75">
      <c r="B3" s="342" t="s">
        <v>147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2"/>
      <c r="AQ3" s="342"/>
      <c r="AR3" s="342"/>
      <c r="AS3" s="342"/>
      <c r="AT3" s="342"/>
      <c r="AU3" s="342"/>
      <c r="AV3" s="342"/>
      <c r="AW3" s="342"/>
      <c r="AX3" s="342"/>
      <c r="AY3" s="342"/>
      <c r="AZ3" s="342"/>
      <c r="BA3" s="342"/>
      <c r="BB3" s="342"/>
      <c r="BC3" s="342"/>
    </row>
    <row r="4" spans="2:55" ht="15.75">
      <c r="B4" s="33" t="s">
        <v>113</v>
      </c>
      <c r="C4" s="34" t="s">
        <v>148</v>
      </c>
      <c r="D4" s="34" t="s">
        <v>149</v>
      </c>
      <c r="E4" s="34" t="s">
        <v>95</v>
      </c>
      <c r="F4" s="34" t="s">
        <v>96</v>
      </c>
      <c r="G4" s="34" t="s">
        <v>150</v>
      </c>
      <c r="H4" s="34"/>
      <c r="I4" s="34" t="s">
        <v>148</v>
      </c>
      <c r="J4" s="34" t="s">
        <v>149</v>
      </c>
      <c r="K4" s="34" t="s">
        <v>95</v>
      </c>
      <c r="L4" s="34" t="s">
        <v>96</v>
      </c>
      <c r="M4" s="34" t="s">
        <v>151</v>
      </c>
      <c r="N4" s="34"/>
      <c r="O4" s="34" t="s">
        <v>148</v>
      </c>
      <c r="P4" s="34" t="s">
        <v>149</v>
      </c>
      <c r="Q4" s="34" t="s">
        <v>95</v>
      </c>
      <c r="R4" s="34" t="s">
        <v>96</v>
      </c>
      <c r="S4" s="34" t="s">
        <v>152</v>
      </c>
      <c r="T4" s="34"/>
      <c r="U4" s="34" t="s">
        <v>148</v>
      </c>
      <c r="V4" s="34" t="s">
        <v>149</v>
      </c>
      <c r="W4" s="34" t="s">
        <v>95</v>
      </c>
      <c r="X4" s="34" t="s">
        <v>96</v>
      </c>
      <c r="Y4" s="34" t="s">
        <v>153</v>
      </c>
      <c r="Z4" s="34"/>
      <c r="AA4" s="34" t="s">
        <v>148</v>
      </c>
      <c r="AB4" s="34" t="s">
        <v>149</v>
      </c>
      <c r="AC4" s="34" t="s">
        <v>95</v>
      </c>
      <c r="AD4" s="34" t="s">
        <v>96</v>
      </c>
      <c r="AE4" s="34" t="s">
        <v>154</v>
      </c>
      <c r="AF4" s="34"/>
      <c r="AG4" s="34" t="s">
        <v>148</v>
      </c>
      <c r="AH4" s="34" t="s">
        <v>149</v>
      </c>
      <c r="AI4" s="34" t="s">
        <v>95</v>
      </c>
      <c r="AJ4" s="34" t="s">
        <v>96</v>
      </c>
      <c r="AK4" s="34" t="s">
        <v>155</v>
      </c>
      <c r="AL4" s="34"/>
      <c r="AM4" s="34" t="s">
        <v>148</v>
      </c>
      <c r="AN4" s="34" t="s">
        <v>149</v>
      </c>
      <c r="AO4" s="34" t="s">
        <v>95</v>
      </c>
      <c r="AP4" s="34" t="s">
        <v>96</v>
      </c>
      <c r="AQ4" s="34" t="s">
        <v>156</v>
      </c>
      <c r="AR4" s="34"/>
      <c r="AS4" s="34" t="s">
        <v>148</v>
      </c>
      <c r="AT4" s="34" t="s">
        <v>149</v>
      </c>
      <c r="AU4" s="34" t="s">
        <v>95</v>
      </c>
      <c r="AV4" s="34" t="s">
        <v>96</v>
      </c>
      <c r="AW4" s="34" t="s">
        <v>157</v>
      </c>
      <c r="AX4" s="34"/>
      <c r="AY4" s="34" t="s">
        <v>148</v>
      </c>
      <c r="AZ4" s="34" t="s">
        <v>149</v>
      </c>
      <c r="BA4" s="34" t="s">
        <v>95</v>
      </c>
      <c r="BB4" s="34" t="s">
        <v>96</v>
      </c>
      <c r="BC4" s="34" t="s">
        <v>158</v>
      </c>
    </row>
    <row r="5" spans="2:55" ht="15.75">
      <c r="B5" s="35"/>
      <c r="C5" s="36">
        <v>44196</v>
      </c>
      <c r="D5" s="36">
        <v>44196</v>
      </c>
      <c r="E5" s="36">
        <v>44196</v>
      </c>
      <c r="F5" s="36">
        <v>44196</v>
      </c>
      <c r="G5" s="36">
        <v>44196</v>
      </c>
      <c r="H5" s="36"/>
      <c r="I5" s="36">
        <v>44561</v>
      </c>
      <c r="J5" s="36">
        <v>44561</v>
      </c>
      <c r="K5" s="36">
        <v>44561</v>
      </c>
      <c r="L5" s="36">
        <v>44561</v>
      </c>
      <c r="M5" s="36">
        <v>44561</v>
      </c>
      <c r="N5" s="36"/>
      <c r="O5" s="36">
        <v>44926</v>
      </c>
      <c r="P5" s="36">
        <v>44926</v>
      </c>
      <c r="Q5" s="36">
        <v>44926</v>
      </c>
      <c r="R5" s="36">
        <v>44926</v>
      </c>
      <c r="S5" s="36">
        <v>44926</v>
      </c>
      <c r="T5" s="36"/>
      <c r="U5" s="36">
        <v>45291</v>
      </c>
      <c r="V5" s="36">
        <v>45291</v>
      </c>
      <c r="W5" s="36">
        <v>45291</v>
      </c>
      <c r="X5" s="36">
        <v>45291</v>
      </c>
      <c r="Y5" s="36">
        <v>45291</v>
      </c>
      <c r="Z5" s="36"/>
      <c r="AA5" s="36">
        <v>45657</v>
      </c>
      <c r="AB5" s="36">
        <v>45657</v>
      </c>
      <c r="AC5" s="36">
        <v>45657</v>
      </c>
      <c r="AD5" s="36">
        <v>45657</v>
      </c>
      <c r="AE5" s="36">
        <v>45657</v>
      </c>
      <c r="AF5" s="36"/>
      <c r="AG5" s="36">
        <v>46022</v>
      </c>
      <c r="AH5" s="36">
        <v>46022</v>
      </c>
      <c r="AI5" s="36">
        <v>46022</v>
      </c>
      <c r="AJ5" s="36">
        <v>46022</v>
      </c>
      <c r="AK5" s="36">
        <v>46022</v>
      </c>
      <c r="AL5" s="36"/>
      <c r="AM5" s="36">
        <v>46387</v>
      </c>
      <c r="AN5" s="36">
        <v>46387</v>
      </c>
      <c r="AO5" s="36">
        <v>46387</v>
      </c>
      <c r="AP5" s="36">
        <v>46387</v>
      </c>
      <c r="AQ5" s="36">
        <v>46387</v>
      </c>
      <c r="AR5" s="36"/>
      <c r="AS5" s="36">
        <v>46752</v>
      </c>
      <c r="AT5" s="36">
        <v>46752</v>
      </c>
      <c r="AU5" s="36">
        <v>46752</v>
      </c>
      <c r="AV5" s="36">
        <v>46752</v>
      </c>
      <c r="AW5" s="36">
        <v>46752</v>
      </c>
      <c r="AX5" s="36"/>
      <c r="AY5" s="36">
        <v>47118</v>
      </c>
      <c r="AZ5" s="36">
        <v>47118</v>
      </c>
      <c r="BA5" s="36">
        <v>47118</v>
      </c>
      <c r="BB5" s="36">
        <v>47118</v>
      </c>
      <c r="BC5" s="36">
        <v>47118</v>
      </c>
    </row>
    <row r="6" spans="2:55" ht="15.75">
      <c r="B6" s="37" t="s">
        <v>114</v>
      </c>
      <c r="C6" s="38" t="s">
        <v>3</v>
      </c>
      <c r="D6" s="38" t="s">
        <v>3</v>
      </c>
      <c r="E6" s="38" t="s">
        <v>3</v>
      </c>
      <c r="F6" s="38" t="s">
        <v>3</v>
      </c>
      <c r="G6" s="38" t="s">
        <v>3</v>
      </c>
      <c r="H6" s="38"/>
      <c r="I6" s="38" t="s">
        <v>3</v>
      </c>
      <c r="J6" s="38" t="s">
        <v>3</v>
      </c>
      <c r="K6" s="38" t="s">
        <v>3</v>
      </c>
      <c r="L6" s="38" t="s">
        <v>3</v>
      </c>
      <c r="M6" s="38" t="s">
        <v>3</v>
      </c>
      <c r="N6" s="38"/>
      <c r="O6" s="38" t="s">
        <v>3</v>
      </c>
      <c r="P6" s="38" t="s">
        <v>3</v>
      </c>
      <c r="Q6" s="38" t="s">
        <v>3</v>
      </c>
      <c r="R6" s="38" t="s">
        <v>3</v>
      </c>
      <c r="S6" s="38" t="s">
        <v>3</v>
      </c>
      <c r="T6" s="38"/>
      <c r="U6" s="38" t="s">
        <v>3</v>
      </c>
      <c r="V6" s="38" t="s">
        <v>3</v>
      </c>
      <c r="W6" s="38" t="s">
        <v>3</v>
      </c>
      <c r="X6" s="38" t="s">
        <v>3</v>
      </c>
      <c r="Y6" s="38" t="s">
        <v>3</v>
      </c>
      <c r="Z6" s="38"/>
      <c r="AA6" s="38" t="s">
        <v>3</v>
      </c>
      <c r="AB6" s="38" t="s">
        <v>3</v>
      </c>
      <c r="AC6" s="38" t="s">
        <v>3</v>
      </c>
      <c r="AD6" s="38" t="s">
        <v>3</v>
      </c>
      <c r="AE6" s="38" t="s">
        <v>3</v>
      </c>
      <c r="AF6" s="38"/>
      <c r="AG6" s="38" t="s">
        <v>3</v>
      </c>
      <c r="AH6" s="38" t="s">
        <v>3</v>
      </c>
      <c r="AI6" s="38" t="s">
        <v>3</v>
      </c>
      <c r="AJ6" s="38" t="s">
        <v>3</v>
      </c>
      <c r="AK6" s="38" t="s">
        <v>3</v>
      </c>
      <c r="AL6" s="38"/>
      <c r="AM6" s="38" t="s">
        <v>3</v>
      </c>
      <c r="AN6" s="38" t="s">
        <v>3</v>
      </c>
      <c r="AO6" s="38" t="s">
        <v>3</v>
      </c>
      <c r="AP6" s="38" t="s">
        <v>3</v>
      </c>
      <c r="AQ6" s="38" t="s">
        <v>3</v>
      </c>
      <c r="AR6" s="38"/>
      <c r="AS6" s="38" t="s">
        <v>3</v>
      </c>
      <c r="AT6" s="38" t="s">
        <v>3</v>
      </c>
      <c r="AU6" s="38" t="s">
        <v>3</v>
      </c>
      <c r="AV6" s="38" t="s">
        <v>3</v>
      </c>
      <c r="AW6" s="38" t="s">
        <v>3</v>
      </c>
      <c r="AX6" s="38"/>
      <c r="AY6" s="38" t="s">
        <v>3</v>
      </c>
      <c r="AZ6" s="38" t="s">
        <v>3</v>
      </c>
      <c r="BA6" s="38" t="s">
        <v>3</v>
      </c>
      <c r="BB6" s="38" t="s">
        <v>3</v>
      </c>
      <c r="BC6" s="38" t="s">
        <v>3</v>
      </c>
    </row>
    <row r="7" spans="2:55" ht="15.75">
      <c r="B7" s="35"/>
      <c r="C7" s="39"/>
      <c r="D7" s="39"/>
      <c r="E7" s="39"/>
      <c r="F7" s="39"/>
      <c r="G7" s="39"/>
      <c r="H7" s="39"/>
    </row>
    <row r="8" spans="2:55" ht="15.75" collapsed="1">
      <c r="B8" s="72" t="s">
        <v>115</v>
      </c>
      <c r="C8" s="73" t="e">
        <f>#REF!</f>
        <v>#REF!</v>
      </c>
      <c r="D8" s="73" t="e">
        <f>#REF!</f>
        <v>#REF!</v>
      </c>
      <c r="E8" s="73" t="e">
        <f>#REF!</f>
        <v>#REF!</v>
      </c>
      <c r="F8" s="73" t="e">
        <f>#REF!</f>
        <v>#REF!</v>
      </c>
      <c r="G8" s="73" t="e">
        <f>SUM(C8:F8)</f>
        <v>#REF!</v>
      </c>
      <c r="H8" s="73"/>
      <c r="I8" s="73" t="e">
        <f>#REF!</f>
        <v>#REF!</v>
      </c>
      <c r="J8" s="73" t="e">
        <f>#REF!</f>
        <v>#REF!</v>
      </c>
      <c r="K8" s="73" t="e">
        <f>#REF!</f>
        <v>#REF!</v>
      </c>
      <c r="L8" s="73" t="e">
        <f>#REF!</f>
        <v>#REF!</v>
      </c>
      <c r="M8" s="73" t="e">
        <f>SUM(I8:L8)</f>
        <v>#REF!</v>
      </c>
      <c r="N8" s="73"/>
      <c r="O8" s="73" t="e">
        <f>#REF!</f>
        <v>#REF!</v>
      </c>
      <c r="P8" s="73" t="e">
        <f>#REF!</f>
        <v>#REF!</v>
      </c>
      <c r="Q8" s="73" t="e">
        <f>#REF!</f>
        <v>#REF!</v>
      </c>
      <c r="R8" s="73" t="e">
        <f>#REF!</f>
        <v>#REF!</v>
      </c>
      <c r="S8" s="73" t="e">
        <f>SUM(O8:R8)</f>
        <v>#REF!</v>
      </c>
      <c r="T8" s="73"/>
      <c r="U8" s="73" t="e">
        <f>#REF!</f>
        <v>#REF!</v>
      </c>
      <c r="V8" s="73" t="e">
        <f>#REF!</f>
        <v>#REF!</v>
      </c>
      <c r="W8" s="73" t="e">
        <f>#REF!</f>
        <v>#REF!</v>
      </c>
      <c r="X8" s="73" t="e">
        <f>#REF!</f>
        <v>#REF!</v>
      </c>
      <c r="Y8" s="73" t="e">
        <f>SUM(U8:X8)</f>
        <v>#REF!</v>
      </c>
      <c r="Z8" s="73"/>
      <c r="AA8" s="73" t="e">
        <f>#REF!</f>
        <v>#REF!</v>
      </c>
      <c r="AB8" s="73" t="e">
        <f>#REF!</f>
        <v>#REF!</v>
      </c>
      <c r="AC8" s="73" t="e">
        <f>#REF!</f>
        <v>#REF!</v>
      </c>
      <c r="AD8" s="73" t="e">
        <f>#REF!</f>
        <v>#REF!</v>
      </c>
      <c r="AE8" s="73" t="e">
        <f>SUM(AA8:AD8)</f>
        <v>#REF!</v>
      </c>
      <c r="AF8" s="73"/>
      <c r="AG8" s="73" t="e">
        <f>#REF!</f>
        <v>#REF!</v>
      </c>
      <c r="AH8" s="73" t="e">
        <f>#REF!</f>
        <v>#REF!</v>
      </c>
      <c r="AI8" s="73" t="e">
        <f>#REF!</f>
        <v>#REF!</v>
      </c>
      <c r="AJ8" s="73" t="e">
        <f>#REF!</f>
        <v>#REF!</v>
      </c>
      <c r="AK8" s="73" t="e">
        <f>SUM(AG8:AJ8)</f>
        <v>#REF!</v>
      </c>
      <c r="AL8" s="73"/>
      <c r="AM8" s="73" t="e">
        <f>#REF!</f>
        <v>#REF!</v>
      </c>
      <c r="AN8" s="73" t="e">
        <f>#REF!</f>
        <v>#REF!</v>
      </c>
      <c r="AO8" s="73" t="e">
        <f>#REF!</f>
        <v>#REF!</v>
      </c>
      <c r="AP8" s="73" t="e">
        <f>#REF!</f>
        <v>#REF!</v>
      </c>
      <c r="AQ8" s="73" t="e">
        <f>SUM(AM8:AP8)</f>
        <v>#REF!</v>
      </c>
      <c r="AR8" s="73"/>
      <c r="AS8" s="73" t="e">
        <f>#REF!</f>
        <v>#REF!</v>
      </c>
      <c r="AT8" s="73" t="e">
        <f>#REF!</f>
        <v>#REF!</v>
      </c>
      <c r="AU8" s="73" t="e">
        <f>#REF!</f>
        <v>#REF!</v>
      </c>
      <c r="AV8" s="73" t="e">
        <f>#REF!</f>
        <v>#REF!</v>
      </c>
      <c r="AW8" s="73" t="e">
        <f>SUM(AS8:AV8)</f>
        <v>#REF!</v>
      </c>
      <c r="AX8" s="73"/>
      <c r="AY8" s="73" t="e">
        <f>#REF!</f>
        <v>#REF!</v>
      </c>
      <c r="AZ8" s="73" t="e">
        <f>#REF!</f>
        <v>#REF!</v>
      </c>
      <c r="BA8" s="73" t="e">
        <f>#REF!</f>
        <v>#REF!</v>
      </c>
      <c r="BB8" s="73" t="e">
        <f>#REF!</f>
        <v>#REF!</v>
      </c>
      <c r="BC8" s="73" t="e">
        <f>SUM(AY8:BB8)</f>
        <v>#REF!</v>
      </c>
    </row>
    <row r="9" spans="2:55" ht="15.75" collapsed="1">
      <c r="B9" s="72" t="s">
        <v>116</v>
      </c>
      <c r="C9" s="73" t="e">
        <f>#REF!</f>
        <v>#REF!</v>
      </c>
      <c r="D9" s="73" t="e">
        <f>#REF!</f>
        <v>#REF!</v>
      </c>
      <c r="E9" s="73" t="e">
        <f>#REF!</f>
        <v>#REF!</v>
      </c>
      <c r="F9" s="73" t="e">
        <f>#REF!</f>
        <v>#REF!</v>
      </c>
      <c r="G9" s="73" t="e">
        <f>SUM(C9:F9)</f>
        <v>#REF!</v>
      </c>
      <c r="H9" s="73"/>
      <c r="I9" s="73" t="e">
        <f>#REF!</f>
        <v>#REF!</v>
      </c>
      <c r="J9" s="73" t="e">
        <f>#REF!</f>
        <v>#REF!</v>
      </c>
      <c r="K9" s="73" t="e">
        <f>#REF!</f>
        <v>#REF!</v>
      </c>
      <c r="L9" s="73" t="e">
        <f>#REF!</f>
        <v>#REF!</v>
      </c>
      <c r="M9" s="73" t="e">
        <f>SUM(I9:L9)</f>
        <v>#REF!</v>
      </c>
      <c r="N9" s="73"/>
      <c r="O9" s="73" t="e">
        <f>#REF!</f>
        <v>#REF!</v>
      </c>
      <c r="P9" s="73" t="e">
        <f>#REF!</f>
        <v>#REF!</v>
      </c>
      <c r="Q9" s="73" t="e">
        <f>#REF!</f>
        <v>#REF!</v>
      </c>
      <c r="R9" s="73" t="e">
        <f>#REF!</f>
        <v>#REF!</v>
      </c>
      <c r="S9" s="73" t="e">
        <f>SUM(O9:R9)</f>
        <v>#REF!</v>
      </c>
      <c r="T9" s="73"/>
      <c r="U9" s="73" t="e">
        <f>#REF!</f>
        <v>#REF!</v>
      </c>
      <c r="V9" s="73" t="e">
        <f>#REF!</f>
        <v>#REF!</v>
      </c>
      <c r="W9" s="73" t="e">
        <f>#REF!</f>
        <v>#REF!</v>
      </c>
      <c r="X9" s="73" t="e">
        <f>#REF!</f>
        <v>#REF!</v>
      </c>
      <c r="Y9" s="73" t="e">
        <f>SUM(U9:X9)</f>
        <v>#REF!</v>
      </c>
      <c r="Z9" s="73"/>
      <c r="AA9" s="73" t="e">
        <f>#REF!</f>
        <v>#REF!</v>
      </c>
      <c r="AB9" s="73" t="e">
        <f>#REF!</f>
        <v>#REF!</v>
      </c>
      <c r="AC9" s="73" t="e">
        <f>#REF!</f>
        <v>#REF!</v>
      </c>
      <c r="AD9" s="73" t="e">
        <f>#REF!</f>
        <v>#REF!</v>
      </c>
      <c r="AE9" s="73" t="e">
        <f>SUM(AA9:AD9)</f>
        <v>#REF!</v>
      </c>
      <c r="AF9" s="73"/>
      <c r="AG9" s="73" t="e">
        <f>#REF!</f>
        <v>#REF!</v>
      </c>
      <c r="AH9" s="73" t="e">
        <f>#REF!</f>
        <v>#REF!</v>
      </c>
      <c r="AI9" s="73" t="e">
        <f>#REF!</f>
        <v>#REF!</v>
      </c>
      <c r="AJ9" s="73" t="e">
        <f>#REF!</f>
        <v>#REF!</v>
      </c>
      <c r="AK9" s="73" t="e">
        <f>SUM(AG9:AJ9)</f>
        <v>#REF!</v>
      </c>
      <c r="AL9" s="73"/>
      <c r="AM9" s="73" t="e">
        <f>#REF!</f>
        <v>#REF!</v>
      </c>
      <c r="AN9" s="73" t="e">
        <f>#REF!</f>
        <v>#REF!</v>
      </c>
      <c r="AO9" s="73" t="e">
        <f>#REF!</f>
        <v>#REF!</v>
      </c>
      <c r="AP9" s="73" t="e">
        <f>#REF!</f>
        <v>#REF!</v>
      </c>
      <c r="AQ9" s="73" t="e">
        <f>SUM(AM9:AP9)</f>
        <v>#REF!</v>
      </c>
      <c r="AR9" s="73"/>
      <c r="AS9" s="73" t="e">
        <f>#REF!</f>
        <v>#REF!</v>
      </c>
      <c r="AT9" s="73" t="e">
        <f>#REF!</f>
        <v>#REF!</v>
      </c>
      <c r="AU9" s="73" t="e">
        <f>#REF!</f>
        <v>#REF!</v>
      </c>
      <c r="AV9" s="73" t="e">
        <f>#REF!</f>
        <v>#REF!</v>
      </c>
      <c r="AW9" s="73" t="e">
        <f>SUM(AS9:AV9)</f>
        <v>#REF!</v>
      </c>
      <c r="AX9" s="73"/>
      <c r="AY9" s="73" t="e">
        <f>#REF!</f>
        <v>#REF!</v>
      </c>
      <c r="AZ9" s="73" t="e">
        <f>#REF!</f>
        <v>#REF!</v>
      </c>
      <c r="BA9" s="73" t="e">
        <f>#REF!</f>
        <v>#REF!</v>
      </c>
      <c r="BB9" s="73" t="e">
        <f>#REF!</f>
        <v>#REF!</v>
      </c>
      <c r="BC9" s="73" t="e">
        <f>SUM(AY9:BB9)</f>
        <v>#REF!</v>
      </c>
    </row>
    <row r="10" spans="2:55" ht="15.75">
      <c r="B10" s="35" t="s">
        <v>117</v>
      </c>
      <c r="C10" s="39" t="e">
        <f>SUM(C8:C9)</f>
        <v>#REF!</v>
      </c>
      <c r="D10" s="39" t="e">
        <f t="shared" ref="D10:G10" si="0">SUM(D8:D9)</f>
        <v>#REF!</v>
      </c>
      <c r="E10" s="39" t="e">
        <f t="shared" si="0"/>
        <v>#REF!</v>
      </c>
      <c r="F10" s="39" t="e">
        <f t="shared" si="0"/>
        <v>#REF!</v>
      </c>
      <c r="G10" s="39" t="e">
        <f t="shared" si="0"/>
        <v>#REF!</v>
      </c>
      <c r="H10" s="39"/>
      <c r="I10" s="39" t="e">
        <f>SUM(I8:I9)</f>
        <v>#REF!</v>
      </c>
      <c r="J10" s="39" t="e">
        <f t="shared" ref="J10" si="1">SUM(J8:J9)</f>
        <v>#REF!</v>
      </c>
      <c r="K10" s="39" t="e">
        <f t="shared" ref="K10" si="2">SUM(K8:K9)</f>
        <v>#REF!</v>
      </c>
      <c r="L10" s="39" t="e">
        <f t="shared" ref="L10" si="3">SUM(L8:L9)</f>
        <v>#REF!</v>
      </c>
      <c r="M10" s="39" t="e">
        <f t="shared" ref="M10" si="4">SUM(M8:M9)</f>
        <v>#REF!</v>
      </c>
      <c r="N10" s="39"/>
      <c r="O10" s="39" t="e">
        <f>SUM(O8:O9)</f>
        <v>#REF!</v>
      </c>
      <c r="P10" s="39" t="e">
        <f t="shared" ref="P10" si="5">SUM(P8:P9)</f>
        <v>#REF!</v>
      </c>
      <c r="Q10" s="39" t="e">
        <f t="shared" ref="Q10" si="6">SUM(Q8:Q9)</f>
        <v>#REF!</v>
      </c>
      <c r="R10" s="39" t="e">
        <f t="shared" ref="R10" si="7">SUM(R8:R9)</f>
        <v>#REF!</v>
      </c>
      <c r="S10" s="39" t="e">
        <f t="shared" ref="S10" si="8">SUM(S8:S9)</f>
        <v>#REF!</v>
      </c>
      <c r="T10" s="39"/>
      <c r="U10" s="39" t="e">
        <f>SUM(U8:U9)</f>
        <v>#REF!</v>
      </c>
      <c r="V10" s="39" t="e">
        <f t="shared" ref="V10" si="9">SUM(V8:V9)</f>
        <v>#REF!</v>
      </c>
      <c r="W10" s="39" t="e">
        <f t="shared" ref="W10" si="10">SUM(W8:W9)</f>
        <v>#REF!</v>
      </c>
      <c r="X10" s="39" t="e">
        <f t="shared" ref="X10" si="11">SUM(X8:X9)</f>
        <v>#REF!</v>
      </c>
      <c r="Y10" s="39" t="e">
        <f t="shared" ref="Y10" si="12">SUM(Y8:Y9)</f>
        <v>#REF!</v>
      </c>
      <c r="Z10" s="39"/>
      <c r="AA10" s="39" t="e">
        <f>SUM(AA8:AA9)</f>
        <v>#REF!</v>
      </c>
      <c r="AB10" s="39" t="e">
        <f t="shared" ref="AB10" si="13">SUM(AB8:AB9)</f>
        <v>#REF!</v>
      </c>
      <c r="AC10" s="39" t="e">
        <f t="shared" ref="AC10" si="14">SUM(AC8:AC9)</f>
        <v>#REF!</v>
      </c>
      <c r="AD10" s="39" t="e">
        <f t="shared" ref="AD10" si="15">SUM(AD8:AD9)</f>
        <v>#REF!</v>
      </c>
      <c r="AE10" s="39" t="e">
        <f t="shared" ref="AE10" si="16">SUM(AE8:AE9)</f>
        <v>#REF!</v>
      </c>
      <c r="AF10" s="39"/>
      <c r="AG10" s="39" t="e">
        <f>SUM(AG8:AG9)</f>
        <v>#REF!</v>
      </c>
      <c r="AH10" s="39" t="e">
        <f t="shared" ref="AH10" si="17">SUM(AH8:AH9)</f>
        <v>#REF!</v>
      </c>
      <c r="AI10" s="39" t="e">
        <f t="shared" ref="AI10" si="18">SUM(AI8:AI9)</f>
        <v>#REF!</v>
      </c>
      <c r="AJ10" s="39" t="e">
        <f t="shared" ref="AJ10" si="19">SUM(AJ8:AJ9)</f>
        <v>#REF!</v>
      </c>
      <c r="AK10" s="39" t="e">
        <f t="shared" ref="AK10" si="20">SUM(AK8:AK9)</f>
        <v>#REF!</v>
      </c>
      <c r="AL10" s="39"/>
      <c r="AM10" s="39" t="e">
        <f>SUM(AM8:AM9)</f>
        <v>#REF!</v>
      </c>
      <c r="AN10" s="39" t="e">
        <f t="shared" ref="AN10" si="21">SUM(AN8:AN9)</f>
        <v>#REF!</v>
      </c>
      <c r="AO10" s="39" t="e">
        <f t="shared" ref="AO10" si="22">SUM(AO8:AO9)</f>
        <v>#REF!</v>
      </c>
      <c r="AP10" s="39" t="e">
        <f t="shared" ref="AP10" si="23">SUM(AP8:AP9)</f>
        <v>#REF!</v>
      </c>
      <c r="AQ10" s="39" t="e">
        <f t="shared" ref="AQ10" si="24">SUM(AQ8:AQ9)</f>
        <v>#REF!</v>
      </c>
      <c r="AR10" s="39"/>
      <c r="AS10" s="39" t="e">
        <f>SUM(AS8:AS9)</f>
        <v>#REF!</v>
      </c>
      <c r="AT10" s="39" t="e">
        <f t="shared" ref="AT10" si="25">SUM(AT8:AT9)</f>
        <v>#REF!</v>
      </c>
      <c r="AU10" s="39" t="e">
        <f t="shared" ref="AU10" si="26">SUM(AU8:AU9)</f>
        <v>#REF!</v>
      </c>
      <c r="AV10" s="39" t="e">
        <f t="shared" ref="AV10" si="27">SUM(AV8:AV9)</f>
        <v>#REF!</v>
      </c>
      <c r="AW10" s="39" t="e">
        <f t="shared" ref="AW10" si="28">SUM(AW8:AW9)</f>
        <v>#REF!</v>
      </c>
      <c r="AX10" s="39"/>
      <c r="AY10" s="39" t="e">
        <f>SUM(AY8:AY9)</f>
        <v>#REF!</v>
      </c>
      <c r="AZ10" s="39" t="e">
        <f t="shared" ref="AZ10" si="29">SUM(AZ8:AZ9)</f>
        <v>#REF!</v>
      </c>
      <c r="BA10" s="39" t="e">
        <f t="shared" ref="BA10" si="30">SUM(BA8:BA9)</f>
        <v>#REF!</v>
      </c>
      <c r="BB10" s="39" t="e">
        <f t="shared" ref="BB10" si="31">SUM(BB8:BB9)</f>
        <v>#REF!</v>
      </c>
      <c r="BC10" s="39" t="e">
        <f t="shared" ref="BC10" si="32">SUM(BC8:BC9)</f>
        <v>#REF!</v>
      </c>
    </row>
    <row r="11" spans="2:55" ht="15.75">
      <c r="B11" s="35"/>
    </row>
    <row r="12" spans="2:55" ht="15.75" collapsed="1">
      <c r="B12" s="72" t="s">
        <v>118</v>
      </c>
      <c r="C12" s="73" t="e">
        <f>#REF!</f>
        <v>#REF!</v>
      </c>
      <c r="D12" s="73" t="e">
        <f>#REF!</f>
        <v>#REF!</v>
      </c>
      <c r="E12" s="73" t="e">
        <f>#REF!</f>
        <v>#REF!</v>
      </c>
      <c r="F12" s="73" t="e">
        <f>#REF!</f>
        <v>#REF!</v>
      </c>
      <c r="G12" s="73" t="e">
        <f>SUM(C12:F12)</f>
        <v>#REF!</v>
      </c>
      <c r="H12" s="73"/>
      <c r="I12" s="73" t="e">
        <f>#REF!</f>
        <v>#REF!</v>
      </c>
      <c r="J12" s="73" t="e">
        <f>#REF!</f>
        <v>#REF!</v>
      </c>
      <c r="K12" s="73" t="e">
        <f>#REF!</f>
        <v>#REF!</v>
      </c>
      <c r="L12" s="73" t="e">
        <f>#REF!</f>
        <v>#REF!</v>
      </c>
      <c r="M12" s="73" t="e">
        <f>SUM(I12:L12)</f>
        <v>#REF!</v>
      </c>
      <c r="N12" s="73"/>
      <c r="O12" s="73" t="e">
        <f>#REF!</f>
        <v>#REF!</v>
      </c>
      <c r="P12" s="73" t="e">
        <f>#REF!</f>
        <v>#REF!</v>
      </c>
      <c r="Q12" s="73" t="e">
        <f>#REF!</f>
        <v>#REF!</v>
      </c>
      <c r="R12" s="73" t="e">
        <f>#REF!</f>
        <v>#REF!</v>
      </c>
      <c r="S12" s="73" t="e">
        <f>SUM(O12:R12)</f>
        <v>#REF!</v>
      </c>
      <c r="T12" s="73"/>
      <c r="U12" s="73" t="e">
        <f>#REF!</f>
        <v>#REF!</v>
      </c>
      <c r="V12" s="73" t="e">
        <f>#REF!</f>
        <v>#REF!</v>
      </c>
      <c r="W12" s="73" t="e">
        <f>#REF!</f>
        <v>#REF!</v>
      </c>
      <c r="X12" s="73" t="e">
        <f>#REF!</f>
        <v>#REF!</v>
      </c>
      <c r="Y12" s="73" t="e">
        <f>SUM(U12:X12)</f>
        <v>#REF!</v>
      </c>
      <c r="Z12" s="73"/>
      <c r="AA12" s="73" t="e">
        <f>#REF!</f>
        <v>#REF!</v>
      </c>
      <c r="AB12" s="73" t="e">
        <f>#REF!</f>
        <v>#REF!</v>
      </c>
      <c r="AC12" s="73" t="e">
        <f>#REF!</f>
        <v>#REF!</v>
      </c>
      <c r="AD12" s="73" t="e">
        <f>#REF!</f>
        <v>#REF!</v>
      </c>
      <c r="AE12" s="73" t="e">
        <f>SUM(AA12:AD12)</f>
        <v>#REF!</v>
      </c>
      <c r="AF12" s="73"/>
      <c r="AG12" s="73" t="e">
        <f>#REF!</f>
        <v>#REF!</v>
      </c>
      <c r="AH12" s="73" t="e">
        <f>#REF!</f>
        <v>#REF!</v>
      </c>
      <c r="AI12" s="73" t="e">
        <f>#REF!</f>
        <v>#REF!</v>
      </c>
      <c r="AJ12" s="73" t="e">
        <f>#REF!</f>
        <v>#REF!</v>
      </c>
      <c r="AK12" s="73" t="e">
        <f>SUM(AG12:AJ12)</f>
        <v>#REF!</v>
      </c>
      <c r="AL12" s="73"/>
      <c r="AM12" s="73" t="e">
        <f>#REF!</f>
        <v>#REF!</v>
      </c>
      <c r="AN12" s="73" t="e">
        <f>#REF!</f>
        <v>#REF!</v>
      </c>
      <c r="AO12" s="73" t="e">
        <f>#REF!</f>
        <v>#REF!</v>
      </c>
      <c r="AP12" s="73" t="e">
        <f>#REF!</f>
        <v>#REF!</v>
      </c>
      <c r="AQ12" s="73" t="e">
        <f>SUM(AM12:AP12)</f>
        <v>#REF!</v>
      </c>
      <c r="AR12" s="73"/>
      <c r="AS12" s="73" t="e">
        <f>#REF!</f>
        <v>#REF!</v>
      </c>
      <c r="AT12" s="73" t="e">
        <f>#REF!</f>
        <v>#REF!</v>
      </c>
      <c r="AU12" s="73" t="e">
        <f>#REF!</f>
        <v>#REF!</v>
      </c>
      <c r="AV12" s="73" t="e">
        <f>#REF!</f>
        <v>#REF!</v>
      </c>
      <c r="AW12" s="73" t="e">
        <f>SUM(AS12:AV12)</f>
        <v>#REF!</v>
      </c>
      <c r="AX12" s="73"/>
      <c r="AY12" s="73" t="e">
        <f>#REF!</f>
        <v>#REF!</v>
      </c>
      <c r="AZ12" s="73" t="e">
        <f>#REF!</f>
        <v>#REF!</v>
      </c>
      <c r="BA12" s="73" t="e">
        <f>#REF!</f>
        <v>#REF!</v>
      </c>
      <c r="BB12" s="73" t="e">
        <f>#REF!</f>
        <v>#REF!</v>
      </c>
      <c r="BC12" s="73" t="e">
        <f>SUM(AY12:BB12)</f>
        <v>#REF!</v>
      </c>
    </row>
    <row r="13" spans="2:55" ht="15.75">
      <c r="B13" s="35" t="s">
        <v>119</v>
      </c>
      <c r="C13" s="39" t="e">
        <f>C12+C10</f>
        <v>#REF!</v>
      </c>
      <c r="D13" s="39" t="e">
        <f t="shared" ref="D13:G13" si="33">D12+D10</f>
        <v>#REF!</v>
      </c>
      <c r="E13" s="39" t="e">
        <f t="shared" si="33"/>
        <v>#REF!</v>
      </c>
      <c r="F13" s="39" t="e">
        <f t="shared" si="33"/>
        <v>#REF!</v>
      </c>
      <c r="G13" s="39" t="e">
        <f t="shared" si="33"/>
        <v>#REF!</v>
      </c>
      <c r="H13" s="39"/>
      <c r="I13" s="39" t="e">
        <f>I12+I10</f>
        <v>#REF!</v>
      </c>
      <c r="J13" s="39" t="e">
        <f t="shared" ref="J13" si="34">J12+J10</f>
        <v>#REF!</v>
      </c>
      <c r="K13" s="39" t="e">
        <f t="shared" ref="K13" si="35">K12+K10</f>
        <v>#REF!</v>
      </c>
      <c r="L13" s="39" t="e">
        <f t="shared" ref="L13" si="36">L12+L10</f>
        <v>#REF!</v>
      </c>
      <c r="M13" s="39" t="e">
        <f t="shared" ref="M13" si="37">M12+M10</f>
        <v>#REF!</v>
      </c>
      <c r="N13" s="39"/>
      <c r="O13" s="39" t="e">
        <f>O12+O10</f>
        <v>#REF!</v>
      </c>
      <c r="P13" s="39" t="e">
        <f t="shared" ref="P13" si="38">P12+P10</f>
        <v>#REF!</v>
      </c>
      <c r="Q13" s="39" t="e">
        <f t="shared" ref="Q13" si="39">Q12+Q10</f>
        <v>#REF!</v>
      </c>
      <c r="R13" s="39" t="e">
        <f t="shared" ref="R13" si="40">R12+R10</f>
        <v>#REF!</v>
      </c>
      <c r="S13" s="39" t="e">
        <f t="shared" ref="S13" si="41">S12+S10</f>
        <v>#REF!</v>
      </c>
      <c r="T13" s="39"/>
      <c r="U13" s="39" t="e">
        <f>U12+U10</f>
        <v>#REF!</v>
      </c>
      <c r="V13" s="39" t="e">
        <f t="shared" ref="V13" si="42">V12+V10</f>
        <v>#REF!</v>
      </c>
      <c r="W13" s="39" t="e">
        <f t="shared" ref="W13" si="43">W12+W10</f>
        <v>#REF!</v>
      </c>
      <c r="X13" s="39" t="e">
        <f t="shared" ref="X13" si="44">X12+X10</f>
        <v>#REF!</v>
      </c>
      <c r="Y13" s="39" t="e">
        <f t="shared" ref="Y13" si="45">Y12+Y10</f>
        <v>#REF!</v>
      </c>
      <c r="Z13" s="39"/>
      <c r="AA13" s="39" t="e">
        <f>AA12+AA10</f>
        <v>#REF!</v>
      </c>
      <c r="AB13" s="39" t="e">
        <f t="shared" ref="AB13" si="46">AB12+AB10</f>
        <v>#REF!</v>
      </c>
      <c r="AC13" s="39" t="e">
        <f t="shared" ref="AC13" si="47">AC12+AC10</f>
        <v>#REF!</v>
      </c>
      <c r="AD13" s="39" t="e">
        <f t="shared" ref="AD13" si="48">AD12+AD10</f>
        <v>#REF!</v>
      </c>
      <c r="AE13" s="39" t="e">
        <f t="shared" ref="AE13" si="49">AE12+AE10</f>
        <v>#REF!</v>
      </c>
      <c r="AF13" s="39"/>
      <c r="AG13" s="39" t="e">
        <f>AG12+AG10</f>
        <v>#REF!</v>
      </c>
      <c r="AH13" s="39" t="e">
        <f t="shared" ref="AH13" si="50">AH12+AH10</f>
        <v>#REF!</v>
      </c>
      <c r="AI13" s="39" t="e">
        <f t="shared" ref="AI13" si="51">AI12+AI10</f>
        <v>#REF!</v>
      </c>
      <c r="AJ13" s="39" t="e">
        <f t="shared" ref="AJ13" si="52">AJ12+AJ10</f>
        <v>#REF!</v>
      </c>
      <c r="AK13" s="39" t="e">
        <f t="shared" ref="AK13" si="53">AK12+AK10</f>
        <v>#REF!</v>
      </c>
      <c r="AL13" s="39"/>
      <c r="AM13" s="39" t="e">
        <f>AM12+AM10</f>
        <v>#REF!</v>
      </c>
      <c r="AN13" s="39" t="e">
        <f t="shared" ref="AN13" si="54">AN12+AN10</f>
        <v>#REF!</v>
      </c>
      <c r="AO13" s="39" t="e">
        <f t="shared" ref="AO13" si="55">AO12+AO10</f>
        <v>#REF!</v>
      </c>
      <c r="AP13" s="39" t="e">
        <f t="shared" ref="AP13" si="56">AP12+AP10</f>
        <v>#REF!</v>
      </c>
      <c r="AQ13" s="39" t="e">
        <f t="shared" ref="AQ13" si="57">AQ12+AQ10</f>
        <v>#REF!</v>
      </c>
      <c r="AR13" s="39"/>
      <c r="AS13" s="39" t="e">
        <f>AS12+AS10</f>
        <v>#REF!</v>
      </c>
      <c r="AT13" s="39" t="e">
        <f t="shared" ref="AT13" si="58">AT12+AT10</f>
        <v>#REF!</v>
      </c>
      <c r="AU13" s="39" t="e">
        <f t="shared" ref="AU13" si="59">AU12+AU10</f>
        <v>#REF!</v>
      </c>
      <c r="AV13" s="39" t="e">
        <f t="shared" ref="AV13" si="60">AV12+AV10</f>
        <v>#REF!</v>
      </c>
      <c r="AW13" s="39" t="e">
        <f t="shared" ref="AW13" si="61">AW12+AW10</f>
        <v>#REF!</v>
      </c>
      <c r="AX13" s="39"/>
      <c r="AY13" s="39" t="e">
        <f>AY12+AY10</f>
        <v>#REF!</v>
      </c>
      <c r="AZ13" s="39" t="e">
        <f t="shared" ref="AZ13" si="62">AZ12+AZ10</f>
        <v>#REF!</v>
      </c>
      <c r="BA13" s="39" t="e">
        <f t="shared" ref="BA13" si="63">BA12+BA10</f>
        <v>#REF!</v>
      </c>
      <c r="BB13" s="39" t="e">
        <f t="shared" ref="BB13" si="64">BB12+BB10</f>
        <v>#REF!</v>
      </c>
      <c r="BC13" s="39" t="e">
        <f t="shared" ref="BC13" si="65">BC12+BC10</f>
        <v>#REF!</v>
      </c>
    </row>
    <row r="15" spans="2:55" ht="15.75" collapsed="1">
      <c r="B15" s="72" t="s">
        <v>120</v>
      </c>
      <c r="C15" s="73" t="e">
        <f>#REF!</f>
        <v>#REF!</v>
      </c>
      <c r="D15" s="73" t="e">
        <f>#REF!</f>
        <v>#REF!</v>
      </c>
      <c r="E15" s="73" t="e">
        <f>#REF!</f>
        <v>#REF!</v>
      </c>
      <c r="F15" s="73" t="e">
        <f>#REF!</f>
        <v>#REF!</v>
      </c>
      <c r="G15" s="73" t="e">
        <f>SUM(C15:F15)</f>
        <v>#REF!</v>
      </c>
      <c r="H15" s="73"/>
      <c r="I15" s="73" t="e">
        <f>#REF!</f>
        <v>#REF!</v>
      </c>
      <c r="J15" s="73" t="e">
        <f>#REF!</f>
        <v>#REF!</v>
      </c>
      <c r="K15" s="73" t="e">
        <f>#REF!</f>
        <v>#REF!</v>
      </c>
      <c r="L15" s="73" t="e">
        <f>#REF!</f>
        <v>#REF!</v>
      </c>
      <c r="M15" s="73" t="e">
        <f>SUM(I15:L15)</f>
        <v>#REF!</v>
      </c>
      <c r="N15" s="73"/>
      <c r="O15" s="73" t="e">
        <f>#REF!</f>
        <v>#REF!</v>
      </c>
      <c r="P15" s="73" t="e">
        <f>#REF!</f>
        <v>#REF!</v>
      </c>
      <c r="Q15" s="73" t="e">
        <f>#REF!</f>
        <v>#REF!</v>
      </c>
      <c r="R15" s="73" t="e">
        <f>#REF!</f>
        <v>#REF!</v>
      </c>
      <c r="S15" s="73" t="e">
        <f>SUM(O15:R15)</f>
        <v>#REF!</v>
      </c>
      <c r="T15" s="73"/>
      <c r="U15" s="73" t="e">
        <f>#REF!</f>
        <v>#REF!</v>
      </c>
      <c r="V15" s="73" t="e">
        <f>#REF!</f>
        <v>#REF!</v>
      </c>
      <c r="W15" s="73" t="e">
        <f>#REF!</f>
        <v>#REF!</v>
      </c>
      <c r="X15" s="73" t="e">
        <f>#REF!</f>
        <v>#REF!</v>
      </c>
      <c r="Y15" s="73" t="e">
        <f>SUM(U15:X15)</f>
        <v>#REF!</v>
      </c>
      <c r="Z15" s="73"/>
      <c r="AA15" s="73" t="e">
        <f>#REF!</f>
        <v>#REF!</v>
      </c>
      <c r="AB15" s="73" t="e">
        <f>#REF!</f>
        <v>#REF!</v>
      </c>
      <c r="AC15" s="73" t="e">
        <f>#REF!</f>
        <v>#REF!</v>
      </c>
      <c r="AD15" s="73" t="e">
        <f>#REF!</f>
        <v>#REF!</v>
      </c>
      <c r="AE15" s="73" t="e">
        <f>SUM(AA15:AD15)</f>
        <v>#REF!</v>
      </c>
      <c r="AF15" s="73"/>
      <c r="AG15" s="73" t="e">
        <f>#REF!</f>
        <v>#REF!</v>
      </c>
      <c r="AH15" s="73" t="e">
        <f>#REF!</f>
        <v>#REF!</v>
      </c>
      <c r="AI15" s="73" t="e">
        <f>#REF!</f>
        <v>#REF!</v>
      </c>
      <c r="AJ15" s="73" t="e">
        <f>#REF!</f>
        <v>#REF!</v>
      </c>
      <c r="AK15" s="73" t="e">
        <f>SUM(AG15:AJ15)</f>
        <v>#REF!</v>
      </c>
      <c r="AL15" s="73"/>
      <c r="AM15" s="73" t="e">
        <f>#REF!</f>
        <v>#REF!</v>
      </c>
      <c r="AN15" s="73" t="e">
        <f>#REF!</f>
        <v>#REF!</v>
      </c>
      <c r="AO15" s="73" t="e">
        <f>#REF!</f>
        <v>#REF!</v>
      </c>
      <c r="AP15" s="73" t="e">
        <f>#REF!</f>
        <v>#REF!</v>
      </c>
      <c r="AQ15" s="73" t="e">
        <f>SUM(AM15:AP15)</f>
        <v>#REF!</v>
      </c>
      <c r="AR15" s="73"/>
      <c r="AS15" s="73" t="e">
        <f>#REF!</f>
        <v>#REF!</v>
      </c>
      <c r="AT15" s="73" t="e">
        <f>#REF!</f>
        <v>#REF!</v>
      </c>
      <c r="AU15" s="73" t="e">
        <f>#REF!</f>
        <v>#REF!</v>
      </c>
      <c r="AV15" s="73" t="e">
        <f>#REF!</f>
        <v>#REF!</v>
      </c>
      <c r="AW15" s="73" t="e">
        <f>SUM(AS15:AV15)</f>
        <v>#REF!</v>
      </c>
      <c r="AX15" s="73"/>
      <c r="AY15" s="73" t="e">
        <f>#REF!</f>
        <v>#REF!</v>
      </c>
      <c r="AZ15" s="73" t="e">
        <f>#REF!</f>
        <v>#REF!</v>
      </c>
      <c r="BA15" s="73" t="e">
        <f>#REF!</f>
        <v>#REF!</v>
      </c>
      <c r="BB15" s="73" t="e">
        <f>#REF!</f>
        <v>#REF!</v>
      </c>
      <c r="BC15" s="73" t="e">
        <f>SUM(AY15:BB15)</f>
        <v>#REF!</v>
      </c>
    </row>
    <row r="16" spans="2:55" ht="15.75" collapsed="1">
      <c r="B16" s="72" t="s">
        <v>122</v>
      </c>
      <c r="C16" s="73" t="e">
        <f>#REF!</f>
        <v>#REF!</v>
      </c>
      <c r="D16" s="73" t="e">
        <f>#REF!</f>
        <v>#REF!</v>
      </c>
      <c r="E16" s="73" t="e">
        <f>#REF!</f>
        <v>#REF!</v>
      </c>
      <c r="F16" s="73" t="e">
        <f>#REF!</f>
        <v>#REF!</v>
      </c>
      <c r="G16" s="73" t="e">
        <f>SUM(C16:F16)</f>
        <v>#REF!</v>
      </c>
      <c r="H16" s="73"/>
      <c r="I16" s="73" t="e">
        <f>#REF!</f>
        <v>#REF!</v>
      </c>
      <c r="J16" s="73" t="e">
        <f>#REF!</f>
        <v>#REF!</v>
      </c>
      <c r="K16" s="73" t="e">
        <f>#REF!</f>
        <v>#REF!</v>
      </c>
      <c r="L16" s="73" t="e">
        <f>#REF!</f>
        <v>#REF!</v>
      </c>
      <c r="M16" s="73" t="e">
        <f>SUM(I16:L16)</f>
        <v>#REF!</v>
      </c>
      <c r="N16" s="73"/>
      <c r="O16" s="73" t="e">
        <f>#REF!</f>
        <v>#REF!</v>
      </c>
      <c r="P16" s="73" t="e">
        <f>#REF!</f>
        <v>#REF!</v>
      </c>
      <c r="Q16" s="73" t="e">
        <f>#REF!</f>
        <v>#REF!</v>
      </c>
      <c r="R16" s="73" t="e">
        <f>#REF!</f>
        <v>#REF!</v>
      </c>
      <c r="S16" s="73" t="e">
        <f>SUM(O16:R16)</f>
        <v>#REF!</v>
      </c>
      <c r="T16" s="73"/>
      <c r="U16" s="73" t="e">
        <f>#REF!</f>
        <v>#REF!</v>
      </c>
      <c r="V16" s="73" t="e">
        <f>#REF!</f>
        <v>#REF!</v>
      </c>
      <c r="W16" s="73" t="e">
        <f>#REF!</f>
        <v>#REF!</v>
      </c>
      <c r="X16" s="73" t="e">
        <f>#REF!</f>
        <v>#REF!</v>
      </c>
      <c r="Y16" s="73" t="e">
        <f>SUM(U16:X16)</f>
        <v>#REF!</v>
      </c>
      <c r="Z16" s="73"/>
      <c r="AA16" s="73" t="e">
        <f>#REF!</f>
        <v>#REF!</v>
      </c>
      <c r="AB16" s="73" t="e">
        <f>#REF!</f>
        <v>#REF!</v>
      </c>
      <c r="AC16" s="73" t="e">
        <f>#REF!</f>
        <v>#REF!</v>
      </c>
      <c r="AD16" s="73" t="e">
        <f>#REF!</f>
        <v>#REF!</v>
      </c>
      <c r="AE16" s="73" t="e">
        <f>SUM(AA16:AD16)</f>
        <v>#REF!</v>
      </c>
      <c r="AF16" s="73"/>
      <c r="AG16" s="73" t="e">
        <f>#REF!</f>
        <v>#REF!</v>
      </c>
      <c r="AH16" s="73" t="e">
        <f>#REF!</f>
        <v>#REF!</v>
      </c>
      <c r="AI16" s="73" t="e">
        <f>#REF!</f>
        <v>#REF!</v>
      </c>
      <c r="AJ16" s="73" t="e">
        <f>#REF!</f>
        <v>#REF!</v>
      </c>
      <c r="AK16" s="73" t="e">
        <f>SUM(AG16:AJ16)</f>
        <v>#REF!</v>
      </c>
      <c r="AL16" s="73"/>
      <c r="AM16" s="73" t="e">
        <f>#REF!</f>
        <v>#REF!</v>
      </c>
      <c r="AN16" s="73" t="e">
        <f>#REF!</f>
        <v>#REF!</v>
      </c>
      <c r="AO16" s="73" t="e">
        <f>#REF!</f>
        <v>#REF!</v>
      </c>
      <c r="AP16" s="73" t="e">
        <f>#REF!</f>
        <v>#REF!</v>
      </c>
      <c r="AQ16" s="73" t="e">
        <f>SUM(AM16:AP16)</f>
        <v>#REF!</v>
      </c>
      <c r="AR16" s="73"/>
      <c r="AS16" s="73" t="e">
        <f>#REF!</f>
        <v>#REF!</v>
      </c>
      <c r="AT16" s="73" t="e">
        <f>#REF!</f>
        <v>#REF!</v>
      </c>
      <c r="AU16" s="73" t="e">
        <f>#REF!</f>
        <v>#REF!</v>
      </c>
      <c r="AV16" s="73" t="e">
        <f>#REF!</f>
        <v>#REF!</v>
      </c>
      <c r="AW16" s="73" t="e">
        <f>SUM(AS16:AV16)</f>
        <v>#REF!</v>
      </c>
      <c r="AX16" s="73"/>
      <c r="AY16" s="73" t="e">
        <f>#REF!</f>
        <v>#REF!</v>
      </c>
      <c r="AZ16" s="73" t="e">
        <f>#REF!</f>
        <v>#REF!</v>
      </c>
      <c r="BA16" s="73" t="e">
        <f>#REF!</f>
        <v>#REF!</v>
      </c>
      <c r="BB16" s="73" t="e">
        <f>#REF!</f>
        <v>#REF!</v>
      </c>
      <c r="BC16" s="73" t="e">
        <f>SUM(AY16:BB16)</f>
        <v>#REF!</v>
      </c>
    </row>
    <row r="17" spans="2:55" ht="15.75">
      <c r="B17" s="35" t="s">
        <v>123</v>
      </c>
      <c r="C17" s="39" t="e">
        <f>C13-C15-C16</f>
        <v>#REF!</v>
      </c>
      <c r="D17" s="39" t="e">
        <f t="shared" ref="D17:G17" si="66">D13-D15-D16</f>
        <v>#REF!</v>
      </c>
      <c r="E17" s="39" t="e">
        <f t="shared" si="66"/>
        <v>#REF!</v>
      </c>
      <c r="F17" s="39" t="e">
        <f t="shared" si="66"/>
        <v>#REF!</v>
      </c>
      <c r="G17" s="39" t="e">
        <f t="shared" si="66"/>
        <v>#REF!</v>
      </c>
      <c r="H17" s="39"/>
      <c r="I17" s="39" t="e">
        <f>I13-I15-I16</f>
        <v>#REF!</v>
      </c>
      <c r="J17" s="39" t="e">
        <f t="shared" ref="J17" si="67">J13-J15-J16</f>
        <v>#REF!</v>
      </c>
      <c r="K17" s="39" t="e">
        <f t="shared" ref="K17" si="68">K13-K15-K16</f>
        <v>#REF!</v>
      </c>
      <c r="L17" s="39" t="e">
        <f t="shared" ref="L17" si="69">L13-L15-L16</f>
        <v>#REF!</v>
      </c>
      <c r="M17" s="39" t="e">
        <f t="shared" ref="M17" si="70">M13-M15-M16</f>
        <v>#REF!</v>
      </c>
      <c r="N17" s="39"/>
      <c r="O17" s="39" t="e">
        <f>O13-O15-O16</f>
        <v>#REF!</v>
      </c>
      <c r="P17" s="39" t="e">
        <f t="shared" ref="P17" si="71">P13-P15-P16</f>
        <v>#REF!</v>
      </c>
      <c r="Q17" s="39" t="e">
        <f t="shared" ref="Q17" si="72">Q13-Q15-Q16</f>
        <v>#REF!</v>
      </c>
      <c r="R17" s="39" t="e">
        <f t="shared" ref="R17" si="73">R13-R15-R16</f>
        <v>#REF!</v>
      </c>
      <c r="S17" s="39" t="e">
        <f t="shared" ref="S17" si="74">S13-S15-S16</f>
        <v>#REF!</v>
      </c>
      <c r="T17" s="39"/>
      <c r="U17" s="39" t="e">
        <f>U13-U15-U16</f>
        <v>#REF!</v>
      </c>
      <c r="V17" s="39" t="e">
        <f t="shared" ref="V17" si="75">V13-V15-V16</f>
        <v>#REF!</v>
      </c>
      <c r="W17" s="39" t="e">
        <f t="shared" ref="W17" si="76">W13-W15-W16</f>
        <v>#REF!</v>
      </c>
      <c r="X17" s="39" t="e">
        <f t="shared" ref="X17" si="77">X13-X15-X16</f>
        <v>#REF!</v>
      </c>
      <c r="Y17" s="39" t="e">
        <f t="shared" ref="Y17" si="78">Y13-Y15-Y16</f>
        <v>#REF!</v>
      </c>
      <c r="Z17" s="39"/>
      <c r="AA17" s="39" t="e">
        <f>AA13-AA15-AA16</f>
        <v>#REF!</v>
      </c>
      <c r="AB17" s="39" t="e">
        <f t="shared" ref="AB17" si="79">AB13-AB15-AB16</f>
        <v>#REF!</v>
      </c>
      <c r="AC17" s="39" t="e">
        <f t="shared" ref="AC17" si="80">AC13-AC15-AC16</f>
        <v>#REF!</v>
      </c>
      <c r="AD17" s="39" t="e">
        <f t="shared" ref="AD17" si="81">AD13-AD15-AD16</f>
        <v>#REF!</v>
      </c>
      <c r="AE17" s="39" t="e">
        <f t="shared" ref="AE17" si="82">AE13-AE15-AE16</f>
        <v>#REF!</v>
      </c>
      <c r="AF17" s="39"/>
      <c r="AG17" s="39" t="e">
        <f>AG13-AG15-AG16</f>
        <v>#REF!</v>
      </c>
      <c r="AH17" s="39" t="e">
        <f t="shared" ref="AH17" si="83">AH13-AH15-AH16</f>
        <v>#REF!</v>
      </c>
      <c r="AI17" s="39" t="e">
        <f t="shared" ref="AI17" si="84">AI13-AI15-AI16</f>
        <v>#REF!</v>
      </c>
      <c r="AJ17" s="39" t="e">
        <f t="shared" ref="AJ17" si="85">AJ13-AJ15-AJ16</f>
        <v>#REF!</v>
      </c>
      <c r="AK17" s="39" t="e">
        <f t="shared" ref="AK17" si="86">AK13-AK15-AK16</f>
        <v>#REF!</v>
      </c>
      <c r="AL17" s="39"/>
      <c r="AM17" s="39" t="e">
        <f>AM13-AM15-AM16</f>
        <v>#REF!</v>
      </c>
      <c r="AN17" s="39" t="e">
        <f t="shared" ref="AN17" si="87">AN13-AN15-AN16</f>
        <v>#REF!</v>
      </c>
      <c r="AO17" s="39" t="e">
        <f t="shared" ref="AO17" si="88">AO13-AO15-AO16</f>
        <v>#REF!</v>
      </c>
      <c r="AP17" s="39" t="e">
        <f t="shared" ref="AP17" si="89">AP13-AP15-AP16</f>
        <v>#REF!</v>
      </c>
      <c r="AQ17" s="39" t="e">
        <f t="shared" ref="AQ17" si="90">AQ13-AQ15-AQ16</f>
        <v>#REF!</v>
      </c>
      <c r="AR17" s="39"/>
      <c r="AS17" s="39" t="e">
        <f>AS13-AS15-AS16</f>
        <v>#REF!</v>
      </c>
      <c r="AT17" s="39" t="e">
        <f t="shared" ref="AT17" si="91">AT13-AT15-AT16</f>
        <v>#REF!</v>
      </c>
      <c r="AU17" s="39" t="e">
        <f t="shared" ref="AU17" si="92">AU13-AU15-AU16</f>
        <v>#REF!</v>
      </c>
      <c r="AV17" s="39" t="e">
        <f t="shared" ref="AV17" si="93">AV13-AV15-AV16</f>
        <v>#REF!</v>
      </c>
      <c r="AW17" s="39" t="e">
        <f t="shared" ref="AW17" si="94">AW13-AW15-AW16</f>
        <v>#REF!</v>
      </c>
      <c r="AX17" s="39"/>
      <c r="AY17" s="39" t="e">
        <f>AY13-AY15-AY16</f>
        <v>#REF!</v>
      </c>
      <c r="AZ17" s="39" t="e">
        <f t="shared" ref="AZ17" si="95">AZ13-AZ15-AZ16</f>
        <v>#REF!</v>
      </c>
      <c r="BA17" s="39" t="e">
        <f t="shared" ref="BA17" si="96">BA13-BA15-BA16</f>
        <v>#REF!</v>
      </c>
      <c r="BB17" s="39" t="e">
        <f t="shared" ref="BB17" si="97">BB13-BB15-BB16</f>
        <v>#REF!</v>
      </c>
      <c r="BC17" s="39" t="e">
        <f t="shared" ref="BC17" si="98">BC13-BC15-BC16</f>
        <v>#REF!</v>
      </c>
    </row>
    <row r="18" spans="2:55" s="71" customFormat="1" ht="15.75">
      <c r="B18" s="35" t="s">
        <v>124</v>
      </c>
      <c r="C18" s="76" t="e">
        <f>C17/C13</f>
        <v>#REF!</v>
      </c>
      <c r="D18" s="76" t="e">
        <f t="shared" ref="D18:G18" si="99">D17/D13</f>
        <v>#REF!</v>
      </c>
      <c r="E18" s="76" t="e">
        <f t="shared" si="99"/>
        <v>#REF!</v>
      </c>
      <c r="F18" s="76" t="e">
        <f t="shared" si="99"/>
        <v>#REF!</v>
      </c>
      <c r="G18" s="76" t="e">
        <f t="shared" si="99"/>
        <v>#REF!</v>
      </c>
      <c r="H18" s="76"/>
      <c r="I18" s="76" t="e">
        <f>I17/I13</f>
        <v>#REF!</v>
      </c>
      <c r="J18" s="76" t="e">
        <f t="shared" ref="J18" si="100">J17/J13</f>
        <v>#REF!</v>
      </c>
      <c r="K18" s="76" t="e">
        <f t="shared" ref="K18" si="101">K17/K13</f>
        <v>#REF!</v>
      </c>
      <c r="L18" s="76" t="e">
        <f t="shared" ref="L18" si="102">L17/L13</f>
        <v>#REF!</v>
      </c>
      <c r="M18" s="76" t="e">
        <f t="shared" ref="M18" si="103">M17/M13</f>
        <v>#REF!</v>
      </c>
      <c r="N18" s="76"/>
      <c r="O18" s="76" t="e">
        <f>O17/O13</f>
        <v>#REF!</v>
      </c>
      <c r="P18" s="76" t="e">
        <f t="shared" ref="P18" si="104">P17/P13</f>
        <v>#REF!</v>
      </c>
      <c r="Q18" s="76" t="e">
        <f t="shared" ref="Q18" si="105">Q17/Q13</f>
        <v>#REF!</v>
      </c>
      <c r="R18" s="76" t="e">
        <f t="shared" ref="R18" si="106">R17/R13</f>
        <v>#REF!</v>
      </c>
      <c r="S18" s="76" t="e">
        <f t="shared" ref="S18" si="107">S17/S13</f>
        <v>#REF!</v>
      </c>
      <c r="T18" s="76"/>
      <c r="U18" s="76" t="e">
        <f>U17/U13</f>
        <v>#REF!</v>
      </c>
      <c r="V18" s="76" t="e">
        <f t="shared" ref="V18" si="108">V17/V13</f>
        <v>#REF!</v>
      </c>
      <c r="W18" s="76" t="e">
        <f t="shared" ref="W18" si="109">W17/W13</f>
        <v>#REF!</v>
      </c>
      <c r="X18" s="76" t="e">
        <f t="shared" ref="X18" si="110">X17/X13</f>
        <v>#REF!</v>
      </c>
      <c r="Y18" s="76" t="e">
        <f t="shared" ref="Y18" si="111">Y17/Y13</f>
        <v>#REF!</v>
      </c>
      <c r="Z18" s="76"/>
      <c r="AA18" s="76" t="e">
        <f>AA17/AA13</f>
        <v>#REF!</v>
      </c>
      <c r="AB18" s="76" t="e">
        <f t="shared" ref="AB18" si="112">AB17/AB13</f>
        <v>#REF!</v>
      </c>
      <c r="AC18" s="76" t="e">
        <f t="shared" ref="AC18" si="113">AC17/AC13</f>
        <v>#REF!</v>
      </c>
      <c r="AD18" s="76" t="e">
        <f t="shared" ref="AD18" si="114">AD17/AD13</f>
        <v>#REF!</v>
      </c>
      <c r="AE18" s="76" t="e">
        <f t="shared" ref="AE18" si="115">AE17/AE13</f>
        <v>#REF!</v>
      </c>
      <c r="AF18" s="76"/>
      <c r="AG18" s="76" t="e">
        <f>AG17/AG13</f>
        <v>#REF!</v>
      </c>
      <c r="AH18" s="76" t="e">
        <f t="shared" ref="AH18" si="116">AH17/AH13</f>
        <v>#REF!</v>
      </c>
      <c r="AI18" s="76" t="e">
        <f t="shared" ref="AI18" si="117">AI17/AI13</f>
        <v>#REF!</v>
      </c>
      <c r="AJ18" s="76" t="e">
        <f t="shared" ref="AJ18" si="118">AJ17/AJ13</f>
        <v>#REF!</v>
      </c>
      <c r="AK18" s="76" t="e">
        <f t="shared" ref="AK18" si="119">AK17/AK13</f>
        <v>#REF!</v>
      </c>
      <c r="AL18" s="76"/>
      <c r="AM18" s="76" t="e">
        <f>AM17/AM13</f>
        <v>#REF!</v>
      </c>
      <c r="AN18" s="76" t="e">
        <f t="shared" ref="AN18" si="120">AN17/AN13</f>
        <v>#REF!</v>
      </c>
      <c r="AO18" s="76" t="e">
        <f t="shared" ref="AO18" si="121">AO17/AO13</f>
        <v>#REF!</v>
      </c>
      <c r="AP18" s="76" t="e">
        <f t="shared" ref="AP18" si="122">AP17/AP13</f>
        <v>#REF!</v>
      </c>
      <c r="AQ18" s="76" t="e">
        <f t="shared" ref="AQ18" si="123">AQ17/AQ13</f>
        <v>#REF!</v>
      </c>
      <c r="AR18" s="76"/>
      <c r="AS18" s="76" t="e">
        <f>AS17/AS13</f>
        <v>#REF!</v>
      </c>
      <c r="AT18" s="76" t="e">
        <f t="shared" ref="AT18" si="124">AT17/AT13</f>
        <v>#REF!</v>
      </c>
      <c r="AU18" s="76" t="e">
        <f t="shared" ref="AU18" si="125">AU17/AU13</f>
        <v>#REF!</v>
      </c>
      <c r="AV18" s="76" t="e">
        <f t="shared" ref="AV18" si="126">AV17/AV13</f>
        <v>#REF!</v>
      </c>
      <c r="AW18" s="76" t="e">
        <f t="shared" ref="AW18" si="127">AW17/AW13</f>
        <v>#REF!</v>
      </c>
      <c r="AX18" s="76"/>
      <c r="AY18" s="76" t="e">
        <f>AY17/AY13</f>
        <v>#REF!</v>
      </c>
      <c r="AZ18" s="76" t="e">
        <f t="shared" ref="AZ18" si="128">AZ17/AZ13</f>
        <v>#REF!</v>
      </c>
      <c r="BA18" s="76" t="e">
        <f t="shared" ref="BA18" si="129">BA17/BA13</f>
        <v>#REF!</v>
      </c>
      <c r="BB18" s="76" t="e">
        <f t="shared" ref="BB18" si="130">BB17/BB13</f>
        <v>#REF!</v>
      </c>
      <c r="BC18" s="76" t="e">
        <f t="shared" ref="BC18" si="131">BC17/BC13</f>
        <v>#REF!</v>
      </c>
    </row>
    <row r="19" spans="2:55">
      <c r="B19" s="75"/>
    </row>
    <row r="20" spans="2:55" ht="15.75" collapsed="1">
      <c r="B20" s="72" t="s">
        <v>125</v>
      </c>
      <c r="C20" s="73" t="e">
        <f>#REF!</f>
        <v>#REF!</v>
      </c>
      <c r="D20" s="73" t="e">
        <f>#REF!</f>
        <v>#REF!</v>
      </c>
      <c r="E20" s="73" t="e">
        <f>#REF!</f>
        <v>#REF!</v>
      </c>
      <c r="F20" s="73" t="e">
        <f>#REF!</f>
        <v>#REF!</v>
      </c>
      <c r="G20" s="73" t="e">
        <f>SUM(C20:F20)</f>
        <v>#REF!</v>
      </c>
      <c r="H20" s="73"/>
      <c r="I20" s="73" t="e">
        <f>#REF!</f>
        <v>#REF!</v>
      </c>
      <c r="J20" s="73" t="e">
        <f>#REF!</f>
        <v>#REF!</v>
      </c>
      <c r="K20" s="73" t="e">
        <f>#REF!</f>
        <v>#REF!</v>
      </c>
      <c r="L20" s="73" t="e">
        <f>#REF!</f>
        <v>#REF!</v>
      </c>
      <c r="M20" s="73" t="e">
        <f>SUM(I20:L20)</f>
        <v>#REF!</v>
      </c>
      <c r="N20" s="73"/>
      <c r="O20" s="73" t="e">
        <f>#REF!</f>
        <v>#REF!</v>
      </c>
      <c r="P20" s="73" t="e">
        <f>#REF!</f>
        <v>#REF!</v>
      </c>
      <c r="Q20" s="73" t="e">
        <f>#REF!</f>
        <v>#REF!</v>
      </c>
      <c r="R20" s="73" t="e">
        <f>#REF!</f>
        <v>#REF!</v>
      </c>
      <c r="S20" s="73" t="e">
        <f>SUM(O20:R20)</f>
        <v>#REF!</v>
      </c>
      <c r="T20" s="73"/>
      <c r="U20" s="73" t="e">
        <f>#REF!</f>
        <v>#REF!</v>
      </c>
      <c r="V20" s="73" t="e">
        <f>#REF!</f>
        <v>#REF!</v>
      </c>
      <c r="W20" s="73" t="e">
        <f>#REF!</f>
        <v>#REF!</v>
      </c>
      <c r="X20" s="73" t="e">
        <f>#REF!</f>
        <v>#REF!</v>
      </c>
      <c r="Y20" s="73" t="e">
        <f>SUM(U20:X20)</f>
        <v>#REF!</v>
      </c>
      <c r="Z20" s="73"/>
      <c r="AA20" s="73" t="e">
        <f>#REF!</f>
        <v>#REF!</v>
      </c>
      <c r="AB20" s="73" t="e">
        <f>#REF!</f>
        <v>#REF!</v>
      </c>
      <c r="AC20" s="73" t="e">
        <f>#REF!</f>
        <v>#REF!</v>
      </c>
      <c r="AD20" s="73" t="e">
        <f>#REF!</f>
        <v>#REF!</v>
      </c>
      <c r="AE20" s="73" t="e">
        <f>SUM(AA20:AD20)</f>
        <v>#REF!</v>
      </c>
      <c r="AF20" s="73"/>
      <c r="AG20" s="73" t="e">
        <f>#REF!</f>
        <v>#REF!</v>
      </c>
      <c r="AH20" s="73" t="e">
        <f>#REF!</f>
        <v>#REF!</v>
      </c>
      <c r="AI20" s="73" t="e">
        <f>#REF!</f>
        <v>#REF!</v>
      </c>
      <c r="AJ20" s="73" t="e">
        <f>#REF!</f>
        <v>#REF!</v>
      </c>
      <c r="AK20" s="73" t="e">
        <f>SUM(AG20:AJ20)</f>
        <v>#REF!</v>
      </c>
      <c r="AL20" s="73"/>
      <c r="AM20" s="73" t="e">
        <f>#REF!</f>
        <v>#REF!</v>
      </c>
      <c r="AN20" s="73" t="e">
        <f>#REF!</f>
        <v>#REF!</v>
      </c>
      <c r="AO20" s="73" t="e">
        <f>#REF!</f>
        <v>#REF!</v>
      </c>
      <c r="AP20" s="73" t="e">
        <f>#REF!</f>
        <v>#REF!</v>
      </c>
      <c r="AQ20" s="73" t="e">
        <f>SUM(AM20:AP20)</f>
        <v>#REF!</v>
      </c>
      <c r="AR20" s="73"/>
      <c r="AS20" s="73" t="e">
        <f>#REF!</f>
        <v>#REF!</v>
      </c>
      <c r="AT20" s="73" t="e">
        <f>#REF!</f>
        <v>#REF!</v>
      </c>
      <c r="AU20" s="73" t="e">
        <f>#REF!</f>
        <v>#REF!</v>
      </c>
      <c r="AV20" s="73" t="e">
        <f>#REF!</f>
        <v>#REF!</v>
      </c>
      <c r="AW20" s="73" t="e">
        <f>SUM(AS20:AV20)</f>
        <v>#REF!</v>
      </c>
      <c r="AX20" s="73"/>
      <c r="AY20" s="73" t="e">
        <f>#REF!</f>
        <v>#REF!</v>
      </c>
      <c r="AZ20" s="73" t="e">
        <f>#REF!</f>
        <v>#REF!</v>
      </c>
      <c r="BA20" s="73" t="e">
        <f>#REF!</f>
        <v>#REF!</v>
      </c>
      <c r="BB20" s="73" t="e">
        <f>#REF!</f>
        <v>#REF!</v>
      </c>
      <c r="BC20" s="73" t="e">
        <f>SUM(AY20:BB20)</f>
        <v>#REF!</v>
      </c>
    </row>
    <row r="21" spans="2:55" ht="15.75" collapsed="1">
      <c r="B21" s="72" t="s">
        <v>127</v>
      </c>
      <c r="C21" s="73" t="e">
        <f>#REF!</f>
        <v>#REF!</v>
      </c>
      <c r="D21" s="73" t="e">
        <f>#REF!</f>
        <v>#REF!</v>
      </c>
      <c r="E21" s="73" t="e">
        <f>#REF!</f>
        <v>#REF!</v>
      </c>
      <c r="F21" s="73" t="e">
        <f>#REF!</f>
        <v>#REF!</v>
      </c>
      <c r="G21" s="73" t="e">
        <f>SUM(C21:F21)</f>
        <v>#REF!</v>
      </c>
      <c r="H21" s="73"/>
      <c r="I21" s="73" t="e">
        <f>#REF!</f>
        <v>#REF!</v>
      </c>
      <c r="J21" s="73" t="e">
        <f>#REF!</f>
        <v>#REF!</v>
      </c>
      <c r="K21" s="73" t="e">
        <f>#REF!</f>
        <v>#REF!</v>
      </c>
      <c r="L21" s="73" t="e">
        <f>#REF!</f>
        <v>#REF!</v>
      </c>
      <c r="M21" s="73" t="e">
        <f>SUM(I21:L21)</f>
        <v>#REF!</v>
      </c>
      <c r="N21" s="73"/>
      <c r="O21" s="73" t="e">
        <f>#REF!</f>
        <v>#REF!</v>
      </c>
      <c r="P21" s="73" t="e">
        <f>#REF!</f>
        <v>#REF!</v>
      </c>
      <c r="Q21" s="73" t="e">
        <f>#REF!</f>
        <v>#REF!</v>
      </c>
      <c r="R21" s="73" t="e">
        <f>#REF!</f>
        <v>#REF!</v>
      </c>
      <c r="S21" s="73" t="e">
        <f>SUM(O21:R21)</f>
        <v>#REF!</v>
      </c>
      <c r="T21" s="73"/>
      <c r="U21" s="73" t="e">
        <f>#REF!</f>
        <v>#REF!</v>
      </c>
      <c r="V21" s="73" t="e">
        <f>#REF!</f>
        <v>#REF!</v>
      </c>
      <c r="W21" s="73" t="e">
        <f>#REF!</f>
        <v>#REF!</v>
      </c>
      <c r="X21" s="73" t="e">
        <f>#REF!</f>
        <v>#REF!</v>
      </c>
      <c r="Y21" s="73" t="e">
        <f>SUM(U21:X21)</f>
        <v>#REF!</v>
      </c>
      <c r="Z21" s="73"/>
      <c r="AA21" s="73" t="e">
        <f>#REF!</f>
        <v>#REF!</v>
      </c>
      <c r="AB21" s="73" t="e">
        <f>#REF!</f>
        <v>#REF!</v>
      </c>
      <c r="AC21" s="73" t="e">
        <f>#REF!</f>
        <v>#REF!</v>
      </c>
      <c r="AD21" s="73" t="e">
        <f>#REF!</f>
        <v>#REF!</v>
      </c>
      <c r="AE21" s="73" t="e">
        <f>SUM(AA21:AD21)</f>
        <v>#REF!</v>
      </c>
      <c r="AF21" s="73"/>
      <c r="AG21" s="73" t="e">
        <f>#REF!</f>
        <v>#REF!</v>
      </c>
      <c r="AH21" s="73" t="e">
        <f>#REF!</f>
        <v>#REF!</v>
      </c>
      <c r="AI21" s="73" t="e">
        <f>#REF!</f>
        <v>#REF!</v>
      </c>
      <c r="AJ21" s="73" t="e">
        <f>#REF!</f>
        <v>#REF!</v>
      </c>
      <c r="AK21" s="73" t="e">
        <f>SUM(AG21:AJ21)</f>
        <v>#REF!</v>
      </c>
      <c r="AL21" s="73"/>
      <c r="AM21" s="73" t="e">
        <f>#REF!</f>
        <v>#REF!</v>
      </c>
      <c r="AN21" s="73" t="e">
        <f>#REF!</f>
        <v>#REF!</v>
      </c>
      <c r="AO21" s="73" t="e">
        <f>#REF!</f>
        <v>#REF!</v>
      </c>
      <c r="AP21" s="73" t="e">
        <f>#REF!</f>
        <v>#REF!</v>
      </c>
      <c r="AQ21" s="73" t="e">
        <f>SUM(AM21:AP21)</f>
        <v>#REF!</v>
      </c>
      <c r="AR21" s="73"/>
      <c r="AS21" s="73" t="e">
        <f>#REF!</f>
        <v>#REF!</v>
      </c>
      <c r="AT21" s="73" t="e">
        <f>#REF!</f>
        <v>#REF!</v>
      </c>
      <c r="AU21" s="73" t="e">
        <f>#REF!</f>
        <v>#REF!</v>
      </c>
      <c r="AV21" s="73" t="e">
        <f>#REF!</f>
        <v>#REF!</v>
      </c>
      <c r="AW21" s="73" t="e">
        <f>SUM(AS21:AV21)</f>
        <v>#REF!</v>
      </c>
      <c r="AX21" s="73"/>
      <c r="AY21" s="73" t="e">
        <f>#REF!</f>
        <v>#REF!</v>
      </c>
      <c r="AZ21" s="73" t="e">
        <f>#REF!</f>
        <v>#REF!</v>
      </c>
      <c r="BA21" s="73" t="e">
        <f>#REF!</f>
        <v>#REF!</v>
      </c>
      <c r="BB21" s="73" t="e">
        <f>#REF!</f>
        <v>#REF!</v>
      </c>
      <c r="BC21" s="73" t="e">
        <f>SUM(AY21:BB21)</f>
        <v>#REF!</v>
      </c>
    </row>
    <row r="22" spans="2:55" ht="15.75" collapsed="1">
      <c r="B22" s="72" t="s">
        <v>19</v>
      </c>
      <c r="C22" s="73" t="e">
        <f>#REF!</f>
        <v>#REF!</v>
      </c>
      <c r="D22" s="73" t="e">
        <f>#REF!</f>
        <v>#REF!</v>
      </c>
      <c r="E22" s="73" t="e">
        <f>#REF!</f>
        <v>#REF!</v>
      </c>
      <c r="F22" s="73" t="e">
        <f>#REF!</f>
        <v>#REF!</v>
      </c>
      <c r="G22" s="73" t="e">
        <f>SUM(C22:F22)</f>
        <v>#REF!</v>
      </c>
      <c r="H22" s="73"/>
      <c r="I22" s="73" t="e">
        <f>#REF!</f>
        <v>#REF!</v>
      </c>
      <c r="J22" s="73" t="e">
        <f>#REF!</f>
        <v>#REF!</v>
      </c>
      <c r="K22" s="73" t="e">
        <f>#REF!</f>
        <v>#REF!</v>
      </c>
      <c r="L22" s="73" t="e">
        <f>#REF!</f>
        <v>#REF!</v>
      </c>
      <c r="M22" s="73" t="e">
        <f>SUM(I22:L22)</f>
        <v>#REF!</v>
      </c>
      <c r="N22" s="73"/>
      <c r="O22" s="73" t="e">
        <f>#REF!</f>
        <v>#REF!</v>
      </c>
      <c r="P22" s="73" t="e">
        <f>#REF!</f>
        <v>#REF!</v>
      </c>
      <c r="Q22" s="73" t="e">
        <f>#REF!</f>
        <v>#REF!</v>
      </c>
      <c r="R22" s="73" t="e">
        <f>#REF!</f>
        <v>#REF!</v>
      </c>
      <c r="S22" s="73" t="e">
        <f>SUM(O22:R22)</f>
        <v>#REF!</v>
      </c>
      <c r="T22" s="73"/>
      <c r="U22" s="73" t="e">
        <f>#REF!</f>
        <v>#REF!</v>
      </c>
      <c r="V22" s="73" t="e">
        <f>#REF!</f>
        <v>#REF!</v>
      </c>
      <c r="W22" s="73" t="e">
        <f>#REF!</f>
        <v>#REF!</v>
      </c>
      <c r="X22" s="73" t="e">
        <f>#REF!</f>
        <v>#REF!</v>
      </c>
      <c r="Y22" s="73" t="e">
        <f>SUM(U22:X22)</f>
        <v>#REF!</v>
      </c>
      <c r="Z22" s="73"/>
      <c r="AA22" s="73" t="e">
        <f>#REF!</f>
        <v>#REF!</v>
      </c>
      <c r="AB22" s="73" t="e">
        <f>#REF!</f>
        <v>#REF!</v>
      </c>
      <c r="AC22" s="73" t="e">
        <f>#REF!</f>
        <v>#REF!</v>
      </c>
      <c r="AD22" s="73" t="e">
        <f>#REF!</f>
        <v>#REF!</v>
      </c>
      <c r="AE22" s="73" t="e">
        <f>SUM(AA22:AD22)</f>
        <v>#REF!</v>
      </c>
      <c r="AF22" s="73"/>
      <c r="AG22" s="73" t="e">
        <f>#REF!</f>
        <v>#REF!</v>
      </c>
      <c r="AH22" s="73" t="e">
        <f>#REF!</f>
        <v>#REF!</v>
      </c>
      <c r="AI22" s="73" t="e">
        <f>#REF!</f>
        <v>#REF!</v>
      </c>
      <c r="AJ22" s="73" t="e">
        <f>#REF!</f>
        <v>#REF!</v>
      </c>
      <c r="AK22" s="73" t="e">
        <f>SUM(AG22:AJ22)</f>
        <v>#REF!</v>
      </c>
      <c r="AL22" s="73"/>
      <c r="AM22" s="73" t="e">
        <f>#REF!</f>
        <v>#REF!</v>
      </c>
      <c r="AN22" s="73" t="e">
        <f>#REF!</f>
        <v>#REF!</v>
      </c>
      <c r="AO22" s="73" t="e">
        <f>#REF!</f>
        <v>#REF!</v>
      </c>
      <c r="AP22" s="73" t="e">
        <f>#REF!</f>
        <v>#REF!</v>
      </c>
      <c r="AQ22" s="73" t="e">
        <f>SUM(AM22:AP22)</f>
        <v>#REF!</v>
      </c>
      <c r="AR22" s="73"/>
      <c r="AS22" s="73" t="e">
        <f>#REF!</f>
        <v>#REF!</v>
      </c>
      <c r="AT22" s="73" t="e">
        <f>#REF!</f>
        <v>#REF!</v>
      </c>
      <c r="AU22" s="73" t="e">
        <f>#REF!</f>
        <v>#REF!</v>
      </c>
      <c r="AV22" s="73" t="e">
        <f>#REF!</f>
        <v>#REF!</v>
      </c>
      <c r="AW22" s="73" t="e">
        <f>SUM(AS22:AV22)</f>
        <v>#REF!</v>
      </c>
      <c r="AX22" s="73"/>
      <c r="AY22" s="73" t="e">
        <f>#REF!</f>
        <v>#REF!</v>
      </c>
      <c r="AZ22" s="73" t="e">
        <f>#REF!</f>
        <v>#REF!</v>
      </c>
      <c r="BA22" s="73" t="e">
        <f>#REF!</f>
        <v>#REF!</v>
      </c>
      <c r="BB22" s="73" t="e">
        <f>#REF!</f>
        <v>#REF!</v>
      </c>
      <c r="BC22" s="73" t="e">
        <f>SUM(AY22:BB22)</f>
        <v>#REF!</v>
      </c>
    </row>
    <row r="23" spans="2:55" ht="15.75">
      <c r="B23" s="35" t="s">
        <v>128</v>
      </c>
      <c r="C23" s="39" t="e">
        <f>C17-C20-C21-C22</f>
        <v>#REF!</v>
      </c>
      <c r="D23" s="39" t="e">
        <f t="shared" ref="D23:G23" si="132">D17-D20-D21-D22</f>
        <v>#REF!</v>
      </c>
      <c r="E23" s="39" t="e">
        <f t="shared" si="132"/>
        <v>#REF!</v>
      </c>
      <c r="F23" s="39" t="e">
        <f t="shared" si="132"/>
        <v>#REF!</v>
      </c>
      <c r="G23" s="39" t="e">
        <f t="shared" si="132"/>
        <v>#REF!</v>
      </c>
      <c r="H23" s="39"/>
      <c r="I23" s="39" t="e">
        <f>I17-I20-I21-I22</f>
        <v>#REF!</v>
      </c>
      <c r="J23" s="39" t="e">
        <f t="shared" ref="J23" si="133">J17-J20-J21-J22</f>
        <v>#REF!</v>
      </c>
      <c r="K23" s="39" t="e">
        <f t="shared" ref="K23" si="134">K17-K20-K21-K22</f>
        <v>#REF!</v>
      </c>
      <c r="L23" s="39" t="e">
        <f t="shared" ref="L23" si="135">L17-L20-L21-L22</f>
        <v>#REF!</v>
      </c>
      <c r="M23" s="39" t="e">
        <f t="shared" ref="M23" si="136">M17-M20-M21-M22</f>
        <v>#REF!</v>
      </c>
      <c r="N23" s="39"/>
      <c r="O23" s="39" t="e">
        <f>O17-O20-O21-O22</f>
        <v>#REF!</v>
      </c>
      <c r="P23" s="39" t="e">
        <f t="shared" ref="P23" si="137">P17-P20-P21-P22</f>
        <v>#REF!</v>
      </c>
      <c r="Q23" s="39" t="e">
        <f t="shared" ref="Q23" si="138">Q17-Q20-Q21-Q22</f>
        <v>#REF!</v>
      </c>
      <c r="R23" s="39" t="e">
        <f t="shared" ref="R23" si="139">R17-R20-R21-R22</f>
        <v>#REF!</v>
      </c>
      <c r="S23" s="39" t="e">
        <f t="shared" ref="S23" si="140">S17-S20-S21-S22</f>
        <v>#REF!</v>
      </c>
      <c r="T23" s="39"/>
      <c r="U23" s="39" t="e">
        <f>U17-U20-U21-U22</f>
        <v>#REF!</v>
      </c>
      <c r="V23" s="39" t="e">
        <f t="shared" ref="V23" si="141">V17-V20-V21-V22</f>
        <v>#REF!</v>
      </c>
      <c r="W23" s="39" t="e">
        <f t="shared" ref="W23" si="142">W17-W20-W21-W22</f>
        <v>#REF!</v>
      </c>
      <c r="X23" s="39" t="e">
        <f t="shared" ref="X23" si="143">X17-X20-X21-X22</f>
        <v>#REF!</v>
      </c>
      <c r="Y23" s="39" t="e">
        <f t="shared" ref="Y23" si="144">Y17-Y20-Y21-Y22</f>
        <v>#REF!</v>
      </c>
      <c r="Z23" s="39"/>
      <c r="AA23" s="39" t="e">
        <f>AA17-AA20-AA21-AA22</f>
        <v>#REF!</v>
      </c>
      <c r="AB23" s="39" t="e">
        <f t="shared" ref="AB23" si="145">AB17-AB20-AB21-AB22</f>
        <v>#REF!</v>
      </c>
      <c r="AC23" s="39" t="e">
        <f t="shared" ref="AC23" si="146">AC17-AC20-AC21-AC22</f>
        <v>#REF!</v>
      </c>
      <c r="AD23" s="39" t="e">
        <f t="shared" ref="AD23" si="147">AD17-AD20-AD21-AD22</f>
        <v>#REF!</v>
      </c>
      <c r="AE23" s="39" t="e">
        <f t="shared" ref="AE23" si="148">AE17-AE20-AE21-AE22</f>
        <v>#REF!</v>
      </c>
      <c r="AF23" s="39"/>
      <c r="AG23" s="39" t="e">
        <f>AG17-AG20-AG21-AG22</f>
        <v>#REF!</v>
      </c>
      <c r="AH23" s="39" t="e">
        <f t="shared" ref="AH23" si="149">AH17-AH20-AH21-AH22</f>
        <v>#REF!</v>
      </c>
      <c r="AI23" s="39" t="e">
        <f t="shared" ref="AI23" si="150">AI17-AI20-AI21-AI22</f>
        <v>#REF!</v>
      </c>
      <c r="AJ23" s="39" t="e">
        <f t="shared" ref="AJ23" si="151">AJ17-AJ20-AJ21-AJ22</f>
        <v>#REF!</v>
      </c>
      <c r="AK23" s="39" t="e">
        <f t="shared" ref="AK23" si="152">AK17-AK20-AK21-AK22</f>
        <v>#REF!</v>
      </c>
      <c r="AL23" s="39"/>
      <c r="AM23" s="39" t="e">
        <f>AM17-AM20-AM21-AM22</f>
        <v>#REF!</v>
      </c>
      <c r="AN23" s="39" t="e">
        <f t="shared" ref="AN23" si="153">AN17-AN20-AN21-AN22</f>
        <v>#REF!</v>
      </c>
      <c r="AO23" s="39" t="e">
        <f t="shared" ref="AO23" si="154">AO17-AO20-AO21-AO22</f>
        <v>#REF!</v>
      </c>
      <c r="AP23" s="39" t="e">
        <f t="shared" ref="AP23" si="155">AP17-AP20-AP21-AP22</f>
        <v>#REF!</v>
      </c>
      <c r="AQ23" s="39" t="e">
        <f t="shared" ref="AQ23" si="156">AQ17-AQ20-AQ21-AQ22</f>
        <v>#REF!</v>
      </c>
      <c r="AR23" s="39"/>
      <c r="AS23" s="39" t="e">
        <f>AS17-AS20-AS21-AS22</f>
        <v>#REF!</v>
      </c>
      <c r="AT23" s="39" t="e">
        <f t="shared" ref="AT23" si="157">AT17-AT20-AT21-AT22</f>
        <v>#REF!</v>
      </c>
      <c r="AU23" s="39" t="e">
        <f t="shared" ref="AU23" si="158">AU17-AU20-AU21-AU22</f>
        <v>#REF!</v>
      </c>
      <c r="AV23" s="39" t="e">
        <f t="shared" ref="AV23" si="159">AV17-AV20-AV21-AV22</f>
        <v>#REF!</v>
      </c>
      <c r="AW23" s="39" t="e">
        <f t="shared" ref="AW23" si="160">AW17-AW20-AW21-AW22</f>
        <v>#REF!</v>
      </c>
      <c r="AX23" s="39"/>
      <c r="AY23" s="39" t="e">
        <f>AY17-AY20-AY21-AY22</f>
        <v>#REF!</v>
      </c>
      <c r="AZ23" s="39" t="e">
        <f t="shared" ref="AZ23" si="161">AZ17-AZ20-AZ21-AZ22</f>
        <v>#REF!</v>
      </c>
      <c r="BA23" s="39" t="e">
        <f t="shared" ref="BA23" si="162">BA17-BA20-BA21-BA22</f>
        <v>#REF!</v>
      </c>
      <c r="BB23" s="39" t="e">
        <f t="shared" ref="BB23" si="163">BB17-BB20-BB21-BB22</f>
        <v>#REF!</v>
      </c>
      <c r="BC23" s="39" t="e">
        <f t="shared" ref="BC23" si="164">BC17-BC20-BC21-BC22</f>
        <v>#REF!</v>
      </c>
    </row>
    <row r="24" spans="2:55" s="71" customFormat="1" ht="15.75">
      <c r="B24" s="35" t="s">
        <v>129</v>
      </c>
      <c r="C24" s="76" t="e">
        <f>C23/C13</f>
        <v>#REF!</v>
      </c>
      <c r="D24" s="76" t="e">
        <f t="shared" ref="D24:G24" si="165">D23/D13</f>
        <v>#REF!</v>
      </c>
      <c r="E24" s="76" t="e">
        <f t="shared" si="165"/>
        <v>#REF!</v>
      </c>
      <c r="F24" s="76" t="e">
        <f t="shared" si="165"/>
        <v>#REF!</v>
      </c>
      <c r="G24" s="76" t="e">
        <f t="shared" si="165"/>
        <v>#REF!</v>
      </c>
      <c r="H24" s="76"/>
      <c r="I24" s="76" t="e">
        <f>I23/I13</f>
        <v>#REF!</v>
      </c>
      <c r="J24" s="76" t="e">
        <f t="shared" ref="J24" si="166">J23/J13</f>
        <v>#REF!</v>
      </c>
      <c r="K24" s="76" t="e">
        <f t="shared" ref="K24" si="167">K23/K13</f>
        <v>#REF!</v>
      </c>
      <c r="L24" s="76" t="e">
        <f t="shared" ref="L24" si="168">L23/L13</f>
        <v>#REF!</v>
      </c>
      <c r="M24" s="76" t="e">
        <f t="shared" ref="M24" si="169">M23/M13</f>
        <v>#REF!</v>
      </c>
      <c r="N24" s="76"/>
      <c r="O24" s="76" t="e">
        <f>O23/O13</f>
        <v>#REF!</v>
      </c>
      <c r="P24" s="76" t="e">
        <f t="shared" ref="P24" si="170">P23/P13</f>
        <v>#REF!</v>
      </c>
      <c r="Q24" s="76" t="e">
        <f t="shared" ref="Q24" si="171">Q23/Q13</f>
        <v>#REF!</v>
      </c>
      <c r="R24" s="76" t="e">
        <f t="shared" ref="R24" si="172">R23/R13</f>
        <v>#REF!</v>
      </c>
      <c r="S24" s="76" t="e">
        <f t="shared" ref="S24" si="173">S23/S13</f>
        <v>#REF!</v>
      </c>
      <c r="T24" s="76"/>
      <c r="U24" s="76" t="e">
        <f>U23/U13</f>
        <v>#REF!</v>
      </c>
      <c r="V24" s="76" t="e">
        <f t="shared" ref="V24" si="174">V23/V13</f>
        <v>#REF!</v>
      </c>
      <c r="W24" s="76" t="e">
        <f t="shared" ref="W24" si="175">W23/W13</f>
        <v>#REF!</v>
      </c>
      <c r="X24" s="76" t="e">
        <f t="shared" ref="X24" si="176">X23/X13</f>
        <v>#REF!</v>
      </c>
      <c r="Y24" s="76" t="e">
        <f t="shared" ref="Y24" si="177">Y23/Y13</f>
        <v>#REF!</v>
      </c>
      <c r="Z24" s="76"/>
      <c r="AA24" s="76" t="e">
        <f>AA23/AA13</f>
        <v>#REF!</v>
      </c>
      <c r="AB24" s="76" t="e">
        <f t="shared" ref="AB24" si="178">AB23/AB13</f>
        <v>#REF!</v>
      </c>
      <c r="AC24" s="76" t="e">
        <f t="shared" ref="AC24" si="179">AC23/AC13</f>
        <v>#REF!</v>
      </c>
      <c r="AD24" s="76" t="e">
        <f t="shared" ref="AD24" si="180">AD23/AD13</f>
        <v>#REF!</v>
      </c>
      <c r="AE24" s="76" t="e">
        <f t="shared" ref="AE24" si="181">AE23/AE13</f>
        <v>#REF!</v>
      </c>
      <c r="AF24" s="76"/>
      <c r="AG24" s="76" t="e">
        <f>AG23/AG13</f>
        <v>#REF!</v>
      </c>
      <c r="AH24" s="76" t="e">
        <f t="shared" ref="AH24" si="182">AH23/AH13</f>
        <v>#REF!</v>
      </c>
      <c r="AI24" s="76" t="e">
        <f t="shared" ref="AI24" si="183">AI23/AI13</f>
        <v>#REF!</v>
      </c>
      <c r="AJ24" s="76" t="e">
        <f t="shared" ref="AJ24" si="184">AJ23/AJ13</f>
        <v>#REF!</v>
      </c>
      <c r="AK24" s="76" t="e">
        <f t="shared" ref="AK24" si="185">AK23/AK13</f>
        <v>#REF!</v>
      </c>
      <c r="AL24" s="76"/>
      <c r="AM24" s="76" t="e">
        <f>AM23/AM13</f>
        <v>#REF!</v>
      </c>
      <c r="AN24" s="76" t="e">
        <f t="shared" ref="AN24" si="186">AN23/AN13</f>
        <v>#REF!</v>
      </c>
      <c r="AO24" s="76" t="e">
        <f t="shared" ref="AO24" si="187">AO23/AO13</f>
        <v>#REF!</v>
      </c>
      <c r="AP24" s="76" t="e">
        <f t="shared" ref="AP24" si="188">AP23/AP13</f>
        <v>#REF!</v>
      </c>
      <c r="AQ24" s="76" t="e">
        <f t="shared" ref="AQ24" si="189">AQ23/AQ13</f>
        <v>#REF!</v>
      </c>
      <c r="AR24" s="76"/>
      <c r="AS24" s="76" t="e">
        <f>AS23/AS13</f>
        <v>#REF!</v>
      </c>
      <c r="AT24" s="76" t="e">
        <f t="shared" ref="AT24" si="190">AT23/AT13</f>
        <v>#REF!</v>
      </c>
      <c r="AU24" s="76" t="e">
        <f t="shared" ref="AU24" si="191">AU23/AU13</f>
        <v>#REF!</v>
      </c>
      <c r="AV24" s="76" t="e">
        <f t="shared" ref="AV24" si="192">AV23/AV13</f>
        <v>#REF!</v>
      </c>
      <c r="AW24" s="76" t="e">
        <f t="shared" ref="AW24" si="193">AW23/AW13</f>
        <v>#REF!</v>
      </c>
      <c r="AX24" s="76"/>
      <c r="AY24" s="76" t="e">
        <f>AY23/AY13</f>
        <v>#REF!</v>
      </c>
      <c r="AZ24" s="76" t="e">
        <f t="shared" ref="AZ24" si="194">AZ23/AZ13</f>
        <v>#REF!</v>
      </c>
      <c r="BA24" s="76" t="e">
        <f t="shared" ref="BA24" si="195">BA23/BA13</f>
        <v>#REF!</v>
      </c>
      <c r="BB24" s="76" t="e">
        <f t="shared" ref="BB24" si="196">BB23/BB13</f>
        <v>#REF!</v>
      </c>
      <c r="BC24" s="76" t="e">
        <f t="shared" ref="BC24" si="197">BC23/BC13</f>
        <v>#REF!</v>
      </c>
    </row>
    <row r="26" spans="2:55" ht="15.75" collapsed="1">
      <c r="B26" s="72" t="s">
        <v>130</v>
      </c>
      <c r="C26" s="73" t="e">
        <f>#REF!</f>
        <v>#REF!</v>
      </c>
      <c r="D26" s="73" t="e">
        <f>#REF!</f>
        <v>#REF!</v>
      </c>
      <c r="E26" s="73" t="e">
        <f>#REF!</f>
        <v>#REF!</v>
      </c>
      <c r="F26" s="73" t="e">
        <f>#REF!</f>
        <v>#REF!</v>
      </c>
      <c r="G26" s="73" t="e">
        <f>SUM(C26:F26)</f>
        <v>#REF!</v>
      </c>
      <c r="H26" s="73"/>
      <c r="I26" s="73" t="e">
        <f>#REF!</f>
        <v>#REF!</v>
      </c>
      <c r="J26" s="73" t="e">
        <f>#REF!</f>
        <v>#REF!</v>
      </c>
      <c r="K26" s="73" t="e">
        <f>#REF!</f>
        <v>#REF!</v>
      </c>
      <c r="L26" s="73" t="e">
        <f>#REF!</f>
        <v>#REF!</v>
      </c>
      <c r="M26" s="73" t="e">
        <f>SUM(I26:L26)</f>
        <v>#REF!</v>
      </c>
      <c r="N26" s="73"/>
      <c r="O26" s="73" t="e">
        <f>#REF!</f>
        <v>#REF!</v>
      </c>
      <c r="P26" s="73" t="e">
        <f>#REF!</f>
        <v>#REF!</v>
      </c>
      <c r="Q26" s="73" t="e">
        <f>#REF!</f>
        <v>#REF!</v>
      </c>
      <c r="R26" s="73" t="e">
        <f>#REF!</f>
        <v>#REF!</v>
      </c>
      <c r="S26" s="73" t="e">
        <f>SUM(O26:R26)</f>
        <v>#REF!</v>
      </c>
      <c r="T26" s="73"/>
      <c r="U26" s="73" t="e">
        <f>#REF!</f>
        <v>#REF!</v>
      </c>
      <c r="V26" s="73" t="e">
        <f>#REF!</f>
        <v>#REF!</v>
      </c>
      <c r="W26" s="73" t="e">
        <f>#REF!</f>
        <v>#REF!</v>
      </c>
      <c r="X26" s="73" t="e">
        <f>#REF!</f>
        <v>#REF!</v>
      </c>
      <c r="Y26" s="73" t="e">
        <f>SUM(U26:X26)</f>
        <v>#REF!</v>
      </c>
      <c r="Z26" s="73"/>
      <c r="AA26" s="73" t="e">
        <f>#REF!</f>
        <v>#REF!</v>
      </c>
      <c r="AB26" s="73" t="e">
        <f>#REF!</f>
        <v>#REF!</v>
      </c>
      <c r="AC26" s="73" t="e">
        <f>#REF!</f>
        <v>#REF!</v>
      </c>
      <c r="AD26" s="73" t="e">
        <f>#REF!</f>
        <v>#REF!</v>
      </c>
      <c r="AE26" s="73" t="e">
        <f>SUM(AA26:AD26)</f>
        <v>#REF!</v>
      </c>
      <c r="AF26" s="73"/>
      <c r="AG26" s="73" t="e">
        <f>#REF!</f>
        <v>#REF!</v>
      </c>
      <c r="AH26" s="73" t="e">
        <f>#REF!</f>
        <v>#REF!</v>
      </c>
      <c r="AI26" s="73" t="e">
        <f>#REF!</f>
        <v>#REF!</v>
      </c>
      <c r="AJ26" s="73" t="e">
        <f>#REF!</f>
        <v>#REF!</v>
      </c>
      <c r="AK26" s="73" t="e">
        <f>SUM(AG26:AJ26)</f>
        <v>#REF!</v>
      </c>
      <c r="AL26" s="73"/>
      <c r="AM26" s="73" t="e">
        <f>#REF!</f>
        <v>#REF!</v>
      </c>
      <c r="AN26" s="73" t="e">
        <f>#REF!</f>
        <v>#REF!</v>
      </c>
      <c r="AO26" s="73" t="e">
        <f>#REF!</f>
        <v>#REF!</v>
      </c>
      <c r="AP26" s="73" t="e">
        <f>#REF!</f>
        <v>#REF!</v>
      </c>
      <c r="AQ26" s="73" t="e">
        <f>SUM(AM26:AP26)</f>
        <v>#REF!</v>
      </c>
      <c r="AR26" s="73"/>
      <c r="AS26" s="73" t="e">
        <f>#REF!</f>
        <v>#REF!</v>
      </c>
      <c r="AT26" s="73" t="e">
        <f>#REF!</f>
        <v>#REF!</v>
      </c>
      <c r="AU26" s="73" t="e">
        <f>#REF!</f>
        <v>#REF!</v>
      </c>
      <c r="AV26" s="73" t="e">
        <f>#REF!</f>
        <v>#REF!</v>
      </c>
      <c r="AW26" s="73" t="e">
        <f>SUM(AS26:AV26)</f>
        <v>#REF!</v>
      </c>
      <c r="AX26" s="73"/>
      <c r="AY26" s="73" t="e">
        <f>#REF!</f>
        <v>#REF!</v>
      </c>
      <c r="AZ26" s="73" t="e">
        <f>#REF!</f>
        <v>#REF!</v>
      </c>
      <c r="BA26" s="73" t="e">
        <f>#REF!</f>
        <v>#REF!</v>
      </c>
      <c r="BB26" s="73" t="e">
        <f>#REF!</f>
        <v>#REF!</v>
      </c>
      <c r="BC26" s="73" t="e">
        <f>SUM(AY26:BB26)</f>
        <v>#REF!</v>
      </c>
    </row>
    <row r="27" spans="2:55" ht="15.75" collapsed="1">
      <c r="B27" s="72" t="s">
        <v>131</v>
      </c>
      <c r="C27" s="73" t="e">
        <f>#REF!</f>
        <v>#REF!</v>
      </c>
      <c r="D27" s="73" t="e">
        <f>#REF!</f>
        <v>#REF!</v>
      </c>
      <c r="E27" s="73" t="e">
        <f>#REF!</f>
        <v>#REF!</v>
      </c>
      <c r="F27" s="73" t="e">
        <f>#REF!</f>
        <v>#REF!</v>
      </c>
      <c r="G27" s="73" t="e">
        <f>SUM(C27:F27)</f>
        <v>#REF!</v>
      </c>
      <c r="H27" s="73"/>
      <c r="I27" s="73" t="e">
        <f>#REF!</f>
        <v>#REF!</v>
      </c>
      <c r="J27" s="73" t="e">
        <f>#REF!</f>
        <v>#REF!</v>
      </c>
      <c r="K27" s="73" t="e">
        <f>#REF!</f>
        <v>#REF!</v>
      </c>
      <c r="L27" s="73" t="e">
        <f>#REF!</f>
        <v>#REF!</v>
      </c>
      <c r="M27" s="73" t="e">
        <f>SUM(I27:L27)</f>
        <v>#REF!</v>
      </c>
      <c r="N27" s="73"/>
      <c r="O27" s="73" t="e">
        <f>#REF!</f>
        <v>#REF!</v>
      </c>
      <c r="P27" s="73" t="e">
        <f>#REF!</f>
        <v>#REF!</v>
      </c>
      <c r="Q27" s="73" t="e">
        <f>#REF!</f>
        <v>#REF!</v>
      </c>
      <c r="R27" s="73" t="e">
        <f>#REF!</f>
        <v>#REF!</v>
      </c>
      <c r="S27" s="73" t="e">
        <f>SUM(O27:R27)</f>
        <v>#REF!</v>
      </c>
      <c r="T27" s="73"/>
      <c r="U27" s="73" t="e">
        <f>#REF!</f>
        <v>#REF!</v>
      </c>
      <c r="V27" s="73" t="e">
        <f>#REF!</f>
        <v>#REF!</v>
      </c>
      <c r="W27" s="73" t="e">
        <f>#REF!</f>
        <v>#REF!</v>
      </c>
      <c r="X27" s="73" t="e">
        <f>#REF!</f>
        <v>#REF!</v>
      </c>
      <c r="Y27" s="73" t="e">
        <f>SUM(U27:X27)</f>
        <v>#REF!</v>
      </c>
      <c r="Z27" s="73"/>
      <c r="AA27" s="73" t="e">
        <f>#REF!</f>
        <v>#REF!</v>
      </c>
      <c r="AB27" s="73" t="e">
        <f>#REF!</f>
        <v>#REF!</v>
      </c>
      <c r="AC27" s="73" t="e">
        <f>#REF!</f>
        <v>#REF!</v>
      </c>
      <c r="AD27" s="73" t="e">
        <f>#REF!</f>
        <v>#REF!</v>
      </c>
      <c r="AE27" s="73" t="e">
        <f>SUM(AA27:AD27)</f>
        <v>#REF!</v>
      </c>
      <c r="AF27" s="73"/>
      <c r="AG27" s="73" t="e">
        <f>#REF!</f>
        <v>#REF!</v>
      </c>
      <c r="AH27" s="73" t="e">
        <f>#REF!</f>
        <v>#REF!</v>
      </c>
      <c r="AI27" s="73" t="e">
        <f>#REF!</f>
        <v>#REF!</v>
      </c>
      <c r="AJ27" s="73" t="e">
        <f>#REF!</f>
        <v>#REF!</v>
      </c>
      <c r="AK27" s="73" t="e">
        <f>SUM(AG27:AJ27)</f>
        <v>#REF!</v>
      </c>
      <c r="AL27" s="73"/>
      <c r="AM27" s="73" t="e">
        <f>#REF!</f>
        <v>#REF!</v>
      </c>
      <c r="AN27" s="73" t="e">
        <f>#REF!</f>
        <v>#REF!</v>
      </c>
      <c r="AO27" s="73" t="e">
        <f>#REF!</f>
        <v>#REF!</v>
      </c>
      <c r="AP27" s="73" t="e">
        <f>#REF!</f>
        <v>#REF!</v>
      </c>
      <c r="AQ27" s="73" t="e">
        <f>SUM(AM27:AP27)</f>
        <v>#REF!</v>
      </c>
      <c r="AR27" s="73"/>
      <c r="AS27" s="73" t="e">
        <f>#REF!</f>
        <v>#REF!</v>
      </c>
      <c r="AT27" s="73" t="e">
        <f>#REF!</f>
        <v>#REF!</v>
      </c>
      <c r="AU27" s="73" t="e">
        <f>#REF!</f>
        <v>#REF!</v>
      </c>
      <c r="AV27" s="73" t="e">
        <f>#REF!</f>
        <v>#REF!</v>
      </c>
      <c r="AW27" s="73" t="e">
        <f>SUM(AS27:AV27)</f>
        <v>#REF!</v>
      </c>
      <c r="AX27" s="73"/>
      <c r="AY27" s="73" t="e">
        <f>#REF!</f>
        <v>#REF!</v>
      </c>
      <c r="AZ27" s="73" t="e">
        <f>#REF!</f>
        <v>#REF!</v>
      </c>
      <c r="BA27" s="73" t="e">
        <f>#REF!</f>
        <v>#REF!</v>
      </c>
      <c r="BB27" s="73" t="e">
        <f>#REF!</f>
        <v>#REF!</v>
      </c>
      <c r="BC27" s="73" t="e">
        <f>SUM(AY27:BB27)</f>
        <v>#REF!</v>
      </c>
    </row>
    <row r="28" spans="2:55" ht="15.75">
      <c r="B28" s="35" t="s">
        <v>132</v>
      </c>
      <c r="C28" s="39" t="e">
        <f>C23-C26-C27</f>
        <v>#REF!</v>
      </c>
      <c r="D28" s="39" t="e">
        <f t="shared" ref="D28:G28" si="198">D23-D26-D27</f>
        <v>#REF!</v>
      </c>
      <c r="E28" s="39" t="e">
        <f t="shared" si="198"/>
        <v>#REF!</v>
      </c>
      <c r="F28" s="39" t="e">
        <f t="shared" si="198"/>
        <v>#REF!</v>
      </c>
      <c r="G28" s="39" t="e">
        <f t="shared" si="198"/>
        <v>#REF!</v>
      </c>
      <c r="H28" s="39"/>
      <c r="I28" s="39" t="e">
        <f>I23-I26-I27</f>
        <v>#REF!</v>
      </c>
      <c r="J28" s="39" t="e">
        <f t="shared" ref="J28" si="199">J23-J26-J27</f>
        <v>#REF!</v>
      </c>
      <c r="K28" s="39" t="e">
        <f t="shared" ref="K28" si="200">K23-K26-K27</f>
        <v>#REF!</v>
      </c>
      <c r="L28" s="39" t="e">
        <f t="shared" ref="L28" si="201">L23-L26-L27</f>
        <v>#REF!</v>
      </c>
      <c r="M28" s="39" t="e">
        <f t="shared" ref="M28" si="202">M23-M26-M27</f>
        <v>#REF!</v>
      </c>
      <c r="N28" s="39"/>
      <c r="O28" s="39" t="e">
        <f>O23-O26-O27</f>
        <v>#REF!</v>
      </c>
      <c r="P28" s="39" t="e">
        <f t="shared" ref="P28" si="203">P23-P26-P27</f>
        <v>#REF!</v>
      </c>
      <c r="Q28" s="39" t="e">
        <f t="shared" ref="Q28" si="204">Q23-Q26-Q27</f>
        <v>#REF!</v>
      </c>
      <c r="R28" s="39" t="e">
        <f t="shared" ref="R28" si="205">R23-R26-R27</f>
        <v>#REF!</v>
      </c>
      <c r="S28" s="39" t="e">
        <f t="shared" ref="S28" si="206">S23-S26-S27</f>
        <v>#REF!</v>
      </c>
      <c r="T28" s="39"/>
      <c r="U28" s="39" t="e">
        <f>U23-U26-U27</f>
        <v>#REF!</v>
      </c>
      <c r="V28" s="39" t="e">
        <f>V23-V26-V27</f>
        <v>#REF!</v>
      </c>
      <c r="W28" s="39" t="e">
        <f t="shared" ref="W28" si="207">W23-W26-W27</f>
        <v>#REF!</v>
      </c>
      <c r="X28" s="39" t="e">
        <f t="shared" ref="X28" si="208">X23-X26-X27</f>
        <v>#REF!</v>
      </c>
      <c r="Y28" s="39" t="e">
        <f t="shared" ref="Y28" si="209">Y23-Y26-Y27</f>
        <v>#REF!</v>
      </c>
      <c r="Z28" s="39"/>
      <c r="AA28" s="39" t="e">
        <f>AA23-AA26-AA27</f>
        <v>#REF!</v>
      </c>
      <c r="AB28" s="39" t="e">
        <f t="shared" ref="AB28" si="210">AB23-AB26-AB27</f>
        <v>#REF!</v>
      </c>
      <c r="AC28" s="39" t="e">
        <f t="shared" ref="AC28" si="211">AC23-AC26-AC27</f>
        <v>#REF!</v>
      </c>
      <c r="AD28" s="39" t="e">
        <f t="shared" ref="AD28" si="212">AD23-AD26-AD27</f>
        <v>#REF!</v>
      </c>
      <c r="AE28" s="39" t="e">
        <f t="shared" ref="AE28" si="213">AE23-AE26-AE27</f>
        <v>#REF!</v>
      </c>
      <c r="AF28" s="39"/>
      <c r="AG28" s="39" t="e">
        <f>AG23-AG26-AG27</f>
        <v>#REF!</v>
      </c>
      <c r="AH28" s="39" t="e">
        <f t="shared" ref="AH28" si="214">AH23-AH26-AH27</f>
        <v>#REF!</v>
      </c>
      <c r="AI28" s="39" t="e">
        <f t="shared" ref="AI28" si="215">AI23-AI26-AI27</f>
        <v>#REF!</v>
      </c>
      <c r="AJ28" s="39" t="e">
        <f t="shared" ref="AJ28" si="216">AJ23-AJ26-AJ27</f>
        <v>#REF!</v>
      </c>
      <c r="AK28" s="39" t="e">
        <f t="shared" ref="AK28" si="217">AK23-AK26-AK27</f>
        <v>#REF!</v>
      </c>
      <c r="AL28" s="39"/>
      <c r="AM28" s="39" t="e">
        <f>AM23-AM26-AM27</f>
        <v>#REF!</v>
      </c>
      <c r="AN28" s="39" t="e">
        <f t="shared" ref="AN28" si="218">AN23-AN26-AN27</f>
        <v>#REF!</v>
      </c>
      <c r="AO28" s="39" t="e">
        <f t="shared" ref="AO28" si="219">AO23-AO26-AO27</f>
        <v>#REF!</v>
      </c>
      <c r="AP28" s="39" t="e">
        <f t="shared" ref="AP28" si="220">AP23-AP26-AP27</f>
        <v>#REF!</v>
      </c>
      <c r="AQ28" s="39" t="e">
        <f t="shared" ref="AQ28" si="221">AQ23-AQ26-AQ27</f>
        <v>#REF!</v>
      </c>
      <c r="AR28" s="39"/>
      <c r="AS28" s="39" t="e">
        <f>AS23-AS26-AS27</f>
        <v>#REF!</v>
      </c>
      <c r="AT28" s="39" t="e">
        <f t="shared" ref="AT28" si="222">AT23-AT26-AT27</f>
        <v>#REF!</v>
      </c>
      <c r="AU28" s="39" t="e">
        <f t="shared" ref="AU28" si="223">AU23-AU26-AU27</f>
        <v>#REF!</v>
      </c>
      <c r="AV28" s="39" t="e">
        <f t="shared" ref="AV28" si="224">AV23-AV26-AV27</f>
        <v>#REF!</v>
      </c>
      <c r="AW28" s="39" t="e">
        <f t="shared" ref="AW28" si="225">AW23-AW26-AW27</f>
        <v>#REF!</v>
      </c>
      <c r="AX28" s="39"/>
      <c r="AY28" s="39" t="e">
        <f>AY23-AY26-AY27</f>
        <v>#REF!</v>
      </c>
      <c r="AZ28" s="39" t="e">
        <f t="shared" ref="AZ28" si="226">AZ23-AZ26-AZ27</f>
        <v>#REF!</v>
      </c>
      <c r="BA28" s="39" t="e">
        <f t="shared" ref="BA28" si="227">BA23-BA26-BA27</f>
        <v>#REF!</v>
      </c>
      <c r="BB28" s="39" t="e">
        <f t="shared" ref="BB28" si="228">BB23-BB26-BB27</f>
        <v>#REF!</v>
      </c>
      <c r="BC28" s="39" t="e">
        <f t="shared" ref="BC28" si="229">BC23-BC26-BC27</f>
        <v>#REF!</v>
      </c>
    </row>
    <row r="29" spans="2:55" s="71" customFormat="1" ht="15.75">
      <c r="B29" s="35" t="s">
        <v>133</v>
      </c>
      <c r="C29" s="76" t="e">
        <f>C28/C13</f>
        <v>#REF!</v>
      </c>
      <c r="D29" s="76" t="e">
        <f t="shared" ref="D29:G29" si="230">D28/D13</f>
        <v>#REF!</v>
      </c>
      <c r="E29" s="76" t="e">
        <f t="shared" si="230"/>
        <v>#REF!</v>
      </c>
      <c r="F29" s="76" t="e">
        <f t="shared" si="230"/>
        <v>#REF!</v>
      </c>
      <c r="G29" s="76" t="e">
        <f t="shared" si="230"/>
        <v>#REF!</v>
      </c>
      <c r="H29" s="76"/>
      <c r="I29" s="76" t="e">
        <f>I28/I13</f>
        <v>#REF!</v>
      </c>
      <c r="J29" s="76" t="e">
        <f t="shared" ref="J29" si="231">J28/J13</f>
        <v>#REF!</v>
      </c>
      <c r="K29" s="76" t="e">
        <f t="shared" ref="K29" si="232">K28/K13</f>
        <v>#REF!</v>
      </c>
      <c r="L29" s="76" t="e">
        <f t="shared" ref="L29" si="233">L28/L13</f>
        <v>#REF!</v>
      </c>
      <c r="M29" s="76" t="e">
        <f t="shared" ref="M29" si="234">M28/M13</f>
        <v>#REF!</v>
      </c>
      <c r="N29" s="76"/>
      <c r="O29" s="76" t="e">
        <f>O28/O13</f>
        <v>#REF!</v>
      </c>
      <c r="P29" s="76" t="e">
        <f t="shared" ref="P29" si="235">P28/P13</f>
        <v>#REF!</v>
      </c>
      <c r="Q29" s="76" t="e">
        <f t="shared" ref="Q29" si="236">Q28/Q13</f>
        <v>#REF!</v>
      </c>
      <c r="R29" s="76" t="e">
        <f t="shared" ref="R29" si="237">R28/R13</f>
        <v>#REF!</v>
      </c>
      <c r="S29" s="76" t="e">
        <f t="shared" ref="S29" si="238">S28/S13</f>
        <v>#REF!</v>
      </c>
      <c r="T29" s="76"/>
      <c r="U29" s="76" t="e">
        <f>U28/U13</f>
        <v>#REF!</v>
      </c>
      <c r="V29" s="76" t="e">
        <f t="shared" ref="V29" si="239">V28/V13</f>
        <v>#REF!</v>
      </c>
      <c r="W29" s="76" t="e">
        <f t="shared" ref="W29" si="240">W28/W13</f>
        <v>#REF!</v>
      </c>
      <c r="X29" s="76" t="e">
        <f t="shared" ref="X29" si="241">X28/X13</f>
        <v>#REF!</v>
      </c>
      <c r="Y29" s="76" t="e">
        <f t="shared" ref="Y29" si="242">Y28/Y13</f>
        <v>#REF!</v>
      </c>
      <c r="Z29" s="76"/>
      <c r="AA29" s="76" t="e">
        <f>AA28/AA13</f>
        <v>#REF!</v>
      </c>
      <c r="AB29" s="76" t="e">
        <f t="shared" ref="AB29" si="243">AB28/AB13</f>
        <v>#REF!</v>
      </c>
      <c r="AC29" s="76" t="e">
        <f t="shared" ref="AC29" si="244">AC28/AC13</f>
        <v>#REF!</v>
      </c>
      <c r="AD29" s="76" t="e">
        <f t="shared" ref="AD29" si="245">AD28/AD13</f>
        <v>#REF!</v>
      </c>
      <c r="AE29" s="76" t="e">
        <f t="shared" ref="AE29" si="246">AE28/AE13</f>
        <v>#REF!</v>
      </c>
      <c r="AF29" s="76"/>
      <c r="AG29" s="76" t="e">
        <f>AG28/AG13</f>
        <v>#REF!</v>
      </c>
      <c r="AH29" s="76" t="e">
        <f t="shared" ref="AH29" si="247">AH28/AH13</f>
        <v>#REF!</v>
      </c>
      <c r="AI29" s="76" t="e">
        <f t="shared" ref="AI29" si="248">AI28/AI13</f>
        <v>#REF!</v>
      </c>
      <c r="AJ29" s="76" t="e">
        <f t="shared" ref="AJ29" si="249">AJ28/AJ13</f>
        <v>#REF!</v>
      </c>
      <c r="AK29" s="76" t="e">
        <f t="shared" ref="AK29" si="250">AK28/AK13</f>
        <v>#REF!</v>
      </c>
      <c r="AL29" s="76"/>
      <c r="AM29" s="76" t="e">
        <f>AM28/AM13</f>
        <v>#REF!</v>
      </c>
      <c r="AN29" s="76" t="e">
        <f t="shared" ref="AN29" si="251">AN28/AN13</f>
        <v>#REF!</v>
      </c>
      <c r="AO29" s="76" t="e">
        <f t="shared" ref="AO29" si="252">AO28/AO13</f>
        <v>#REF!</v>
      </c>
      <c r="AP29" s="76" t="e">
        <f t="shared" ref="AP29" si="253">AP28/AP13</f>
        <v>#REF!</v>
      </c>
      <c r="AQ29" s="76" t="e">
        <f t="shared" ref="AQ29" si="254">AQ28/AQ13</f>
        <v>#REF!</v>
      </c>
      <c r="AR29" s="76"/>
      <c r="AS29" s="76" t="e">
        <f>AS28/AS13</f>
        <v>#REF!</v>
      </c>
      <c r="AT29" s="76" t="e">
        <f t="shared" ref="AT29" si="255">AT28/AT13</f>
        <v>#REF!</v>
      </c>
      <c r="AU29" s="76" t="e">
        <f t="shared" ref="AU29" si="256">AU28/AU13</f>
        <v>#REF!</v>
      </c>
      <c r="AV29" s="76" t="e">
        <f t="shared" ref="AV29" si="257">AV28/AV13</f>
        <v>#REF!</v>
      </c>
      <c r="AW29" s="76" t="e">
        <f t="shared" ref="AW29" si="258">AW28/AW13</f>
        <v>#REF!</v>
      </c>
      <c r="AX29" s="76"/>
      <c r="AY29" s="76" t="e">
        <f>AY28/AY13</f>
        <v>#REF!</v>
      </c>
      <c r="AZ29" s="76" t="e">
        <f t="shared" ref="AZ29" si="259">AZ28/AZ13</f>
        <v>#REF!</v>
      </c>
      <c r="BA29" s="76" t="e">
        <f t="shared" ref="BA29" si="260">BA28/BA13</f>
        <v>#REF!</v>
      </c>
      <c r="BB29" s="76" t="e">
        <f t="shared" ref="BB29" si="261">BB28/BB13</f>
        <v>#REF!</v>
      </c>
      <c r="BC29" s="76" t="e">
        <f t="shared" ref="BC29" si="262">BC28/BC13</f>
        <v>#REF!</v>
      </c>
    </row>
    <row r="31" spans="2:55" ht="15.75" collapsed="1">
      <c r="B31" s="72" t="s">
        <v>27</v>
      </c>
      <c r="C31" s="73" t="e">
        <f>#REF!</f>
        <v>#REF!</v>
      </c>
      <c r="D31" s="73" t="e">
        <f>#REF!</f>
        <v>#REF!</v>
      </c>
      <c r="E31" s="73" t="e">
        <f>#REF!</f>
        <v>#REF!</v>
      </c>
      <c r="F31" s="73" t="e">
        <f>#REF!</f>
        <v>#REF!</v>
      </c>
      <c r="G31" s="73" t="e">
        <f>SUM(C31:F31)</f>
        <v>#REF!</v>
      </c>
      <c r="H31" s="73"/>
      <c r="I31" s="73" t="e">
        <f>#REF!</f>
        <v>#REF!</v>
      </c>
      <c r="J31" s="73" t="e">
        <f>#REF!</f>
        <v>#REF!</v>
      </c>
      <c r="K31" s="73" t="e">
        <f>#REF!</f>
        <v>#REF!</v>
      </c>
      <c r="L31" s="73" t="e">
        <f>#REF!</f>
        <v>#REF!</v>
      </c>
      <c r="M31" s="73" t="e">
        <f>SUM(I31:L31)</f>
        <v>#REF!</v>
      </c>
      <c r="N31" s="73"/>
      <c r="O31" s="73" t="e">
        <f>#REF!</f>
        <v>#REF!</v>
      </c>
      <c r="P31" s="73" t="e">
        <f>#REF!</f>
        <v>#REF!</v>
      </c>
      <c r="Q31" s="73" t="e">
        <f>#REF!</f>
        <v>#REF!</v>
      </c>
      <c r="R31" s="73" t="e">
        <f>#REF!</f>
        <v>#REF!</v>
      </c>
      <c r="S31" s="73" t="e">
        <f>SUM(O31:R31)</f>
        <v>#REF!</v>
      </c>
      <c r="T31" s="73"/>
      <c r="U31" s="73" t="e">
        <f>#REF!</f>
        <v>#REF!</v>
      </c>
      <c r="V31" s="73" t="e">
        <f>#REF!</f>
        <v>#REF!</v>
      </c>
      <c r="W31" s="73" t="e">
        <f>#REF!</f>
        <v>#REF!</v>
      </c>
      <c r="X31" s="73" t="e">
        <f>#REF!</f>
        <v>#REF!</v>
      </c>
      <c r="Y31" s="73" t="e">
        <f>SUM(U31:X31)</f>
        <v>#REF!</v>
      </c>
      <c r="Z31" s="73"/>
      <c r="AA31" s="73" t="e">
        <f>#REF!</f>
        <v>#REF!</v>
      </c>
      <c r="AB31" s="73" t="e">
        <f>#REF!</f>
        <v>#REF!</v>
      </c>
      <c r="AC31" s="73" t="e">
        <f>#REF!</f>
        <v>#REF!</v>
      </c>
      <c r="AD31" s="73" t="e">
        <f>#REF!</f>
        <v>#REF!</v>
      </c>
      <c r="AE31" s="73" t="e">
        <f>SUM(AA31:AD31)</f>
        <v>#REF!</v>
      </c>
      <c r="AF31" s="73"/>
      <c r="AG31" s="73" t="e">
        <f>#REF!</f>
        <v>#REF!</v>
      </c>
      <c r="AH31" s="73" t="e">
        <f>#REF!</f>
        <v>#REF!</v>
      </c>
      <c r="AI31" s="73" t="e">
        <f>#REF!</f>
        <v>#REF!</v>
      </c>
      <c r="AJ31" s="73" t="e">
        <f>#REF!</f>
        <v>#REF!</v>
      </c>
      <c r="AK31" s="73" t="e">
        <f>SUM(AG31:AJ31)</f>
        <v>#REF!</v>
      </c>
      <c r="AL31" s="73"/>
      <c r="AM31" s="73" t="e">
        <f>#REF!</f>
        <v>#REF!</v>
      </c>
      <c r="AN31" s="73" t="e">
        <f>#REF!</f>
        <v>#REF!</v>
      </c>
      <c r="AO31" s="73" t="e">
        <f>#REF!</f>
        <v>#REF!</v>
      </c>
      <c r="AP31" s="73" t="e">
        <f>#REF!</f>
        <v>#REF!</v>
      </c>
      <c r="AQ31" s="73" t="e">
        <f>SUM(AM31:AP31)</f>
        <v>#REF!</v>
      </c>
      <c r="AR31" s="73"/>
      <c r="AS31" s="73" t="e">
        <f>#REF!</f>
        <v>#REF!</v>
      </c>
      <c r="AT31" s="73" t="e">
        <f>#REF!</f>
        <v>#REF!</v>
      </c>
      <c r="AU31" s="73" t="e">
        <f>#REF!</f>
        <v>#REF!</v>
      </c>
      <c r="AV31" s="73" t="e">
        <f>#REF!</f>
        <v>#REF!</v>
      </c>
      <c r="AW31" s="73" t="e">
        <f>SUM(AS31:AV31)</f>
        <v>#REF!</v>
      </c>
      <c r="AX31" s="73"/>
      <c r="AY31" s="73" t="e">
        <f>#REF!</f>
        <v>#REF!</v>
      </c>
      <c r="AZ31" s="73" t="e">
        <f>#REF!</f>
        <v>#REF!</v>
      </c>
      <c r="BA31" s="73" t="e">
        <f>#REF!</f>
        <v>#REF!</v>
      </c>
      <c r="BB31" s="73" t="e">
        <f>#REF!</f>
        <v>#REF!</v>
      </c>
      <c r="BC31" s="73" t="e">
        <f>SUM(AY31:BB31)</f>
        <v>#REF!</v>
      </c>
    </row>
    <row r="32" spans="2:55" ht="15.75" collapsed="1">
      <c r="B32" s="72" t="s">
        <v>28</v>
      </c>
      <c r="C32" s="73" t="e">
        <f>#REF!</f>
        <v>#REF!</v>
      </c>
      <c r="D32" s="73" t="e">
        <f>#REF!</f>
        <v>#REF!</v>
      </c>
      <c r="E32" s="73" t="e">
        <f>#REF!</f>
        <v>#REF!</v>
      </c>
      <c r="F32" s="73" t="e">
        <f>#REF!</f>
        <v>#REF!</v>
      </c>
      <c r="G32" s="73" t="e">
        <f>SUM(C32:F32)</f>
        <v>#REF!</v>
      </c>
      <c r="H32" s="73"/>
      <c r="I32" s="73" t="e">
        <f>#REF!</f>
        <v>#REF!</v>
      </c>
      <c r="J32" s="73" t="e">
        <f>#REF!</f>
        <v>#REF!</v>
      </c>
      <c r="K32" s="73" t="e">
        <f>#REF!</f>
        <v>#REF!</v>
      </c>
      <c r="L32" s="73" t="e">
        <f>#REF!</f>
        <v>#REF!</v>
      </c>
      <c r="M32" s="73" t="e">
        <f>SUM(I32:L32)</f>
        <v>#REF!</v>
      </c>
      <c r="N32" s="73"/>
      <c r="O32" s="73" t="e">
        <f>#REF!</f>
        <v>#REF!</v>
      </c>
      <c r="P32" s="73" t="e">
        <f>#REF!</f>
        <v>#REF!</v>
      </c>
      <c r="Q32" s="73" t="e">
        <f>#REF!</f>
        <v>#REF!</v>
      </c>
      <c r="R32" s="73" t="e">
        <f>#REF!</f>
        <v>#REF!</v>
      </c>
      <c r="S32" s="73" t="e">
        <f>SUM(O32:R32)</f>
        <v>#REF!</v>
      </c>
      <c r="T32" s="73"/>
      <c r="U32" s="73" t="e">
        <f>#REF!</f>
        <v>#REF!</v>
      </c>
      <c r="V32" s="73" t="e">
        <f>#REF!</f>
        <v>#REF!</v>
      </c>
      <c r="W32" s="73" t="e">
        <f>#REF!</f>
        <v>#REF!</v>
      </c>
      <c r="X32" s="73" t="e">
        <f>#REF!</f>
        <v>#REF!</v>
      </c>
      <c r="Y32" s="73" t="e">
        <f>SUM(U32:X32)</f>
        <v>#REF!</v>
      </c>
      <c r="Z32" s="73"/>
      <c r="AA32" s="73" t="e">
        <f>#REF!</f>
        <v>#REF!</v>
      </c>
      <c r="AB32" s="73" t="e">
        <f>#REF!</f>
        <v>#REF!</v>
      </c>
      <c r="AC32" s="73" t="e">
        <f>#REF!</f>
        <v>#REF!</v>
      </c>
      <c r="AD32" s="73" t="e">
        <f>#REF!</f>
        <v>#REF!</v>
      </c>
      <c r="AE32" s="73" t="e">
        <f>SUM(AA32:AD32)</f>
        <v>#REF!</v>
      </c>
      <c r="AF32" s="73"/>
      <c r="AG32" s="73" t="e">
        <f>#REF!</f>
        <v>#REF!</v>
      </c>
      <c r="AH32" s="73" t="e">
        <f>#REF!</f>
        <v>#REF!</v>
      </c>
      <c r="AI32" s="73" t="e">
        <f>#REF!</f>
        <v>#REF!</v>
      </c>
      <c r="AJ32" s="73" t="e">
        <f>#REF!</f>
        <v>#REF!</v>
      </c>
      <c r="AK32" s="73" t="e">
        <f>SUM(AG32:AJ32)</f>
        <v>#REF!</v>
      </c>
      <c r="AL32" s="73"/>
      <c r="AM32" s="73" t="e">
        <f>#REF!</f>
        <v>#REF!</v>
      </c>
      <c r="AN32" s="73" t="e">
        <f>#REF!</f>
        <v>#REF!</v>
      </c>
      <c r="AO32" s="73" t="e">
        <f>#REF!</f>
        <v>#REF!</v>
      </c>
      <c r="AP32" s="73" t="e">
        <f>#REF!</f>
        <v>#REF!</v>
      </c>
      <c r="AQ32" s="73" t="e">
        <f>SUM(AM32:AP32)</f>
        <v>#REF!</v>
      </c>
      <c r="AR32" s="73"/>
      <c r="AS32" s="73" t="e">
        <f>#REF!</f>
        <v>#REF!</v>
      </c>
      <c r="AT32" s="73" t="e">
        <f>#REF!</f>
        <v>#REF!</v>
      </c>
      <c r="AU32" s="73" t="e">
        <f>#REF!</f>
        <v>#REF!</v>
      </c>
      <c r="AV32" s="73" t="e">
        <f>#REF!</f>
        <v>#REF!</v>
      </c>
      <c r="AW32" s="73" t="e">
        <f>SUM(AS32:AV32)</f>
        <v>#REF!</v>
      </c>
      <c r="AX32" s="73"/>
      <c r="AY32" s="73" t="e">
        <f>#REF!</f>
        <v>#REF!</v>
      </c>
      <c r="AZ32" s="73" t="e">
        <f>#REF!</f>
        <v>#REF!</v>
      </c>
      <c r="BA32" s="73" t="e">
        <f>#REF!</f>
        <v>#REF!</v>
      </c>
      <c r="BB32" s="73" t="e">
        <f>#REF!</f>
        <v>#REF!</v>
      </c>
      <c r="BC32" s="73" t="e">
        <f>SUM(AY32:BB32)</f>
        <v>#REF!</v>
      </c>
    </row>
    <row r="33" spans="2:55" ht="15.75">
      <c r="B33" s="35" t="s">
        <v>134</v>
      </c>
      <c r="C33" s="39" t="e">
        <f>C31-C32</f>
        <v>#REF!</v>
      </c>
      <c r="D33" s="39" t="e">
        <f t="shared" ref="D33:G33" si="263">D31-D32</f>
        <v>#REF!</v>
      </c>
      <c r="E33" s="39" t="e">
        <f t="shared" si="263"/>
        <v>#REF!</v>
      </c>
      <c r="F33" s="39" t="e">
        <f t="shared" si="263"/>
        <v>#REF!</v>
      </c>
      <c r="G33" s="39" t="e">
        <f t="shared" si="263"/>
        <v>#REF!</v>
      </c>
      <c r="H33" s="39"/>
      <c r="I33" s="39" t="e">
        <f>I31-I32</f>
        <v>#REF!</v>
      </c>
      <c r="J33" s="39" t="e">
        <f t="shared" ref="J33" si="264">J31-J32</f>
        <v>#REF!</v>
      </c>
      <c r="K33" s="39" t="e">
        <f t="shared" ref="K33" si="265">K31-K32</f>
        <v>#REF!</v>
      </c>
      <c r="L33" s="39" t="e">
        <f t="shared" ref="L33" si="266">L31-L32</f>
        <v>#REF!</v>
      </c>
      <c r="M33" s="39" t="e">
        <f t="shared" ref="M33" si="267">M31-M32</f>
        <v>#REF!</v>
      </c>
      <c r="N33" s="39"/>
      <c r="O33" s="39" t="e">
        <f>O31-O32</f>
        <v>#REF!</v>
      </c>
      <c r="P33" s="39" t="e">
        <f t="shared" ref="P33" si="268">P31-P32</f>
        <v>#REF!</v>
      </c>
      <c r="Q33" s="39" t="e">
        <f t="shared" ref="Q33" si="269">Q31-Q32</f>
        <v>#REF!</v>
      </c>
      <c r="R33" s="39" t="e">
        <f t="shared" ref="R33" si="270">R31-R32</f>
        <v>#REF!</v>
      </c>
      <c r="S33" s="39" t="e">
        <f t="shared" ref="S33" si="271">S31-S32</f>
        <v>#REF!</v>
      </c>
      <c r="T33" s="39"/>
      <c r="U33" s="39" t="e">
        <f>U31-U32</f>
        <v>#REF!</v>
      </c>
      <c r="V33" s="39" t="e">
        <f t="shared" ref="V33" si="272">V31-V32</f>
        <v>#REF!</v>
      </c>
      <c r="W33" s="39" t="e">
        <f t="shared" ref="W33" si="273">W31-W32</f>
        <v>#REF!</v>
      </c>
      <c r="X33" s="39" t="e">
        <f t="shared" ref="X33" si="274">X31-X32</f>
        <v>#REF!</v>
      </c>
      <c r="Y33" s="39" t="e">
        <f t="shared" ref="Y33" si="275">Y31-Y32</f>
        <v>#REF!</v>
      </c>
      <c r="Z33" s="39"/>
      <c r="AA33" s="39" t="e">
        <f>AA31-AA32</f>
        <v>#REF!</v>
      </c>
      <c r="AB33" s="39" t="e">
        <f t="shared" ref="AB33" si="276">AB31-AB32</f>
        <v>#REF!</v>
      </c>
      <c r="AC33" s="39" t="e">
        <f t="shared" ref="AC33" si="277">AC31-AC32</f>
        <v>#REF!</v>
      </c>
      <c r="AD33" s="39" t="e">
        <f t="shared" ref="AD33" si="278">AD31-AD32</f>
        <v>#REF!</v>
      </c>
      <c r="AE33" s="39" t="e">
        <f t="shared" ref="AE33" si="279">AE31-AE32</f>
        <v>#REF!</v>
      </c>
      <c r="AF33" s="39"/>
      <c r="AG33" s="39" t="e">
        <f>AG31-AG32</f>
        <v>#REF!</v>
      </c>
      <c r="AH33" s="39" t="e">
        <f t="shared" ref="AH33" si="280">AH31-AH32</f>
        <v>#REF!</v>
      </c>
      <c r="AI33" s="39" t="e">
        <f t="shared" ref="AI33" si="281">AI31-AI32</f>
        <v>#REF!</v>
      </c>
      <c r="AJ33" s="39" t="e">
        <f t="shared" ref="AJ33" si="282">AJ31-AJ32</f>
        <v>#REF!</v>
      </c>
      <c r="AK33" s="39" t="e">
        <f t="shared" ref="AK33" si="283">AK31-AK32</f>
        <v>#REF!</v>
      </c>
      <c r="AL33" s="39"/>
      <c r="AM33" s="39" t="e">
        <f>AM31-AM32</f>
        <v>#REF!</v>
      </c>
      <c r="AN33" s="39" t="e">
        <f t="shared" ref="AN33" si="284">AN31-AN32</f>
        <v>#REF!</v>
      </c>
      <c r="AO33" s="39" t="e">
        <f t="shared" ref="AO33" si="285">AO31-AO32</f>
        <v>#REF!</v>
      </c>
      <c r="AP33" s="39" t="e">
        <f t="shared" ref="AP33" si="286">AP31-AP32</f>
        <v>#REF!</v>
      </c>
      <c r="AQ33" s="39" t="e">
        <f t="shared" ref="AQ33" si="287">AQ31-AQ32</f>
        <v>#REF!</v>
      </c>
      <c r="AR33" s="39"/>
      <c r="AS33" s="39" t="e">
        <f>AS31-AS32</f>
        <v>#REF!</v>
      </c>
      <c r="AT33" s="39" t="e">
        <f t="shared" ref="AT33" si="288">AT31-AT32</f>
        <v>#REF!</v>
      </c>
      <c r="AU33" s="39" t="e">
        <f t="shared" ref="AU33" si="289">AU31-AU32</f>
        <v>#REF!</v>
      </c>
      <c r="AV33" s="39" t="e">
        <f t="shared" ref="AV33" si="290">AV31-AV32</f>
        <v>#REF!</v>
      </c>
      <c r="AW33" s="39" t="e">
        <f t="shared" ref="AW33" si="291">AW31-AW32</f>
        <v>#REF!</v>
      </c>
      <c r="AX33" s="39"/>
      <c r="AY33" s="39" t="e">
        <f>AY31-AY32</f>
        <v>#REF!</v>
      </c>
      <c r="AZ33" s="39" t="e">
        <f t="shared" ref="AZ33" si="292">AZ31-AZ32</f>
        <v>#REF!</v>
      </c>
      <c r="BA33" s="39" t="e">
        <f t="shared" ref="BA33" si="293">BA31-BA32</f>
        <v>#REF!</v>
      </c>
      <c r="BB33" s="39" t="e">
        <f t="shared" ref="BB33" si="294">BB31-BB32</f>
        <v>#REF!</v>
      </c>
      <c r="BC33" s="39" t="e">
        <f t="shared" ref="BC33" si="295">BC31-BC32</f>
        <v>#REF!</v>
      </c>
    </row>
    <row r="34" spans="2:55" ht="15.75">
      <c r="B34" s="35" t="s">
        <v>135</v>
      </c>
      <c r="C34" s="39" t="e">
        <f>C28+C33</f>
        <v>#REF!</v>
      </c>
      <c r="D34" s="39" t="e">
        <f t="shared" ref="D34:G34" si="296">D28+D33</f>
        <v>#REF!</v>
      </c>
      <c r="E34" s="39" t="e">
        <f t="shared" si="296"/>
        <v>#REF!</v>
      </c>
      <c r="F34" s="39" t="e">
        <f t="shared" si="296"/>
        <v>#REF!</v>
      </c>
      <c r="G34" s="39" t="e">
        <f t="shared" si="296"/>
        <v>#REF!</v>
      </c>
      <c r="H34" s="39"/>
      <c r="I34" s="39" t="e">
        <f>I28+I33</f>
        <v>#REF!</v>
      </c>
      <c r="J34" s="39" t="e">
        <f t="shared" ref="J34" si="297">J28+J33</f>
        <v>#REF!</v>
      </c>
      <c r="K34" s="39" t="e">
        <f t="shared" ref="K34" si="298">K28+K33</f>
        <v>#REF!</v>
      </c>
      <c r="L34" s="39" t="e">
        <f t="shared" ref="L34" si="299">L28+L33</f>
        <v>#REF!</v>
      </c>
      <c r="M34" s="39" t="e">
        <f t="shared" ref="M34" si="300">M28+M33</f>
        <v>#REF!</v>
      </c>
      <c r="N34" s="39"/>
      <c r="O34" s="39" t="e">
        <f>O28+O33</f>
        <v>#REF!</v>
      </c>
      <c r="P34" s="39" t="e">
        <f t="shared" ref="P34" si="301">P28+P33</f>
        <v>#REF!</v>
      </c>
      <c r="Q34" s="39" t="e">
        <f t="shared" ref="Q34" si="302">Q28+Q33</f>
        <v>#REF!</v>
      </c>
      <c r="R34" s="39" t="e">
        <f t="shared" ref="R34" si="303">R28+R33</f>
        <v>#REF!</v>
      </c>
      <c r="S34" s="39" t="e">
        <f t="shared" ref="S34" si="304">S28+S33</f>
        <v>#REF!</v>
      </c>
      <c r="T34" s="39"/>
      <c r="U34" s="39" t="e">
        <f>U28+U33</f>
        <v>#REF!</v>
      </c>
      <c r="V34" s="39" t="e">
        <f t="shared" ref="V34" si="305">V28+V33</f>
        <v>#REF!</v>
      </c>
      <c r="W34" s="39" t="e">
        <f t="shared" ref="W34" si="306">W28+W33</f>
        <v>#REF!</v>
      </c>
      <c r="X34" s="39" t="e">
        <f t="shared" ref="X34" si="307">X28+X33</f>
        <v>#REF!</v>
      </c>
      <c r="Y34" s="39" t="e">
        <f t="shared" ref="Y34" si="308">Y28+Y33</f>
        <v>#REF!</v>
      </c>
      <c r="Z34" s="39"/>
      <c r="AA34" s="39" t="e">
        <f>AA28+AA33</f>
        <v>#REF!</v>
      </c>
      <c r="AB34" s="39" t="e">
        <f t="shared" ref="AB34" si="309">AB28+AB33</f>
        <v>#REF!</v>
      </c>
      <c r="AC34" s="39" t="e">
        <f t="shared" ref="AC34" si="310">AC28+AC33</f>
        <v>#REF!</v>
      </c>
      <c r="AD34" s="39" t="e">
        <f t="shared" ref="AD34" si="311">AD28+AD33</f>
        <v>#REF!</v>
      </c>
      <c r="AE34" s="39" t="e">
        <f t="shared" ref="AE34" si="312">AE28+AE33</f>
        <v>#REF!</v>
      </c>
      <c r="AF34" s="39"/>
      <c r="AG34" s="39" t="e">
        <f>AG28+AG33</f>
        <v>#REF!</v>
      </c>
      <c r="AH34" s="39" t="e">
        <f t="shared" ref="AH34" si="313">AH28+AH33</f>
        <v>#REF!</v>
      </c>
      <c r="AI34" s="39" t="e">
        <f t="shared" ref="AI34" si="314">AI28+AI33</f>
        <v>#REF!</v>
      </c>
      <c r="AJ34" s="39" t="e">
        <f t="shared" ref="AJ34" si="315">AJ28+AJ33</f>
        <v>#REF!</v>
      </c>
      <c r="AK34" s="39" t="e">
        <f t="shared" ref="AK34" si="316">AK28+AK33</f>
        <v>#REF!</v>
      </c>
      <c r="AL34" s="39"/>
      <c r="AM34" s="39" t="e">
        <f>AM28+AM33</f>
        <v>#REF!</v>
      </c>
      <c r="AN34" s="39" t="e">
        <f t="shared" ref="AN34" si="317">AN28+AN33</f>
        <v>#REF!</v>
      </c>
      <c r="AO34" s="39" t="e">
        <f t="shared" ref="AO34" si="318">AO28+AO33</f>
        <v>#REF!</v>
      </c>
      <c r="AP34" s="39" t="e">
        <f t="shared" ref="AP34" si="319">AP28+AP33</f>
        <v>#REF!</v>
      </c>
      <c r="AQ34" s="39" t="e">
        <f t="shared" ref="AQ34" si="320">AQ28+AQ33</f>
        <v>#REF!</v>
      </c>
      <c r="AR34" s="39"/>
      <c r="AS34" s="39" t="e">
        <f>AS28+AS33</f>
        <v>#REF!</v>
      </c>
      <c r="AT34" s="39" t="e">
        <f t="shared" ref="AT34" si="321">AT28+AT33</f>
        <v>#REF!</v>
      </c>
      <c r="AU34" s="39" t="e">
        <f t="shared" ref="AU34" si="322">AU28+AU33</f>
        <v>#REF!</v>
      </c>
      <c r="AV34" s="39" t="e">
        <f t="shared" ref="AV34" si="323">AV28+AV33</f>
        <v>#REF!</v>
      </c>
      <c r="AW34" s="39" t="e">
        <f t="shared" ref="AW34" si="324">AW28+AW33</f>
        <v>#REF!</v>
      </c>
      <c r="AX34" s="39"/>
      <c r="AY34" s="39" t="e">
        <f>AY28+AY33</f>
        <v>#REF!</v>
      </c>
      <c r="AZ34" s="39" t="e">
        <f t="shared" ref="AZ34" si="325">AZ28+AZ33</f>
        <v>#REF!</v>
      </c>
      <c r="BA34" s="39" t="e">
        <f t="shared" ref="BA34" si="326">BA28+BA33</f>
        <v>#REF!</v>
      </c>
      <c r="BB34" s="39" t="e">
        <f t="shared" ref="BB34" si="327">BB28+BB33</f>
        <v>#REF!</v>
      </c>
      <c r="BC34" s="39" t="e">
        <f t="shared" ref="BC34" si="328">BC28+BC33</f>
        <v>#REF!</v>
      </c>
    </row>
    <row r="35" spans="2:55">
      <c r="B35" s="77"/>
    </row>
    <row r="36" spans="2:55" ht="15.75" collapsed="1">
      <c r="B36" s="72" t="s">
        <v>136</v>
      </c>
      <c r="C36" s="73" t="e">
        <f>#REF!</f>
        <v>#REF!</v>
      </c>
      <c r="D36" s="73" t="e">
        <f>#REF!</f>
        <v>#REF!</v>
      </c>
      <c r="E36" s="73" t="e">
        <f>#REF!</f>
        <v>#REF!</v>
      </c>
      <c r="F36" s="73" t="e">
        <f>#REF!</f>
        <v>#REF!</v>
      </c>
      <c r="G36" s="73" t="e">
        <f>SUM(C36:F36)</f>
        <v>#REF!</v>
      </c>
      <c r="H36" s="73"/>
      <c r="I36" s="73" t="e">
        <f>#REF!</f>
        <v>#REF!</v>
      </c>
      <c r="J36" s="73" t="e">
        <f>#REF!</f>
        <v>#REF!</v>
      </c>
      <c r="K36" s="73" t="e">
        <f>#REF!</f>
        <v>#REF!</v>
      </c>
      <c r="L36" s="73" t="e">
        <f>#REF!</f>
        <v>#REF!</v>
      </c>
      <c r="M36" s="73" t="e">
        <f>SUM(I36:L36)</f>
        <v>#REF!</v>
      </c>
      <c r="N36" s="73"/>
      <c r="O36" s="73" t="e">
        <f>#REF!</f>
        <v>#REF!</v>
      </c>
      <c r="P36" s="73" t="e">
        <f>#REF!</f>
        <v>#REF!</v>
      </c>
      <c r="Q36" s="73" t="e">
        <f>#REF!</f>
        <v>#REF!</v>
      </c>
      <c r="R36" s="73" t="e">
        <f>#REF!</f>
        <v>#REF!</v>
      </c>
      <c r="S36" s="73" t="e">
        <f>SUM(O36:R36)</f>
        <v>#REF!</v>
      </c>
      <c r="T36" s="73"/>
      <c r="U36" s="73" t="e">
        <f>#REF!</f>
        <v>#REF!</v>
      </c>
      <c r="V36" s="73" t="e">
        <f>#REF!</f>
        <v>#REF!</v>
      </c>
      <c r="W36" s="73" t="e">
        <f>#REF!</f>
        <v>#REF!</v>
      </c>
      <c r="X36" s="73" t="e">
        <f>#REF!</f>
        <v>#REF!</v>
      </c>
      <c r="Y36" s="73" t="e">
        <f>SUM(U36:X36)</f>
        <v>#REF!</v>
      </c>
      <c r="Z36" s="73"/>
      <c r="AA36" s="73" t="e">
        <f>#REF!</f>
        <v>#REF!</v>
      </c>
      <c r="AB36" s="73" t="e">
        <f>#REF!</f>
        <v>#REF!</v>
      </c>
      <c r="AC36" s="73" t="e">
        <f>#REF!</f>
        <v>#REF!</v>
      </c>
      <c r="AD36" s="73" t="e">
        <f>#REF!</f>
        <v>#REF!</v>
      </c>
      <c r="AE36" s="73" t="e">
        <f>SUM(AA36:AD36)</f>
        <v>#REF!</v>
      </c>
      <c r="AF36" s="73"/>
      <c r="AG36" s="73" t="e">
        <f>#REF!</f>
        <v>#REF!</v>
      </c>
      <c r="AH36" s="73" t="e">
        <f>#REF!</f>
        <v>#REF!</v>
      </c>
      <c r="AI36" s="73" t="e">
        <f>#REF!</f>
        <v>#REF!</v>
      </c>
      <c r="AJ36" s="73" t="e">
        <f>#REF!</f>
        <v>#REF!</v>
      </c>
      <c r="AK36" s="73" t="e">
        <f>SUM(AG36:AJ36)</f>
        <v>#REF!</v>
      </c>
      <c r="AL36" s="73"/>
      <c r="AM36" s="73" t="e">
        <f>#REF!</f>
        <v>#REF!</v>
      </c>
      <c r="AN36" s="73" t="e">
        <f>#REF!</f>
        <v>#REF!</v>
      </c>
      <c r="AO36" s="73" t="e">
        <f>#REF!</f>
        <v>#REF!</v>
      </c>
      <c r="AP36" s="73" t="e">
        <f>#REF!</f>
        <v>#REF!</v>
      </c>
      <c r="AQ36" s="73" t="e">
        <f>SUM(AM36:AP36)</f>
        <v>#REF!</v>
      </c>
      <c r="AR36" s="73"/>
      <c r="AS36" s="73" t="e">
        <f>#REF!</f>
        <v>#REF!</v>
      </c>
      <c r="AT36" s="73" t="e">
        <f>#REF!</f>
        <v>#REF!</v>
      </c>
      <c r="AU36" s="73" t="e">
        <f>#REF!</f>
        <v>#REF!</v>
      </c>
      <c r="AV36" s="73" t="e">
        <f>#REF!</f>
        <v>#REF!</v>
      </c>
      <c r="AW36" s="73" t="e">
        <f>SUM(AS36:AV36)</f>
        <v>#REF!</v>
      </c>
      <c r="AX36" s="73"/>
      <c r="AY36" s="73" t="e">
        <f>#REF!</f>
        <v>#REF!</v>
      </c>
      <c r="AZ36" s="73" t="e">
        <f>#REF!</f>
        <v>#REF!</v>
      </c>
      <c r="BA36" s="73" t="e">
        <f>#REF!</f>
        <v>#REF!</v>
      </c>
      <c r="BB36" s="73" t="e">
        <f>#REF!</f>
        <v>#REF!</v>
      </c>
      <c r="BC36" s="73" t="e">
        <f>SUM(AY36:BB36)</f>
        <v>#REF!</v>
      </c>
    </row>
    <row r="37" spans="2:55" ht="15.75" collapsed="1">
      <c r="B37" s="72" t="s">
        <v>146</v>
      </c>
      <c r="C37" s="73" t="e">
        <f>#REF!</f>
        <v>#REF!</v>
      </c>
      <c r="D37" s="73" t="e">
        <f>#REF!</f>
        <v>#REF!</v>
      </c>
      <c r="E37" s="73" t="e">
        <f>#REF!</f>
        <v>#REF!</v>
      </c>
      <c r="F37" s="73" t="e">
        <f>#REF!</f>
        <v>#REF!</v>
      </c>
      <c r="G37" s="73" t="e">
        <f>SUM(C37:F37)</f>
        <v>#REF!</v>
      </c>
      <c r="H37" s="73"/>
      <c r="I37" s="73" t="e">
        <f>#REF!</f>
        <v>#REF!</v>
      </c>
      <c r="J37" s="73" t="e">
        <f>#REF!</f>
        <v>#REF!</v>
      </c>
      <c r="K37" s="73" t="e">
        <f>#REF!</f>
        <v>#REF!</v>
      </c>
      <c r="L37" s="73" t="e">
        <f>#REF!</f>
        <v>#REF!</v>
      </c>
      <c r="M37" s="73" t="e">
        <f>SUM(I37:L37)</f>
        <v>#REF!</v>
      </c>
      <c r="N37" s="73"/>
      <c r="O37" s="73" t="e">
        <f>#REF!</f>
        <v>#REF!</v>
      </c>
      <c r="P37" s="73" t="e">
        <f>#REF!</f>
        <v>#REF!</v>
      </c>
      <c r="Q37" s="73" t="e">
        <f>#REF!</f>
        <v>#REF!</v>
      </c>
      <c r="R37" s="73" t="e">
        <f>#REF!</f>
        <v>#REF!</v>
      </c>
      <c r="S37" s="73" t="e">
        <f>SUM(O37:R37)</f>
        <v>#REF!</v>
      </c>
      <c r="T37" s="73"/>
      <c r="U37" s="73" t="e">
        <f>#REF!</f>
        <v>#REF!</v>
      </c>
      <c r="V37" s="73" t="e">
        <f>#REF!</f>
        <v>#REF!</v>
      </c>
      <c r="W37" s="73" t="e">
        <f>#REF!</f>
        <v>#REF!</v>
      </c>
      <c r="X37" s="73" t="e">
        <f>#REF!</f>
        <v>#REF!</v>
      </c>
      <c r="Y37" s="73" t="e">
        <f>SUM(U37:X37)</f>
        <v>#REF!</v>
      </c>
      <c r="Z37" s="73"/>
      <c r="AA37" s="73" t="e">
        <f>#REF!</f>
        <v>#REF!</v>
      </c>
      <c r="AB37" s="73" t="e">
        <f>#REF!</f>
        <v>#REF!</v>
      </c>
      <c r="AC37" s="73" t="e">
        <f>#REF!</f>
        <v>#REF!</v>
      </c>
      <c r="AD37" s="73" t="e">
        <f>#REF!</f>
        <v>#REF!</v>
      </c>
      <c r="AE37" s="73" t="e">
        <f>SUM(AA37:AD37)</f>
        <v>#REF!</v>
      </c>
      <c r="AF37" s="73"/>
      <c r="AG37" s="73" t="e">
        <f>#REF!</f>
        <v>#REF!</v>
      </c>
      <c r="AH37" s="73" t="e">
        <f>#REF!</f>
        <v>#REF!</v>
      </c>
      <c r="AI37" s="73" t="e">
        <f>#REF!</f>
        <v>#REF!</v>
      </c>
      <c r="AJ37" s="73" t="e">
        <f>#REF!</f>
        <v>#REF!</v>
      </c>
      <c r="AK37" s="73" t="e">
        <f>SUM(AG37:AJ37)</f>
        <v>#REF!</v>
      </c>
      <c r="AL37" s="73"/>
      <c r="AM37" s="73" t="e">
        <f>#REF!</f>
        <v>#REF!</v>
      </c>
      <c r="AN37" s="73" t="e">
        <f>#REF!</f>
        <v>#REF!</v>
      </c>
      <c r="AO37" s="73" t="e">
        <f>#REF!</f>
        <v>#REF!</v>
      </c>
      <c r="AP37" s="73" t="e">
        <f>#REF!</f>
        <v>#REF!</v>
      </c>
      <c r="AQ37" s="73" t="e">
        <f>SUM(AM37:AP37)</f>
        <v>#REF!</v>
      </c>
      <c r="AR37" s="73"/>
      <c r="AS37" s="73" t="e">
        <f>#REF!</f>
        <v>#REF!</v>
      </c>
      <c r="AT37" s="73" t="e">
        <f>#REF!</f>
        <v>#REF!</v>
      </c>
      <c r="AU37" s="73" t="e">
        <f>#REF!</f>
        <v>#REF!</v>
      </c>
      <c r="AV37" s="73" t="e">
        <f>#REF!</f>
        <v>#REF!</v>
      </c>
      <c r="AW37" s="73" t="e">
        <f>SUM(AS37:AV37)</f>
        <v>#REF!</v>
      </c>
      <c r="AX37" s="73"/>
      <c r="AY37" s="73" t="e">
        <f>#REF!</f>
        <v>#REF!</v>
      </c>
      <c r="AZ37" s="73" t="e">
        <f>#REF!</f>
        <v>#REF!</v>
      </c>
      <c r="BA37" s="73" t="e">
        <f>#REF!</f>
        <v>#REF!</v>
      </c>
      <c r="BB37" s="73" t="e">
        <f>#REF!</f>
        <v>#REF!</v>
      </c>
      <c r="BC37" s="73" t="e">
        <f>SUM(AY37:BB37)</f>
        <v>#REF!</v>
      </c>
    </row>
    <row r="38" spans="2:55" ht="15.75">
      <c r="B38" s="35" t="s">
        <v>137</v>
      </c>
      <c r="C38" s="39" t="e">
        <f>C36-C37</f>
        <v>#REF!</v>
      </c>
      <c r="D38" s="39" t="e">
        <f t="shared" ref="D38:G38" si="329">D36-D37</f>
        <v>#REF!</v>
      </c>
      <c r="E38" s="39" t="e">
        <f t="shared" si="329"/>
        <v>#REF!</v>
      </c>
      <c r="F38" s="39" t="e">
        <f t="shared" si="329"/>
        <v>#REF!</v>
      </c>
      <c r="G38" s="39" t="e">
        <f t="shared" si="329"/>
        <v>#REF!</v>
      </c>
      <c r="H38" s="39"/>
      <c r="I38" s="39" t="e">
        <f>I36-I37</f>
        <v>#REF!</v>
      </c>
      <c r="J38" s="39" t="e">
        <f t="shared" ref="J38" si="330">J36-J37</f>
        <v>#REF!</v>
      </c>
      <c r="K38" s="39" t="e">
        <f t="shared" ref="K38" si="331">K36-K37</f>
        <v>#REF!</v>
      </c>
      <c r="L38" s="39" t="e">
        <f t="shared" ref="L38" si="332">L36-L37</f>
        <v>#REF!</v>
      </c>
      <c r="M38" s="39" t="e">
        <f t="shared" ref="M38" si="333">M36-M37</f>
        <v>#REF!</v>
      </c>
      <c r="N38" s="39"/>
      <c r="O38" s="39" t="e">
        <f>O36-O37</f>
        <v>#REF!</v>
      </c>
      <c r="P38" s="39" t="e">
        <f t="shared" ref="P38" si="334">P36-P37</f>
        <v>#REF!</v>
      </c>
      <c r="Q38" s="39" t="e">
        <f t="shared" ref="Q38" si="335">Q36-Q37</f>
        <v>#REF!</v>
      </c>
      <c r="R38" s="39" t="e">
        <f t="shared" ref="R38" si="336">R36-R37</f>
        <v>#REF!</v>
      </c>
      <c r="S38" s="39" t="e">
        <f t="shared" ref="S38" si="337">S36-S37</f>
        <v>#REF!</v>
      </c>
      <c r="T38" s="39"/>
      <c r="U38" s="39" t="e">
        <f>U36-U37</f>
        <v>#REF!</v>
      </c>
      <c r="V38" s="39" t="e">
        <f t="shared" ref="V38" si="338">V36-V37</f>
        <v>#REF!</v>
      </c>
      <c r="W38" s="39" t="e">
        <f t="shared" ref="W38" si="339">W36-W37</f>
        <v>#REF!</v>
      </c>
      <c r="X38" s="39" t="e">
        <f t="shared" ref="X38" si="340">X36-X37</f>
        <v>#REF!</v>
      </c>
      <c r="Y38" s="39" t="e">
        <f t="shared" ref="Y38" si="341">Y36-Y37</f>
        <v>#REF!</v>
      </c>
      <c r="Z38" s="39"/>
      <c r="AA38" s="39" t="e">
        <f>AA36-AA37</f>
        <v>#REF!</v>
      </c>
      <c r="AB38" s="39" t="e">
        <f t="shared" ref="AB38" si="342">AB36-AB37</f>
        <v>#REF!</v>
      </c>
      <c r="AC38" s="39" t="e">
        <f t="shared" ref="AC38" si="343">AC36-AC37</f>
        <v>#REF!</v>
      </c>
      <c r="AD38" s="39" t="e">
        <f t="shared" ref="AD38" si="344">AD36-AD37</f>
        <v>#REF!</v>
      </c>
      <c r="AE38" s="39" t="e">
        <f t="shared" ref="AE38" si="345">AE36-AE37</f>
        <v>#REF!</v>
      </c>
      <c r="AF38" s="39"/>
      <c r="AG38" s="39" t="e">
        <f>AG36-AG37</f>
        <v>#REF!</v>
      </c>
      <c r="AH38" s="39" t="e">
        <f t="shared" ref="AH38" si="346">AH36-AH37</f>
        <v>#REF!</v>
      </c>
      <c r="AI38" s="39" t="e">
        <f t="shared" ref="AI38" si="347">AI36-AI37</f>
        <v>#REF!</v>
      </c>
      <c r="AJ38" s="39" t="e">
        <f t="shared" ref="AJ38" si="348">AJ36-AJ37</f>
        <v>#REF!</v>
      </c>
      <c r="AK38" s="39" t="e">
        <f t="shared" ref="AK38" si="349">AK36-AK37</f>
        <v>#REF!</v>
      </c>
      <c r="AL38" s="39"/>
      <c r="AM38" s="39" t="e">
        <f>AM36-AM37</f>
        <v>#REF!</v>
      </c>
      <c r="AN38" s="39" t="e">
        <f t="shared" ref="AN38" si="350">AN36-AN37</f>
        <v>#REF!</v>
      </c>
      <c r="AO38" s="39" t="e">
        <f t="shared" ref="AO38" si="351">AO36-AO37</f>
        <v>#REF!</v>
      </c>
      <c r="AP38" s="39" t="e">
        <f t="shared" ref="AP38" si="352">AP36-AP37</f>
        <v>#REF!</v>
      </c>
      <c r="AQ38" s="39" t="e">
        <f t="shared" ref="AQ38" si="353">AQ36-AQ37</f>
        <v>#REF!</v>
      </c>
      <c r="AR38" s="39"/>
      <c r="AS38" s="39" t="e">
        <f>AS36-AS37</f>
        <v>#REF!</v>
      </c>
      <c r="AT38" s="39" t="e">
        <f t="shared" ref="AT38" si="354">AT36-AT37</f>
        <v>#REF!</v>
      </c>
      <c r="AU38" s="39" t="e">
        <f t="shared" ref="AU38" si="355">AU36-AU37</f>
        <v>#REF!</v>
      </c>
      <c r="AV38" s="39" t="e">
        <f t="shared" ref="AV38" si="356">AV36-AV37</f>
        <v>#REF!</v>
      </c>
      <c r="AW38" s="39" t="e">
        <f t="shared" ref="AW38" si="357">AW36-AW37</f>
        <v>#REF!</v>
      </c>
      <c r="AX38" s="39"/>
      <c r="AY38" s="39" t="e">
        <f>AY36-AY37</f>
        <v>#REF!</v>
      </c>
      <c r="AZ38" s="39" t="e">
        <f t="shared" ref="AZ38" si="358">AZ36-AZ37</f>
        <v>#REF!</v>
      </c>
      <c r="BA38" s="39" t="e">
        <f t="shared" ref="BA38" si="359">BA36-BA37</f>
        <v>#REF!</v>
      </c>
      <c r="BB38" s="39" t="e">
        <f t="shared" ref="BB38" si="360">BB36-BB37</f>
        <v>#REF!</v>
      </c>
      <c r="BC38" s="39" t="e">
        <f t="shared" ref="BC38" si="361">BC36-BC37</f>
        <v>#REF!</v>
      </c>
    </row>
    <row r="39" spans="2:55" ht="15.75">
      <c r="B39" s="35" t="s">
        <v>138</v>
      </c>
      <c r="C39" s="39" t="e">
        <f>C34+C38</f>
        <v>#REF!</v>
      </c>
      <c r="D39" s="39" t="e">
        <f t="shared" ref="D39:G39" si="362">D34+D38</f>
        <v>#REF!</v>
      </c>
      <c r="E39" s="39" t="e">
        <f t="shared" si="362"/>
        <v>#REF!</v>
      </c>
      <c r="F39" s="39" t="e">
        <f t="shared" si="362"/>
        <v>#REF!</v>
      </c>
      <c r="G39" s="39" t="e">
        <f t="shared" si="362"/>
        <v>#REF!</v>
      </c>
      <c r="H39" s="39"/>
      <c r="I39" s="39" t="e">
        <f>I34+I38</f>
        <v>#REF!</v>
      </c>
      <c r="J39" s="39" t="e">
        <f t="shared" ref="J39" si="363">J34+J38</f>
        <v>#REF!</v>
      </c>
      <c r="K39" s="39" t="e">
        <f t="shared" ref="K39" si="364">K34+K38</f>
        <v>#REF!</v>
      </c>
      <c r="L39" s="39" t="e">
        <f t="shared" ref="L39" si="365">L34+L38</f>
        <v>#REF!</v>
      </c>
      <c r="M39" s="39" t="e">
        <f t="shared" ref="M39" si="366">M34+M38</f>
        <v>#REF!</v>
      </c>
      <c r="N39" s="39"/>
      <c r="O39" s="39" t="e">
        <f>O34+O38</f>
        <v>#REF!</v>
      </c>
      <c r="P39" s="39" t="e">
        <f t="shared" ref="P39" si="367">P34+P38</f>
        <v>#REF!</v>
      </c>
      <c r="Q39" s="39" t="e">
        <f t="shared" ref="Q39" si="368">Q34+Q38</f>
        <v>#REF!</v>
      </c>
      <c r="R39" s="39" t="e">
        <f t="shared" ref="R39" si="369">R34+R38</f>
        <v>#REF!</v>
      </c>
      <c r="S39" s="39" t="e">
        <f t="shared" ref="S39" si="370">S34+S38</f>
        <v>#REF!</v>
      </c>
      <c r="T39" s="39"/>
      <c r="U39" s="39" t="e">
        <f>U34+U38</f>
        <v>#REF!</v>
      </c>
      <c r="V39" s="39" t="e">
        <f t="shared" ref="V39" si="371">V34+V38</f>
        <v>#REF!</v>
      </c>
      <c r="W39" s="39" t="e">
        <f t="shared" ref="W39" si="372">W34+W38</f>
        <v>#REF!</v>
      </c>
      <c r="X39" s="39" t="e">
        <f t="shared" ref="X39" si="373">X34+X38</f>
        <v>#REF!</v>
      </c>
      <c r="Y39" s="39" t="e">
        <f t="shared" ref="Y39" si="374">Y34+Y38</f>
        <v>#REF!</v>
      </c>
      <c r="Z39" s="39"/>
      <c r="AA39" s="39" t="e">
        <f>AA34+AA38</f>
        <v>#REF!</v>
      </c>
      <c r="AB39" s="39" t="e">
        <f t="shared" ref="AB39" si="375">AB34+AB38</f>
        <v>#REF!</v>
      </c>
      <c r="AC39" s="39" t="e">
        <f t="shared" ref="AC39" si="376">AC34+AC38</f>
        <v>#REF!</v>
      </c>
      <c r="AD39" s="39" t="e">
        <f t="shared" ref="AD39" si="377">AD34+AD38</f>
        <v>#REF!</v>
      </c>
      <c r="AE39" s="39" t="e">
        <f t="shared" ref="AE39" si="378">AE34+AE38</f>
        <v>#REF!</v>
      </c>
      <c r="AF39" s="39"/>
      <c r="AG39" s="39" t="e">
        <f>AG34+AG38</f>
        <v>#REF!</v>
      </c>
      <c r="AH39" s="39" t="e">
        <f t="shared" ref="AH39" si="379">AH34+AH38</f>
        <v>#REF!</v>
      </c>
      <c r="AI39" s="39" t="e">
        <f t="shared" ref="AI39" si="380">AI34+AI38</f>
        <v>#REF!</v>
      </c>
      <c r="AJ39" s="39" t="e">
        <f t="shared" ref="AJ39" si="381">AJ34+AJ38</f>
        <v>#REF!</v>
      </c>
      <c r="AK39" s="39" t="e">
        <f t="shared" ref="AK39" si="382">AK34+AK38</f>
        <v>#REF!</v>
      </c>
      <c r="AL39" s="39"/>
      <c r="AM39" s="39" t="e">
        <f>AM34+AM38</f>
        <v>#REF!</v>
      </c>
      <c r="AN39" s="39" t="e">
        <f t="shared" ref="AN39" si="383">AN34+AN38</f>
        <v>#REF!</v>
      </c>
      <c r="AO39" s="39" t="e">
        <f t="shared" ref="AO39" si="384">AO34+AO38</f>
        <v>#REF!</v>
      </c>
      <c r="AP39" s="39" t="e">
        <f t="shared" ref="AP39" si="385">AP34+AP38</f>
        <v>#REF!</v>
      </c>
      <c r="AQ39" s="39" t="e">
        <f t="shared" ref="AQ39" si="386">AQ34+AQ38</f>
        <v>#REF!</v>
      </c>
      <c r="AR39" s="39"/>
      <c r="AS39" s="39" t="e">
        <f>AS34+AS38</f>
        <v>#REF!</v>
      </c>
      <c r="AT39" s="39" t="e">
        <f t="shared" ref="AT39" si="387">AT34+AT38</f>
        <v>#REF!</v>
      </c>
      <c r="AU39" s="39" t="e">
        <f t="shared" ref="AU39" si="388">AU34+AU38</f>
        <v>#REF!</v>
      </c>
      <c r="AV39" s="39" t="e">
        <f t="shared" ref="AV39" si="389">AV34+AV38</f>
        <v>#REF!</v>
      </c>
      <c r="AW39" s="39" t="e">
        <f t="shared" ref="AW39" si="390">AW34+AW38</f>
        <v>#REF!</v>
      </c>
      <c r="AX39" s="39"/>
      <c r="AY39" s="39" t="e">
        <f>AY34+AY38</f>
        <v>#REF!</v>
      </c>
      <c r="AZ39" s="39" t="e">
        <f t="shared" ref="AZ39" si="391">AZ34+AZ38</f>
        <v>#REF!</v>
      </c>
      <c r="BA39" s="39" t="e">
        <f t="shared" ref="BA39" si="392">BA34+BA38</f>
        <v>#REF!</v>
      </c>
      <c r="BB39" s="39" t="e">
        <f t="shared" ref="BB39" si="393">BB34+BB38</f>
        <v>#REF!</v>
      </c>
      <c r="BC39" s="39" t="e">
        <f t="shared" ref="BC39" si="394">BC34+BC38</f>
        <v>#REF!</v>
      </c>
    </row>
    <row r="40" spans="2:55">
      <c r="B40" s="74"/>
    </row>
    <row r="41" spans="2:55" ht="15.75" collapsed="1">
      <c r="B41" s="72" t="s">
        <v>139</v>
      </c>
      <c r="C41" s="73" t="e">
        <f>#REF!</f>
        <v>#REF!</v>
      </c>
      <c r="D41" s="73"/>
      <c r="E41" s="73" t="e">
        <f>#REF!</f>
        <v>#REF!</v>
      </c>
      <c r="F41" s="73" t="e">
        <f>#REF!</f>
        <v>#REF!</v>
      </c>
      <c r="G41" s="73" t="e">
        <f>SUM(C41:F41)</f>
        <v>#REF!</v>
      </c>
      <c r="H41" s="73"/>
      <c r="I41" s="73" t="e">
        <f>#REF!</f>
        <v>#REF!</v>
      </c>
      <c r="J41" s="73" t="e">
        <f>#REF!</f>
        <v>#REF!</v>
      </c>
      <c r="K41" s="73" t="e">
        <f>#REF!</f>
        <v>#REF!</v>
      </c>
      <c r="L41" s="73" t="e">
        <f>#REF!</f>
        <v>#REF!</v>
      </c>
      <c r="M41" s="73" t="e">
        <f>SUM(I41:L41)</f>
        <v>#REF!</v>
      </c>
      <c r="N41" s="73"/>
      <c r="O41" s="73" t="e">
        <f>#REF!</f>
        <v>#REF!</v>
      </c>
      <c r="P41" s="73" t="e">
        <f>#REF!</f>
        <v>#REF!</v>
      </c>
      <c r="Q41" s="73" t="e">
        <f>#REF!</f>
        <v>#REF!</v>
      </c>
      <c r="R41" s="73" t="e">
        <f>#REF!</f>
        <v>#REF!</v>
      </c>
      <c r="S41" s="73" t="e">
        <f>SUM(O41:R41)</f>
        <v>#REF!</v>
      </c>
      <c r="T41" s="73"/>
      <c r="U41" s="73" t="e">
        <f>#REF!</f>
        <v>#REF!</v>
      </c>
      <c r="V41" s="73" t="e">
        <f>#REF!</f>
        <v>#REF!</v>
      </c>
      <c r="W41" s="73" t="e">
        <f>#REF!</f>
        <v>#REF!</v>
      </c>
      <c r="X41" s="73" t="e">
        <f>#REF!</f>
        <v>#REF!</v>
      </c>
      <c r="Y41" s="73" t="e">
        <f>SUM(U41:X41)</f>
        <v>#REF!</v>
      </c>
      <c r="Z41" s="73"/>
      <c r="AA41" s="73" t="e">
        <f>#REF!</f>
        <v>#REF!</v>
      </c>
      <c r="AB41" s="73" t="e">
        <f>#REF!</f>
        <v>#REF!</v>
      </c>
      <c r="AC41" s="73" t="e">
        <f>#REF!</f>
        <v>#REF!</v>
      </c>
      <c r="AD41" s="73" t="e">
        <f>#REF!</f>
        <v>#REF!</v>
      </c>
      <c r="AE41" s="73" t="e">
        <f>SUM(AA41:AD41)</f>
        <v>#REF!</v>
      </c>
      <c r="AF41" s="73"/>
      <c r="AG41" s="73" t="e">
        <f>#REF!</f>
        <v>#REF!</v>
      </c>
      <c r="AH41" s="73" t="e">
        <f>#REF!</f>
        <v>#REF!</v>
      </c>
      <c r="AI41" s="73" t="e">
        <f>#REF!</f>
        <v>#REF!</v>
      </c>
      <c r="AJ41" s="73" t="e">
        <f>#REF!</f>
        <v>#REF!</v>
      </c>
      <c r="AK41" s="73" t="e">
        <f>SUM(AG41:AJ41)</f>
        <v>#REF!</v>
      </c>
      <c r="AL41" s="73"/>
      <c r="AM41" s="73" t="e">
        <f>#REF!</f>
        <v>#REF!</v>
      </c>
      <c r="AN41" s="73" t="e">
        <f>#REF!</f>
        <v>#REF!</v>
      </c>
      <c r="AO41" s="73" t="e">
        <f>#REF!</f>
        <v>#REF!</v>
      </c>
      <c r="AP41" s="73" t="e">
        <f>#REF!</f>
        <v>#REF!</v>
      </c>
      <c r="AQ41" s="73" t="e">
        <f>SUM(AM41:AP41)</f>
        <v>#REF!</v>
      </c>
      <c r="AR41" s="73"/>
      <c r="AS41" s="73" t="e">
        <f>#REF!</f>
        <v>#REF!</v>
      </c>
      <c r="AT41" s="73" t="e">
        <f>#REF!</f>
        <v>#REF!</v>
      </c>
      <c r="AU41" s="73" t="e">
        <f>#REF!</f>
        <v>#REF!</v>
      </c>
      <c r="AV41" s="73" t="e">
        <f>#REF!</f>
        <v>#REF!</v>
      </c>
      <c r="AW41" s="73" t="e">
        <f>SUM(AS41:AV41)</f>
        <v>#REF!</v>
      </c>
      <c r="AX41" s="73"/>
      <c r="AY41" s="73" t="e">
        <f>#REF!</f>
        <v>#REF!</v>
      </c>
      <c r="AZ41" s="73" t="e">
        <f>#REF!</f>
        <v>#REF!</v>
      </c>
      <c r="BA41" s="73" t="e">
        <f>#REF!</f>
        <v>#REF!</v>
      </c>
      <c r="BB41" s="73" t="e">
        <f>#REF!</f>
        <v>#REF!</v>
      </c>
      <c r="BC41" s="73" t="e">
        <f>SUM(AY41:BB41)</f>
        <v>#REF!</v>
      </c>
    </row>
    <row r="42" spans="2:55" ht="15.75">
      <c r="B42" s="35" t="s">
        <v>140</v>
      </c>
      <c r="C42" s="39" t="e">
        <f>C39-C41</f>
        <v>#REF!</v>
      </c>
      <c r="D42" s="39" t="e">
        <f t="shared" ref="D42:G42" si="395">D39-D41</f>
        <v>#REF!</v>
      </c>
      <c r="E42" s="39" t="e">
        <f t="shared" si="395"/>
        <v>#REF!</v>
      </c>
      <c r="F42" s="39" t="e">
        <f t="shared" si="395"/>
        <v>#REF!</v>
      </c>
      <c r="G42" s="39" t="e">
        <f t="shared" si="395"/>
        <v>#REF!</v>
      </c>
      <c r="H42" s="39"/>
      <c r="I42" s="39" t="e">
        <f>I39-I41</f>
        <v>#REF!</v>
      </c>
      <c r="J42" s="39" t="e">
        <f t="shared" ref="J42" si="396">J39-J41</f>
        <v>#REF!</v>
      </c>
      <c r="K42" s="39" t="e">
        <f t="shared" ref="K42" si="397">K39-K41</f>
        <v>#REF!</v>
      </c>
      <c r="L42" s="39" t="e">
        <f t="shared" ref="L42" si="398">L39-L41</f>
        <v>#REF!</v>
      </c>
      <c r="M42" s="39" t="e">
        <f t="shared" ref="M42" si="399">M39-M41</f>
        <v>#REF!</v>
      </c>
      <c r="N42" s="39"/>
      <c r="O42" s="39" t="e">
        <f>O39-O41</f>
        <v>#REF!</v>
      </c>
      <c r="P42" s="39" t="e">
        <f t="shared" ref="P42" si="400">P39-P41</f>
        <v>#REF!</v>
      </c>
      <c r="Q42" s="39" t="e">
        <f t="shared" ref="Q42" si="401">Q39-Q41</f>
        <v>#REF!</v>
      </c>
      <c r="R42" s="39" t="e">
        <f t="shared" ref="R42" si="402">R39-R41</f>
        <v>#REF!</v>
      </c>
      <c r="S42" s="39" t="e">
        <f t="shared" ref="S42" si="403">S39-S41</f>
        <v>#REF!</v>
      </c>
      <c r="T42" s="39"/>
      <c r="U42" s="39" t="e">
        <f>U39-U41</f>
        <v>#REF!</v>
      </c>
      <c r="V42" s="39" t="e">
        <f t="shared" ref="V42" si="404">V39-V41</f>
        <v>#REF!</v>
      </c>
      <c r="W42" s="39" t="e">
        <f t="shared" ref="W42" si="405">W39-W41</f>
        <v>#REF!</v>
      </c>
      <c r="X42" s="39" t="e">
        <f t="shared" ref="X42" si="406">X39-X41</f>
        <v>#REF!</v>
      </c>
      <c r="Y42" s="39" t="e">
        <f t="shared" ref="Y42" si="407">Y39-Y41</f>
        <v>#REF!</v>
      </c>
      <c r="Z42" s="39"/>
      <c r="AA42" s="39" t="e">
        <f>AA39-AA41</f>
        <v>#REF!</v>
      </c>
      <c r="AB42" s="39" t="e">
        <f t="shared" ref="AB42" si="408">AB39-AB41</f>
        <v>#REF!</v>
      </c>
      <c r="AC42" s="39" t="e">
        <f t="shared" ref="AC42" si="409">AC39-AC41</f>
        <v>#REF!</v>
      </c>
      <c r="AD42" s="39" t="e">
        <f t="shared" ref="AD42" si="410">AD39-AD41</f>
        <v>#REF!</v>
      </c>
      <c r="AE42" s="39" t="e">
        <f t="shared" ref="AE42" si="411">AE39-AE41</f>
        <v>#REF!</v>
      </c>
      <c r="AF42" s="39"/>
      <c r="AG42" s="39" t="e">
        <f>AG39-AG41</f>
        <v>#REF!</v>
      </c>
      <c r="AH42" s="39" t="e">
        <f t="shared" ref="AH42" si="412">AH39-AH41</f>
        <v>#REF!</v>
      </c>
      <c r="AI42" s="39" t="e">
        <f t="shared" ref="AI42" si="413">AI39-AI41</f>
        <v>#REF!</v>
      </c>
      <c r="AJ42" s="39" t="e">
        <f t="shared" ref="AJ42" si="414">AJ39-AJ41</f>
        <v>#REF!</v>
      </c>
      <c r="AK42" s="39" t="e">
        <f t="shared" ref="AK42" si="415">AK39-AK41</f>
        <v>#REF!</v>
      </c>
      <c r="AL42" s="39"/>
      <c r="AM42" s="39" t="e">
        <f>AM39-AM41</f>
        <v>#REF!</v>
      </c>
      <c r="AN42" s="39" t="e">
        <f t="shared" ref="AN42" si="416">AN39-AN41</f>
        <v>#REF!</v>
      </c>
      <c r="AO42" s="39" t="e">
        <f t="shared" ref="AO42" si="417">AO39-AO41</f>
        <v>#REF!</v>
      </c>
      <c r="AP42" s="39" t="e">
        <f t="shared" ref="AP42" si="418">AP39-AP41</f>
        <v>#REF!</v>
      </c>
      <c r="AQ42" s="39" t="e">
        <f t="shared" ref="AQ42" si="419">AQ39-AQ41</f>
        <v>#REF!</v>
      </c>
      <c r="AR42" s="39"/>
      <c r="AS42" s="39" t="e">
        <f>AS39-AS41</f>
        <v>#REF!</v>
      </c>
      <c r="AT42" s="39" t="e">
        <f t="shared" ref="AT42" si="420">AT39-AT41</f>
        <v>#REF!</v>
      </c>
      <c r="AU42" s="39" t="e">
        <f t="shared" ref="AU42" si="421">AU39-AU41</f>
        <v>#REF!</v>
      </c>
      <c r="AV42" s="39" t="e">
        <f t="shared" ref="AV42" si="422">AV39-AV41</f>
        <v>#REF!</v>
      </c>
      <c r="AW42" s="39" t="e">
        <f t="shared" ref="AW42" si="423">AW39-AW41</f>
        <v>#REF!</v>
      </c>
      <c r="AX42" s="39"/>
      <c r="AY42" s="39" t="e">
        <f>AY39-AY41</f>
        <v>#REF!</v>
      </c>
      <c r="AZ42" s="39" t="e">
        <f t="shared" ref="AZ42" si="424">AZ39-AZ41</f>
        <v>#REF!</v>
      </c>
      <c r="BA42" s="39" t="e">
        <f t="shared" ref="BA42" si="425">BA39-BA41</f>
        <v>#REF!</v>
      </c>
      <c r="BB42" s="39" t="e">
        <f t="shared" ref="BB42" si="426">BB39-BB41</f>
        <v>#REF!</v>
      </c>
      <c r="BC42" s="39" t="e">
        <f t="shared" ref="BC42" si="427">BC39-BC41</f>
        <v>#REF!</v>
      </c>
    </row>
    <row r="43" spans="2:55" s="71" customFormat="1" ht="15.75">
      <c r="B43" s="35" t="s">
        <v>141</v>
      </c>
      <c r="C43" s="76" t="e">
        <f>C42/C13</f>
        <v>#REF!</v>
      </c>
      <c r="D43" s="76" t="e">
        <f t="shared" ref="D43:G43" si="428">D42/D13</f>
        <v>#REF!</v>
      </c>
      <c r="E43" s="76" t="e">
        <f t="shared" si="428"/>
        <v>#REF!</v>
      </c>
      <c r="F43" s="76" t="e">
        <f t="shared" si="428"/>
        <v>#REF!</v>
      </c>
      <c r="G43" s="76" t="e">
        <f t="shared" si="428"/>
        <v>#REF!</v>
      </c>
      <c r="H43" s="76"/>
      <c r="I43" s="76" t="e">
        <f>I42/I13</f>
        <v>#REF!</v>
      </c>
      <c r="J43" s="76" t="e">
        <f t="shared" ref="J43" si="429">J42/J13</f>
        <v>#REF!</v>
      </c>
      <c r="K43" s="76" t="e">
        <f t="shared" ref="K43" si="430">K42/K13</f>
        <v>#REF!</v>
      </c>
      <c r="L43" s="76" t="e">
        <f t="shared" ref="L43" si="431">L42/L13</f>
        <v>#REF!</v>
      </c>
      <c r="M43" s="76" t="e">
        <f t="shared" ref="M43" si="432">M42/M13</f>
        <v>#REF!</v>
      </c>
      <c r="N43" s="76"/>
      <c r="O43" s="76" t="e">
        <f>O42/O13</f>
        <v>#REF!</v>
      </c>
      <c r="P43" s="76" t="e">
        <f t="shared" ref="P43" si="433">P42/P13</f>
        <v>#REF!</v>
      </c>
      <c r="Q43" s="76" t="e">
        <f t="shared" ref="Q43" si="434">Q42/Q13</f>
        <v>#REF!</v>
      </c>
      <c r="R43" s="76" t="e">
        <f t="shared" ref="R43" si="435">R42/R13</f>
        <v>#REF!</v>
      </c>
      <c r="S43" s="76" t="e">
        <f t="shared" ref="S43" si="436">S42/S13</f>
        <v>#REF!</v>
      </c>
      <c r="T43" s="76"/>
      <c r="U43" s="76" t="e">
        <f>U42/U13</f>
        <v>#REF!</v>
      </c>
      <c r="V43" s="76" t="e">
        <f t="shared" ref="V43" si="437">V42/V13</f>
        <v>#REF!</v>
      </c>
      <c r="W43" s="76" t="e">
        <f t="shared" ref="W43" si="438">W42/W13</f>
        <v>#REF!</v>
      </c>
      <c r="X43" s="76" t="e">
        <f t="shared" ref="X43" si="439">X42/X13</f>
        <v>#REF!</v>
      </c>
      <c r="Y43" s="76" t="e">
        <f t="shared" ref="Y43" si="440">Y42/Y13</f>
        <v>#REF!</v>
      </c>
      <c r="Z43" s="76"/>
      <c r="AA43" s="76" t="e">
        <f>AA42/AA13</f>
        <v>#REF!</v>
      </c>
      <c r="AB43" s="76" t="e">
        <f t="shared" ref="AB43" si="441">AB42/AB13</f>
        <v>#REF!</v>
      </c>
      <c r="AC43" s="76" t="e">
        <f t="shared" ref="AC43" si="442">AC42/AC13</f>
        <v>#REF!</v>
      </c>
      <c r="AD43" s="76" t="e">
        <f t="shared" ref="AD43" si="443">AD42/AD13</f>
        <v>#REF!</v>
      </c>
      <c r="AE43" s="76" t="e">
        <f t="shared" ref="AE43" si="444">AE42/AE13</f>
        <v>#REF!</v>
      </c>
      <c r="AF43" s="76"/>
      <c r="AG43" s="76" t="e">
        <f>AG42/AG13</f>
        <v>#REF!</v>
      </c>
      <c r="AH43" s="76" t="e">
        <f t="shared" ref="AH43" si="445">AH42/AH13</f>
        <v>#REF!</v>
      </c>
      <c r="AI43" s="76" t="e">
        <f t="shared" ref="AI43" si="446">AI42/AI13</f>
        <v>#REF!</v>
      </c>
      <c r="AJ43" s="76" t="e">
        <f t="shared" ref="AJ43" si="447">AJ42/AJ13</f>
        <v>#REF!</v>
      </c>
      <c r="AK43" s="76" t="e">
        <f t="shared" ref="AK43" si="448">AK42/AK13</f>
        <v>#REF!</v>
      </c>
      <c r="AL43" s="76"/>
      <c r="AM43" s="76" t="e">
        <f>AM42/AM13</f>
        <v>#REF!</v>
      </c>
      <c r="AN43" s="76" t="e">
        <f t="shared" ref="AN43" si="449">AN42/AN13</f>
        <v>#REF!</v>
      </c>
      <c r="AO43" s="76" t="e">
        <f t="shared" ref="AO43" si="450">AO42/AO13</f>
        <v>#REF!</v>
      </c>
      <c r="AP43" s="76" t="e">
        <f t="shared" ref="AP43" si="451">AP42/AP13</f>
        <v>#REF!</v>
      </c>
      <c r="AQ43" s="76" t="e">
        <f t="shared" ref="AQ43" si="452">AQ42/AQ13</f>
        <v>#REF!</v>
      </c>
      <c r="AR43" s="76"/>
      <c r="AS43" s="76" t="e">
        <f>AS42/AS13</f>
        <v>#REF!</v>
      </c>
      <c r="AT43" s="76" t="e">
        <f t="shared" ref="AT43" si="453">AT42/AT13</f>
        <v>#REF!</v>
      </c>
      <c r="AU43" s="76" t="e">
        <f t="shared" ref="AU43" si="454">AU42/AU13</f>
        <v>#REF!</v>
      </c>
      <c r="AV43" s="76" t="e">
        <f t="shared" ref="AV43" si="455">AV42/AV13</f>
        <v>#REF!</v>
      </c>
      <c r="AW43" s="76" t="e">
        <f t="shared" ref="AW43" si="456">AW42/AW13</f>
        <v>#REF!</v>
      </c>
      <c r="AX43" s="76"/>
      <c r="AY43" s="76" t="e">
        <f>AY42/AY13</f>
        <v>#REF!</v>
      </c>
      <c r="AZ43" s="76" t="e">
        <f t="shared" ref="AZ43" si="457">AZ42/AZ13</f>
        <v>#REF!</v>
      </c>
      <c r="BA43" s="76" t="e">
        <f t="shared" ref="BA43" si="458">BA42/BA13</f>
        <v>#REF!</v>
      </c>
      <c r="BB43" s="76" t="e">
        <f t="shared" ref="BB43" si="459">BB42/BB13</f>
        <v>#REF!</v>
      </c>
      <c r="BC43" s="76" t="e">
        <f t="shared" ref="BC43" si="460">BC42/BC13</f>
        <v>#REF!</v>
      </c>
    </row>
  </sheetData>
  <mergeCells count="1">
    <mergeCell ref="B3:B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2512A-A935-CA4A-9EB0-1B376AB32B24}">
  <sheetPr codeName="Feuil20">
    <tabColor rgb="FFFFC000"/>
  </sheetPr>
  <dimension ref="A1"/>
  <sheetViews>
    <sheetView workbookViewId="0">
      <selection activeCell="S33" sqref="S33"/>
    </sheetView>
  </sheetViews>
  <sheetFormatPr baseColWidth="10" defaultColWidth="10.7109375" defaultRowHeight="15"/>
  <cols>
    <col min="1" max="16384" width="10.7109375" style="78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e9d8a36-9180-4fb7-bbde-d8aa767e0f4a" xsi:nil="true"/>
    <lcf76f155ced4ddcb4097134ff3c332f xmlns="36ef33f2-a83f-4f8a-abd9-ec0f495c644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866D745364A3459B1FA23815938F57" ma:contentTypeVersion="16" ma:contentTypeDescription="Crée un document." ma:contentTypeScope="" ma:versionID="8fb46c2b713eadd525e1323c8a758b43">
  <xsd:schema xmlns:xsd="http://www.w3.org/2001/XMLSchema" xmlns:xs="http://www.w3.org/2001/XMLSchema" xmlns:p="http://schemas.microsoft.com/office/2006/metadata/properties" xmlns:ns2="36ef33f2-a83f-4f8a-abd9-ec0f495c644c" xmlns:ns3="ee9d8a36-9180-4fb7-bbde-d8aa767e0f4a" targetNamespace="http://schemas.microsoft.com/office/2006/metadata/properties" ma:root="true" ma:fieldsID="64fb11102271e3e8bca0620a6066ffad" ns2:_="" ns3:_="">
    <xsd:import namespace="36ef33f2-a83f-4f8a-abd9-ec0f495c644c"/>
    <xsd:import namespace="ee9d8a36-9180-4fb7-bbde-d8aa767e0f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ef33f2-a83f-4f8a-abd9-ec0f495c64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1c71e21f-eba7-413e-b184-7645205d18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9d8a36-9180-4fb7-bbde-d8aa767e0f4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f25db88-a0e8-4179-80e2-778c51340c6a}" ma:internalName="TaxCatchAll" ma:showField="CatchAllData" ma:web="ee9d8a36-9180-4fb7-bbde-d8aa767e0f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54895C-CC7E-44B3-9770-C6177868C196}">
  <ds:schemaRefs>
    <ds:schemaRef ds:uri="http://purl.org/dc/dcmitype/"/>
    <ds:schemaRef ds:uri="http://purl.org/dc/terms/"/>
    <ds:schemaRef ds:uri="http://purl.org/dc/elements/1.1/"/>
    <ds:schemaRef ds:uri="36ef33f2-a83f-4f8a-abd9-ec0f495c644c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ee9d8a36-9180-4fb7-bbde-d8aa767e0f4a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46B9C18-19ED-45DA-8CAD-1F08650087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AB7042-4874-4331-A76F-53ECE3114A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ef33f2-a83f-4f8a-abd9-ec0f495c644c"/>
    <ds:schemaRef ds:uri="ee9d8a36-9180-4fb7-bbde-d8aa767e0f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56</vt:i4>
      </vt:variant>
    </vt:vector>
  </HeadingPairs>
  <TitlesOfParts>
    <vt:vector size="56" baseType="lpstr">
      <vt:lpstr>Historiques</vt:lpstr>
      <vt:lpstr>Probois 43</vt:lpstr>
      <vt:lpstr>SAS Emballages</vt:lpstr>
      <vt:lpstr>BSB</vt:lpstr>
      <vt:lpstr>Montage</vt:lpstr>
      <vt:lpstr>Organ. Capital.</vt:lpstr>
      <vt:lpstr>BP - Projet 1</vt:lpstr>
      <vt:lpstr>BP Agrégé</vt:lpstr>
      <vt:lpstr>BP - Management</vt:lpstr>
      <vt:lpstr>Probois 43 - P&amp;L</vt:lpstr>
      <vt:lpstr>Probois 43 - CF</vt:lpstr>
      <vt:lpstr>Probois 43 - Bilan</vt:lpstr>
      <vt:lpstr>SAS EMB - P&amp;L</vt:lpstr>
      <vt:lpstr>SAS EMB - CF</vt:lpstr>
      <vt:lpstr>SAS EMB - Bilan</vt:lpstr>
      <vt:lpstr>BSB - P&amp;L</vt:lpstr>
      <vt:lpstr>BSB - CF</vt:lpstr>
      <vt:lpstr>BSB - Bilan</vt:lpstr>
      <vt:lpstr>Profilyss - P&amp;L</vt:lpstr>
      <vt:lpstr>Profilyss - CF</vt:lpstr>
      <vt:lpstr>Profilyss - Bilan</vt:lpstr>
      <vt:lpstr>SCI - P&amp;L</vt:lpstr>
      <vt:lpstr>SCI - CF</vt:lpstr>
      <vt:lpstr>SCI - Bilan</vt:lpstr>
      <vt:lpstr>SC des SUCS - P&amp;L</vt:lpstr>
      <vt:lpstr>SC des SUCS - CF</vt:lpstr>
      <vt:lpstr>SC des SUCS - Bilan</vt:lpstr>
      <vt:lpstr>BP - Forinvest</vt:lpstr>
      <vt:lpstr>Probois 43 - P&amp;L (2)</vt:lpstr>
      <vt:lpstr>Probois 43 - CF (2)</vt:lpstr>
      <vt:lpstr>Probois 43 - Bilan (2)</vt:lpstr>
      <vt:lpstr>SAS EMB - P&amp;L (2)</vt:lpstr>
      <vt:lpstr>SAS EMB - CF (2)</vt:lpstr>
      <vt:lpstr>SAS EMB - Bilan (2)</vt:lpstr>
      <vt:lpstr>BSB - P&amp;L (2)</vt:lpstr>
      <vt:lpstr>BSB - CF (2)</vt:lpstr>
      <vt:lpstr>BSB - Bilan (2)</vt:lpstr>
      <vt:lpstr>Profilyss - P&amp;L (2)</vt:lpstr>
      <vt:lpstr>Profilyss - CF (2)</vt:lpstr>
      <vt:lpstr>Profilyss - Bilan (2)</vt:lpstr>
      <vt:lpstr>SC des SUCS - P&amp;L (2)</vt:lpstr>
      <vt:lpstr>SC des SUCS - CF (2)</vt:lpstr>
      <vt:lpstr>SC des SUCS - Bilan (2)</vt:lpstr>
      <vt:lpstr>SCI - P&amp;L (2)</vt:lpstr>
      <vt:lpstr>SCI - CF (2)</vt:lpstr>
      <vt:lpstr>SCI - Bilan (2)</vt:lpstr>
      <vt:lpstr>Antreuil - P&amp;L (2)</vt:lpstr>
      <vt:lpstr>Antreuil - CF (2)</vt:lpstr>
      <vt:lpstr>Antreuil - Bilan (2)</vt:lpstr>
      <vt:lpstr>Agrégé - P&amp;L (2)</vt:lpstr>
      <vt:lpstr>Agrégé - CF (2)</vt:lpstr>
      <vt:lpstr>Agrégé - Bilan (2)</vt:lpstr>
      <vt:lpstr>E-R</vt:lpstr>
      <vt:lpstr>Autres</vt:lpstr>
      <vt:lpstr>Investissement</vt:lpstr>
      <vt:lpstr>Transfo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2025-04-24T14:31:08Z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0x010100B5866D745364A3459B1FA23815938F57</vt:lpwstr>
  </property>
  <property fmtid="{D5CDD505-2E9C-101B-9397-08002B2CF9AE}" pid="3" name="MediaServiceImageTags">
    <vt:lpwstr/>
  </property>
</Properties>
</file>