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25" windowWidth="20730" windowHeight="11700" firstSheet="1" activeTab="6"/>
  </bookViews>
  <sheets>
    <sheet name="cex" sheetId="1" r:id="rId1"/>
    <sheet name="cex détail" sheetId="2" r:id="rId2"/>
    <sheet name="financ global " sheetId="6" r:id="rId3"/>
    <sheet name="financ 2016 17 18" sheetId="3" r:id="rId4"/>
    <sheet name="invest" sheetId="5" r:id="rId5"/>
    <sheet name="treso detailles " sheetId="4" r:id="rId6"/>
    <sheet name="personnel" sheetId="10" r:id="rId7"/>
    <sheet name="emprunts" sheetId="7" r:id="rId8"/>
    <sheet name="Cpte Résultat" sheetId="11" r:id="rId9"/>
    <sheet name="Invest et amort" sheetId="12" r:id="rId10"/>
    <sheet name="impots taxes" sheetId="9" r:id="rId11"/>
  </sheets>
  <externalReferences>
    <externalReference r:id="rId12"/>
    <externalReference r:id="rId13"/>
    <externalReference r:id="rId14"/>
    <externalReference r:id="rId15"/>
  </externalReferences>
  <definedNames>
    <definedName name="P_L_Global">'[1]P&amp;L'!$A$1:$AR$47</definedName>
    <definedName name="product_list">[1]Settings!$B$2:$B$5</definedName>
    <definedName name="staff_service_list">[1]Settings!$A$2:$A$8</definedName>
    <definedName name="_xlnm.Print_Area" localSheetId="0">cex!$A$1:$D$33</definedName>
    <definedName name="_xlnm.Print_Area" localSheetId="5">'treso detailles '!$A$3:$O$56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2" l="1"/>
  <c r="C5" i="2"/>
  <c r="Q15" i="11"/>
  <c r="R15" i="11"/>
  <c r="S15" i="11"/>
  <c r="T15" i="11"/>
  <c r="U15" i="11"/>
  <c r="V15" i="11"/>
  <c r="W15" i="11"/>
  <c r="X15" i="11"/>
  <c r="Y15" i="11"/>
  <c r="Z15" i="11"/>
  <c r="AA15" i="11"/>
  <c r="P15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36" i="11"/>
  <c r="P39" i="11"/>
  <c r="P70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36" i="11"/>
  <c r="Q39" i="11"/>
  <c r="Q70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36" i="11"/>
  <c r="R39" i="11"/>
  <c r="R70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36" i="11"/>
  <c r="S39" i="11"/>
  <c r="S70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36" i="11"/>
  <c r="T39" i="11"/>
  <c r="T70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36" i="11"/>
  <c r="U39" i="11"/>
  <c r="U43" i="11"/>
  <c r="U70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36" i="11"/>
  <c r="V39" i="11"/>
  <c r="V70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36" i="11"/>
  <c r="W39" i="11"/>
  <c r="W70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36" i="11"/>
  <c r="X39" i="11"/>
  <c r="X70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36" i="11"/>
  <c r="Y39" i="11"/>
  <c r="Y70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36" i="11"/>
  <c r="Z39" i="11"/>
  <c r="Z70" i="11"/>
  <c r="AA47" i="11"/>
  <c r="AA48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36" i="11"/>
  <c r="AA39" i="11"/>
  <c r="AA70" i="11"/>
  <c r="AB70" i="11"/>
  <c r="P21" i="11"/>
  <c r="P22" i="11"/>
  <c r="P23" i="11"/>
  <c r="P24" i="11"/>
  <c r="P25" i="11"/>
  <c r="P26" i="11"/>
  <c r="P27" i="11"/>
  <c r="P28" i="11"/>
  <c r="P29" i="11"/>
  <c r="P30" i="11"/>
  <c r="P19" i="11"/>
  <c r="P72" i="11"/>
  <c r="Q21" i="11"/>
  <c r="Q22" i="11"/>
  <c r="Q23" i="11"/>
  <c r="Q24" i="11"/>
  <c r="Q25" i="11"/>
  <c r="Q26" i="11"/>
  <c r="Q27" i="11"/>
  <c r="Q28" i="11"/>
  <c r="Q29" i="11"/>
  <c r="Q30" i="11"/>
  <c r="Q19" i="11"/>
  <c r="Q72" i="11"/>
  <c r="R21" i="11"/>
  <c r="R22" i="11"/>
  <c r="R23" i="11"/>
  <c r="R24" i="11"/>
  <c r="R25" i="11"/>
  <c r="R26" i="11"/>
  <c r="R27" i="11"/>
  <c r="R28" i="11"/>
  <c r="R29" i="11"/>
  <c r="R30" i="11"/>
  <c r="R19" i="11"/>
  <c r="R72" i="11"/>
  <c r="S21" i="11"/>
  <c r="S22" i="11"/>
  <c r="S23" i="11"/>
  <c r="S24" i="11"/>
  <c r="S25" i="11"/>
  <c r="S26" i="11"/>
  <c r="S27" i="11"/>
  <c r="S28" i="11"/>
  <c r="S29" i="11"/>
  <c r="S30" i="11"/>
  <c r="S19" i="11"/>
  <c r="S72" i="11"/>
  <c r="T21" i="11"/>
  <c r="T22" i="11"/>
  <c r="T23" i="11"/>
  <c r="T24" i="11"/>
  <c r="T25" i="11"/>
  <c r="T26" i="11"/>
  <c r="T27" i="11"/>
  <c r="T28" i="11"/>
  <c r="T29" i="11"/>
  <c r="T30" i="11"/>
  <c r="T19" i="11"/>
  <c r="T72" i="11"/>
  <c r="U21" i="11"/>
  <c r="U22" i="11"/>
  <c r="U23" i="11"/>
  <c r="U24" i="11"/>
  <c r="U25" i="11"/>
  <c r="U26" i="11"/>
  <c r="U27" i="11"/>
  <c r="U28" i="11"/>
  <c r="U29" i="11"/>
  <c r="U30" i="11"/>
  <c r="U19" i="11"/>
  <c r="U72" i="11"/>
  <c r="V21" i="11"/>
  <c r="V22" i="11"/>
  <c r="V23" i="11"/>
  <c r="V24" i="11"/>
  <c r="V25" i="11"/>
  <c r="V26" i="11"/>
  <c r="V27" i="11"/>
  <c r="V28" i="11"/>
  <c r="V29" i="11"/>
  <c r="V30" i="11"/>
  <c r="V19" i="11"/>
  <c r="V72" i="11"/>
  <c r="W21" i="11"/>
  <c r="W22" i="11"/>
  <c r="W23" i="11"/>
  <c r="W24" i="11"/>
  <c r="W25" i="11"/>
  <c r="W26" i="11"/>
  <c r="W27" i="11"/>
  <c r="W28" i="11"/>
  <c r="W29" i="11"/>
  <c r="W30" i="11"/>
  <c r="W19" i="11"/>
  <c r="W72" i="11"/>
  <c r="X21" i="11"/>
  <c r="X22" i="11"/>
  <c r="X23" i="11"/>
  <c r="X24" i="11"/>
  <c r="X25" i="11"/>
  <c r="X26" i="11"/>
  <c r="X27" i="11"/>
  <c r="X28" i="11"/>
  <c r="X29" i="11"/>
  <c r="X30" i="11"/>
  <c r="X19" i="11"/>
  <c r="X72" i="11"/>
  <c r="Y21" i="11"/>
  <c r="Y22" i="11"/>
  <c r="Y23" i="11"/>
  <c r="Y24" i="11"/>
  <c r="Y25" i="11"/>
  <c r="Y26" i="11"/>
  <c r="Y27" i="11"/>
  <c r="Y28" i="11"/>
  <c r="Y29" i="11"/>
  <c r="Y30" i="11"/>
  <c r="Y19" i="11"/>
  <c r="Y72" i="11"/>
  <c r="Z21" i="11"/>
  <c r="Z22" i="11"/>
  <c r="Z23" i="11"/>
  <c r="Z24" i="11"/>
  <c r="Z25" i="11"/>
  <c r="Z26" i="11"/>
  <c r="Z27" i="11"/>
  <c r="Z28" i="11"/>
  <c r="Z29" i="11"/>
  <c r="Z30" i="11"/>
  <c r="Z19" i="11"/>
  <c r="Z72" i="11"/>
  <c r="AA21" i="11"/>
  <c r="AA22" i="11"/>
  <c r="AA23" i="11"/>
  <c r="AA24" i="11"/>
  <c r="AA25" i="11"/>
  <c r="AA26" i="11"/>
  <c r="AA27" i="11"/>
  <c r="AA28" i="11"/>
  <c r="AA29" i="11"/>
  <c r="AA30" i="11"/>
  <c r="AA19" i="11"/>
  <c r="AA72" i="11"/>
  <c r="AB72" i="11"/>
  <c r="P74" i="11"/>
  <c r="Q74" i="11"/>
  <c r="R74" i="11"/>
  <c r="S74" i="11"/>
  <c r="T74" i="11"/>
  <c r="U74" i="11"/>
  <c r="V74" i="11"/>
  <c r="W74" i="11"/>
  <c r="X74" i="11"/>
  <c r="Y74" i="11"/>
  <c r="Z74" i="11"/>
  <c r="AA74" i="11"/>
  <c r="AB74" i="11"/>
  <c r="AD21" i="11"/>
  <c r="AC22" i="11"/>
  <c r="AD22" i="11"/>
  <c r="AC23" i="11"/>
  <c r="AD23" i="11"/>
  <c r="AC24" i="11"/>
  <c r="AD24" i="11"/>
  <c r="AC25" i="11"/>
  <c r="AD25" i="11"/>
  <c r="AC26" i="11"/>
  <c r="AD26" i="11"/>
  <c r="AC27" i="11"/>
  <c r="AD27" i="11"/>
  <c r="AC28" i="11"/>
  <c r="AD28" i="11"/>
  <c r="AC29" i="11"/>
  <c r="AD29" i="11"/>
  <c r="AC30" i="11"/>
  <c r="AD30" i="11"/>
  <c r="AD19" i="11"/>
  <c r="AE21" i="11"/>
  <c r="AE22" i="11"/>
  <c r="AE23" i="11"/>
  <c r="AE24" i="11"/>
  <c r="AE25" i="11"/>
  <c r="AE26" i="11"/>
  <c r="AE27" i="11"/>
  <c r="AE28" i="11"/>
  <c r="AE29" i="11"/>
  <c r="AE30" i="11"/>
  <c r="AE19" i="11"/>
  <c r="AF21" i="11"/>
  <c r="AF22" i="11"/>
  <c r="AF23" i="11"/>
  <c r="AF24" i="11"/>
  <c r="AF25" i="11"/>
  <c r="AF26" i="11"/>
  <c r="AF27" i="11"/>
  <c r="AF28" i="11"/>
  <c r="AF29" i="11"/>
  <c r="AF30" i="11"/>
  <c r="AF19" i="11"/>
  <c r="AG21" i="11"/>
  <c r="AG22" i="11"/>
  <c r="AG23" i="11"/>
  <c r="AG24" i="11"/>
  <c r="AG25" i="11"/>
  <c r="AG26" i="11"/>
  <c r="AG27" i="11"/>
  <c r="AG28" i="11"/>
  <c r="AG29" i="11"/>
  <c r="AG30" i="11"/>
  <c r="AG19" i="11"/>
  <c r="AH21" i="11"/>
  <c r="AH22" i="11"/>
  <c r="AH23" i="11"/>
  <c r="AH24" i="11"/>
  <c r="AH25" i="11"/>
  <c r="AH26" i="11"/>
  <c r="AH27" i="11"/>
  <c r="AH28" i="11"/>
  <c r="AH29" i="11"/>
  <c r="AH30" i="11"/>
  <c r="AH19" i="11"/>
  <c r="AI21" i="11"/>
  <c r="AI22" i="11"/>
  <c r="AI23" i="11"/>
  <c r="AI24" i="11"/>
  <c r="AI25" i="11"/>
  <c r="AI26" i="11"/>
  <c r="AI27" i="11"/>
  <c r="AI28" i="11"/>
  <c r="AI29" i="11"/>
  <c r="AI30" i="11"/>
  <c r="AI19" i="11"/>
  <c r="AJ21" i="11"/>
  <c r="AJ22" i="11"/>
  <c r="AJ23" i="11"/>
  <c r="AJ24" i="11"/>
  <c r="AJ25" i="11"/>
  <c r="AJ26" i="11"/>
  <c r="AJ27" i="11"/>
  <c r="AJ28" i="11"/>
  <c r="AJ29" i="11"/>
  <c r="AJ30" i="11"/>
  <c r="AJ19" i="11"/>
  <c r="AK21" i="11"/>
  <c r="AK22" i="11"/>
  <c r="AK23" i="11"/>
  <c r="AK24" i="11"/>
  <c r="AK25" i="11"/>
  <c r="AK26" i="11"/>
  <c r="AK27" i="11"/>
  <c r="AK28" i="11"/>
  <c r="AK29" i="11"/>
  <c r="AK30" i="11"/>
  <c r="AK19" i="11"/>
  <c r="AL21" i="11"/>
  <c r="AL22" i="11"/>
  <c r="AL23" i="11"/>
  <c r="AL24" i="11"/>
  <c r="AL25" i="11"/>
  <c r="AL26" i="11"/>
  <c r="AL27" i="11"/>
  <c r="AL28" i="11"/>
  <c r="AL29" i="11"/>
  <c r="AL30" i="11"/>
  <c r="AL19" i="11"/>
  <c r="AM21" i="11"/>
  <c r="AM22" i="11"/>
  <c r="AM23" i="11"/>
  <c r="AM24" i="11"/>
  <c r="AM25" i="11"/>
  <c r="AM26" i="11"/>
  <c r="AM27" i="11"/>
  <c r="AM28" i="11"/>
  <c r="AM29" i="11"/>
  <c r="AM30" i="11"/>
  <c r="AM19" i="11"/>
  <c r="AN21" i="11"/>
  <c r="AN22" i="11"/>
  <c r="AN23" i="11"/>
  <c r="AN24" i="11"/>
  <c r="AN25" i="11"/>
  <c r="AN26" i="11"/>
  <c r="AN27" i="11"/>
  <c r="AN28" i="11"/>
  <c r="AN29" i="11"/>
  <c r="AN30" i="11"/>
  <c r="AN19" i="11"/>
  <c r="AC21" i="11"/>
  <c r="AC19" i="11"/>
  <c r="B6" i="3"/>
  <c r="C11" i="10"/>
  <c r="D11" i="10"/>
  <c r="AC61" i="11"/>
  <c r="AD61" i="11"/>
  <c r="AE61" i="11"/>
  <c r="AF61" i="11"/>
  <c r="AG61" i="11"/>
  <c r="AH61" i="11"/>
  <c r="AI61" i="11"/>
  <c r="AJ61" i="11"/>
  <c r="AK61" i="11"/>
  <c r="AL61" i="11"/>
  <c r="AM61" i="11"/>
  <c r="AN61" i="11"/>
  <c r="AO61" i="11"/>
  <c r="D14" i="10"/>
  <c r="AB61" i="11"/>
  <c r="C14" i="10"/>
  <c r="F61" i="11"/>
  <c r="G61" i="11"/>
  <c r="H61" i="11"/>
  <c r="I61" i="11"/>
  <c r="J61" i="11"/>
  <c r="K61" i="11"/>
  <c r="L61" i="11"/>
  <c r="M61" i="11"/>
  <c r="N61" i="11"/>
  <c r="O61" i="11"/>
  <c r="B14" i="10"/>
  <c r="D50" i="2"/>
  <c r="D45" i="2"/>
  <c r="AC36" i="11"/>
  <c r="AD36" i="11"/>
  <c r="AE36" i="11"/>
  <c r="AF36" i="11"/>
  <c r="AG36" i="11"/>
  <c r="AH36" i="11"/>
  <c r="AI36" i="11"/>
  <c r="AJ36" i="11"/>
  <c r="AK36" i="11"/>
  <c r="AL36" i="11"/>
  <c r="AM36" i="11"/>
  <c r="AN36" i="11"/>
  <c r="AO36" i="11"/>
  <c r="D41" i="2"/>
  <c r="AC39" i="11"/>
  <c r="AD39" i="11"/>
  <c r="AE39" i="11"/>
  <c r="AF39" i="11"/>
  <c r="AG39" i="11"/>
  <c r="AH39" i="11"/>
  <c r="AI39" i="11"/>
  <c r="AJ39" i="11"/>
  <c r="AK39" i="11"/>
  <c r="AL39" i="11"/>
  <c r="AM39" i="11"/>
  <c r="AN39" i="11"/>
  <c r="AO39" i="11"/>
  <c r="AH43" i="11"/>
  <c r="AO43" i="11"/>
  <c r="D42" i="2"/>
  <c r="D40" i="2"/>
  <c r="C50" i="2"/>
  <c r="C45" i="2"/>
  <c r="AB39" i="11"/>
  <c r="AB43" i="11"/>
  <c r="C42" i="2"/>
  <c r="AB36" i="11"/>
  <c r="C41" i="2"/>
  <c r="AC67" i="11"/>
  <c r="AD67" i="11"/>
  <c r="AE67" i="11"/>
  <c r="AF67" i="11"/>
  <c r="AG67" i="11"/>
  <c r="AH67" i="11"/>
  <c r="AI67" i="11"/>
  <c r="AJ67" i="11"/>
  <c r="AK67" i="11"/>
  <c r="AL67" i="11"/>
  <c r="AM67" i="11"/>
  <c r="AN67" i="11"/>
  <c r="AO67" i="11"/>
  <c r="D39" i="2"/>
  <c r="AB67" i="11"/>
  <c r="C39" i="2"/>
  <c r="AC64" i="11"/>
  <c r="AD64" i="11"/>
  <c r="AE64" i="11"/>
  <c r="AF64" i="11"/>
  <c r="AG64" i="11"/>
  <c r="AH64" i="11"/>
  <c r="AI64" i="11"/>
  <c r="AJ64" i="11"/>
  <c r="AK64" i="11"/>
  <c r="AL64" i="11"/>
  <c r="AM64" i="11"/>
  <c r="AN64" i="11"/>
  <c r="AO64" i="11"/>
  <c r="D34" i="2"/>
  <c r="AC65" i="11"/>
  <c r="AD65" i="11"/>
  <c r="AE65" i="11"/>
  <c r="AF65" i="11"/>
  <c r="AG65" i="11"/>
  <c r="AH65" i="11"/>
  <c r="AI65" i="11"/>
  <c r="AJ65" i="11"/>
  <c r="AK65" i="11"/>
  <c r="AL65" i="11"/>
  <c r="AM65" i="11"/>
  <c r="AN65" i="11"/>
  <c r="AO65" i="11"/>
  <c r="D35" i="2"/>
  <c r="AC66" i="11"/>
  <c r="AD66" i="11"/>
  <c r="AE66" i="11"/>
  <c r="AF66" i="11"/>
  <c r="AG66" i="11"/>
  <c r="AH66" i="11"/>
  <c r="AI66" i="11"/>
  <c r="AJ66" i="11"/>
  <c r="AK66" i="11"/>
  <c r="AL66" i="11"/>
  <c r="AM66" i="11"/>
  <c r="AN66" i="11"/>
  <c r="AO66" i="11"/>
  <c r="D36" i="2"/>
  <c r="AC63" i="11"/>
  <c r="AD63" i="11"/>
  <c r="AE63" i="11"/>
  <c r="AF63" i="11"/>
  <c r="AG63" i="11"/>
  <c r="AH63" i="11"/>
  <c r="AI63" i="11"/>
  <c r="AJ63" i="11"/>
  <c r="AK63" i="11"/>
  <c r="AL63" i="11"/>
  <c r="AM63" i="11"/>
  <c r="AN63" i="11"/>
  <c r="AO63" i="11"/>
  <c r="D33" i="2"/>
  <c r="AO27" i="11"/>
  <c r="AO28" i="11"/>
  <c r="AO29" i="11"/>
  <c r="AO30" i="11"/>
  <c r="D32" i="2"/>
  <c r="AO26" i="11"/>
  <c r="D31" i="2"/>
  <c r="AO25" i="11"/>
  <c r="D30" i="2"/>
  <c r="AO24" i="11"/>
  <c r="D29" i="2"/>
  <c r="AC62" i="11"/>
  <c r="AD62" i="11"/>
  <c r="AE62" i="11"/>
  <c r="AF62" i="11"/>
  <c r="AG62" i="11"/>
  <c r="AH62" i="11"/>
  <c r="AI62" i="11"/>
  <c r="AJ62" i="11"/>
  <c r="AK62" i="11"/>
  <c r="AL62" i="11"/>
  <c r="AM62" i="11"/>
  <c r="AN62" i="11"/>
  <c r="AO62" i="11"/>
  <c r="D28" i="2"/>
  <c r="AC59" i="11"/>
  <c r="AD59" i="11"/>
  <c r="AE59" i="11"/>
  <c r="AF59" i="11"/>
  <c r="AG59" i="11"/>
  <c r="AH59" i="11"/>
  <c r="AI59" i="11"/>
  <c r="AJ59" i="11"/>
  <c r="AK59" i="11"/>
  <c r="AL59" i="11"/>
  <c r="AM59" i="11"/>
  <c r="AN59" i="11"/>
  <c r="AO59" i="11"/>
  <c r="D26" i="2"/>
  <c r="AC60" i="11"/>
  <c r="AD60" i="11"/>
  <c r="AE60" i="11"/>
  <c r="AF60" i="11"/>
  <c r="AG60" i="11"/>
  <c r="AH60" i="11"/>
  <c r="AI60" i="11"/>
  <c r="AJ60" i="11"/>
  <c r="AK60" i="11"/>
  <c r="AL60" i="11"/>
  <c r="AM60" i="11"/>
  <c r="AN60" i="11"/>
  <c r="AO60" i="11"/>
  <c r="D27" i="2"/>
  <c r="AC58" i="11"/>
  <c r="AD58" i="11"/>
  <c r="AE58" i="11"/>
  <c r="AF58" i="11"/>
  <c r="AG58" i="11"/>
  <c r="AH58" i="11"/>
  <c r="AI58" i="11"/>
  <c r="AJ58" i="11"/>
  <c r="AK58" i="11"/>
  <c r="AL58" i="11"/>
  <c r="AM58" i="11"/>
  <c r="AN58" i="11"/>
  <c r="AO58" i="11"/>
  <c r="D25" i="2"/>
  <c r="AC52" i="11"/>
  <c r="AD52" i="11"/>
  <c r="AE52" i="11"/>
  <c r="AF52" i="11"/>
  <c r="AG52" i="11"/>
  <c r="AH52" i="11"/>
  <c r="AI52" i="11"/>
  <c r="AJ52" i="11"/>
  <c r="AK52" i="11"/>
  <c r="AL52" i="11"/>
  <c r="AM52" i="11"/>
  <c r="AN52" i="11"/>
  <c r="AO52" i="11"/>
  <c r="D24" i="2"/>
  <c r="AC55" i="11"/>
  <c r="AD55" i="11"/>
  <c r="AE55" i="11"/>
  <c r="AF55" i="11"/>
  <c r="AG55" i="11"/>
  <c r="AH55" i="11"/>
  <c r="AI55" i="11"/>
  <c r="AJ55" i="11"/>
  <c r="AK55" i="11"/>
  <c r="AL55" i="11"/>
  <c r="AM55" i="11"/>
  <c r="AN55" i="11"/>
  <c r="AO55" i="11"/>
  <c r="D21" i="2"/>
  <c r="AC56" i="11"/>
  <c r="AD56" i="11"/>
  <c r="AE56" i="11"/>
  <c r="AF56" i="11"/>
  <c r="AG56" i="11"/>
  <c r="AH56" i="11"/>
  <c r="AI56" i="11"/>
  <c r="AJ56" i="11"/>
  <c r="AK56" i="11"/>
  <c r="AL56" i="11"/>
  <c r="AM56" i="11"/>
  <c r="AN56" i="11"/>
  <c r="AO56" i="11"/>
  <c r="D22" i="2"/>
  <c r="AC57" i="11"/>
  <c r="AD57" i="11"/>
  <c r="AE57" i="11"/>
  <c r="AF57" i="11"/>
  <c r="AG57" i="11"/>
  <c r="AH57" i="11"/>
  <c r="AI57" i="11"/>
  <c r="AJ57" i="11"/>
  <c r="AK57" i="11"/>
  <c r="AL57" i="11"/>
  <c r="AM57" i="11"/>
  <c r="AN57" i="11"/>
  <c r="AO57" i="11"/>
  <c r="D23" i="2"/>
  <c r="AC54" i="11"/>
  <c r="AD54" i="11"/>
  <c r="AE54" i="11"/>
  <c r="AF54" i="11"/>
  <c r="AG54" i="11"/>
  <c r="AH54" i="11"/>
  <c r="AI54" i="11"/>
  <c r="AJ54" i="11"/>
  <c r="AK54" i="11"/>
  <c r="AL54" i="11"/>
  <c r="AM54" i="11"/>
  <c r="AN54" i="11"/>
  <c r="AO54" i="11"/>
  <c r="D20" i="2"/>
  <c r="AB64" i="11"/>
  <c r="C34" i="2"/>
  <c r="AB65" i="11"/>
  <c r="C35" i="2"/>
  <c r="AB66" i="11"/>
  <c r="C36" i="2"/>
  <c r="AB63" i="11"/>
  <c r="C33" i="2"/>
  <c r="AB27" i="11"/>
  <c r="AB28" i="11"/>
  <c r="AB29" i="11"/>
  <c r="AB30" i="11"/>
  <c r="C32" i="2"/>
  <c r="AB26" i="11"/>
  <c r="C31" i="2"/>
  <c r="AB25" i="11"/>
  <c r="C30" i="2"/>
  <c r="AB24" i="11"/>
  <c r="C29" i="2"/>
  <c r="AB62" i="11"/>
  <c r="C28" i="2"/>
  <c r="AB59" i="11"/>
  <c r="C26" i="2"/>
  <c r="AB60" i="11"/>
  <c r="C27" i="2"/>
  <c r="AB58" i="11"/>
  <c r="C25" i="2"/>
  <c r="AB52" i="11"/>
  <c r="C24" i="2"/>
  <c r="AB55" i="11"/>
  <c r="C21" i="2"/>
  <c r="AB56" i="11"/>
  <c r="C22" i="2"/>
  <c r="AB57" i="11"/>
  <c r="C23" i="2"/>
  <c r="AB54" i="11"/>
  <c r="C20" i="2"/>
  <c r="AC51" i="11"/>
  <c r="AD51" i="11"/>
  <c r="AE51" i="11"/>
  <c r="AF51" i="11"/>
  <c r="AG51" i="11"/>
  <c r="AH51" i="11"/>
  <c r="AI51" i="11"/>
  <c r="AJ51" i="11"/>
  <c r="AK51" i="11"/>
  <c r="AL51" i="11"/>
  <c r="AM51" i="11"/>
  <c r="AN51" i="11"/>
  <c r="AO51" i="11"/>
  <c r="AC53" i="11"/>
  <c r="AD53" i="11"/>
  <c r="AE53" i="11"/>
  <c r="AF53" i="11"/>
  <c r="AG53" i="11"/>
  <c r="AH53" i="11"/>
  <c r="AI53" i="11"/>
  <c r="AJ53" i="11"/>
  <c r="AK53" i="11"/>
  <c r="AL53" i="11"/>
  <c r="AM53" i="11"/>
  <c r="AN53" i="11"/>
  <c r="AO53" i="11"/>
  <c r="D19" i="2"/>
  <c r="AB51" i="11"/>
  <c r="AB53" i="11"/>
  <c r="C19" i="2"/>
  <c r="AO21" i="11"/>
  <c r="D18" i="2"/>
  <c r="AB21" i="11"/>
  <c r="C18" i="2"/>
  <c r="AC48" i="11"/>
  <c r="AD48" i="11"/>
  <c r="AE48" i="11"/>
  <c r="AF48" i="11"/>
  <c r="AG48" i="11"/>
  <c r="AH48" i="11"/>
  <c r="AI48" i="11"/>
  <c r="AJ48" i="11"/>
  <c r="AK48" i="11"/>
  <c r="AL48" i="11"/>
  <c r="AM48" i="11"/>
  <c r="AN48" i="11"/>
  <c r="AO48" i="11"/>
  <c r="D14" i="2"/>
  <c r="AC49" i="11"/>
  <c r="AD49" i="11"/>
  <c r="AE49" i="11"/>
  <c r="AF49" i="11"/>
  <c r="AG49" i="11"/>
  <c r="AH49" i="11"/>
  <c r="AI49" i="11"/>
  <c r="AJ49" i="11"/>
  <c r="AK49" i="11"/>
  <c r="AL49" i="11"/>
  <c r="AM49" i="11"/>
  <c r="AN49" i="11"/>
  <c r="AO49" i="11"/>
  <c r="D15" i="2"/>
  <c r="AC50" i="11"/>
  <c r="AD50" i="11"/>
  <c r="AE50" i="11"/>
  <c r="AF50" i="11"/>
  <c r="AG50" i="11"/>
  <c r="AH50" i="11"/>
  <c r="AI50" i="11"/>
  <c r="AJ50" i="11"/>
  <c r="AK50" i="11"/>
  <c r="AL50" i="11"/>
  <c r="AM50" i="11"/>
  <c r="AN50" i="11"/>
  <c r="AO50" i="11"/>
  <c r="D16" i="2"/>
  <c r="AB48" i="11"/>
  <c r="C14" i="2"/>
  <c r="AB49" i="11"/>
  <c r="C15" i="2"/>
  <c r="AB50" i="11"/>
  <c r="C16" i="2"/>
  <c r="AC47" i="11"/>
  <c r="AD47" i="11"/>
  <c r="AE47" i="11"/>
  <c r="AF47" i="11"/>
  <c r="AG47" i="11"/>
  <c r="AH47" i="11"/>
  <c r="AI47" i="11"/>
  <c r="AJ47" i="11"/>
  <c r="AK47" i="11"/>
  <c r="AL47" i="11"/>
  <c r="AM47" i="11"/>
  <c r="AN47" i="11"/>
  <c r="AO47" i="11"/>
  <c r="D13" i="2"/>
  <c r="AB47" i="11"/>
  <c r="C13" i="2"/>
  <c r="C10" i="2"/>
  <c r="C17" i="2"/>
  <c r="C9" i="2"/>
  <c r="D10" i="2"/>
  <c r="D17" i="2"/>
  <c r="D9" i="2"/>
  <c r="D6" i="2"/>
  <c r="C6" i="2"/>
  <c r="AO18" i="11"/>
  <c r="AO15" i="11"/>
  <c r="AB15" i="11"/>
  <c r="B50" i="2"/>
  <c r="B45" i="2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H43" i="11"/>
  <c r="O43" i="11"/>
  <c r="B42" i="2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B41" i="2"/>
  <c r="L67" i="11"/>
  <c r="O67" i="11"/>
  <c r="B39" i="2"/>
  <c r="C62" i="11"/>
  <c r="D62" i="11"/>
  <c r="E62" i="11"/>
  <c r="F62" i="11"/>
  <c r="G62" i="11"/>
  <c r="H62" i="11"/>
  <c r="I62" i="11"/>
  <c r="J62" i="11"/>
  <c r="K62" i="11"/>
  <c r="L62" i="11"/>
  <c r="M62" i="11"/>
  <c r="N62" i="11"/>
  <c r="O62" i="11"/>
  <c r="B28" i="2"/>
  <c r="C52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B24" i="2"/>
  <c r="C51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E53" i="11"/>
  <c r="H53" i="11"/>
  <c r="K53" i="11"/>
  <c r="N53" i="11"/>
  <c r="O53" i="11"/>
  <c r="B19" i="2"/>
  <c r="E64" i="11"/>
  <c r="F64" i="11"/>
  <c r="G64" i="11"/>
  <c r="H64" i="11"/>
  <c r="I64" i="11"/>
  <c r="J64" i="11"/>
  <c r="K64" i="11"/>
  <c r="L64" i="11"/>
  <c r="M64" i="11"/>
  <c r="N64" i="11"/>
  <c r="O64" i="11"/>
  <c r="B34" i="2"/>
  <c r="C65" i="11"/>
  <c r="D65" i="11"/>
  <c r="E65" i="11"/>
  <c r="F65" i="11"/>
  <c r="G65" i="11"/>
  <c r="H65" i="11"/>
  <c r="I65" i="11"/>
  <c r="J65" i="11"/>
  <c r="K65" i="11"/>
  <c r="L65" i="11"/>
  <c r="M65" i="11"/>
  <c r="N65" i="11"/>
  <c r="O65" i="11"/>
  <c r="B35" i="2"/>
  <c r="E66" i="11"/>
  <c r="F66" i="11"/>
  <c r="G66" i="11"/>
  <c r="H66" i="11"/>
  <c r="I66" i="11"/>
  <c r="J66" i="11"/>
  <c r="K66" i="11"/>
  <c r="L66" i="11"/>
  <c r="M66" i="11"/>
  <c r="N66" i="11"/>
  <c r="O66" i="11"/>
  <c r="B36" i="2"/>
  <c r="C63" i="11"/>
  <c r="D63" i="11"/>
  <c r="E63" i="11"/>
  <c r="F63" i="11"/>
  <c r="G63" i="11"/>
  <c r="H63" i="11"/>
  <c r="I63" i="11"/>
  <c r="J63" i="11"/>
  <c r="K63" i="11"/>
  <c r="L63" i="11"/>
  <c r="M63" i="11"/>
  <c r="N63" i="11"/>
  <c r="O63" i="11"/>
  <c r="B33" i="2"/>
  <c r="E27" i="11"/>
  <c r="F27" i="11"/>
  <c r="G27" i="11"/>
  <c r="H27" i="11"/>
  <c r="I27" i="11"/>
  <c r="J27" i="11"/>
  <c r="K27" i="11"/>
  <c r="L27" i="11"/>
  <c r="M27" i="11"/>
  <c r="N27" i="11"/>
  <c r="O27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E29" i="11"/>
  <c r="F29" i="11"/>
  <c r="G29" i="11"/>
  <c r="H29" i="11"/>
  <c r="I29" i="11"/>
  <c r="J29" i="11"/>
  <c r="K29" i="11"/>
  <c r="L29" i="11"/>
  <c r="M29" i="11"/>
  <c r="N29" i="11"/>
  <c r="O29" i="11"/>
  <c r="E30" i="11"/>
  <c r="F30" i="11"/>
  <c r="G30" i="11"/>
  <c r="H30" i="11"/>
  <c r="I30" i="11"/>
  <c r="J30" i="11"/>
  <c r="K30" i="11"/>
  <c r="L30" i="11"/>
  <c r="M30" i="11"/>
  <c r="N30" i="11"/>
  <c r="O30" i="11"/>
  <c r="B32" i="2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B30" i="2"/>
  <c r="E26" i="11"/>
  <c r="F26" i="11"/>
  <c r="G26" i="11"/>
  <c r="H26" i="11"/>
  <c r="I26" i="11"/>
  <c r="J26" i="11"/>
  <c r="K26" i="11"/>
  <c r="L26" i="11"/>
  <c r="M26" i="11"/>
  <c r="N26" i="11"/>
  <c r="O26" i="11"/>
  <c r="B31" i="2"/>
  <c r="E24" i="11"/>
  <c r="F24" i="11"/>
  <c r="G24" i="11"/>
  <c r="H24" i="11"/>
  <c r="I24" i="11"/>
  <c r="J24" i="11"/>
  <c r="K24" i="11"/>
  <c r="L24" i="11"/>
  <c r="M24" i="11"/>
  <c r="N24" i="11"/>
  <c r="O24" i="11"/>
  <c r="B29" i="2"/>
  <c r="B26" i="2"/>
  <c r="C60" i="11"/>
  <c r="D60" i="11"/>
  <c r="E60" i="11"/>
  <c r="F60" i="11"/>
  <c r="G60" i="11"/>
  <c r="H60" i="11"/>
  <c r="I60" i="11"/>
  <c r="J60" i="11"/>
  <c r="K60" i="11"/>
  <c r="L60" i="11"/>
  <c r="M60" i="11"/>
  <c r="N60" i="11"/>
  <c r="O60" i="11"/>
  <c r="B27" i="2"/>
  <c r="E58" i="11"/>
  <c r="F58" i="11"/>
  <c r="G58" i="11"/>
  <c r="H58" i="11"/>
  <c r="I58" i="11"/>
  <c r="J58" i="11"/>
  <c r="K58" i="11"/>
  <c r="L58" i="11"/>
  <c r="M58" i="11"/>
  <c r="N58" i="11"/>
  <c r="O58" i="11"/>
  <c r="B25" i="2"/>
  <c r="E55" i="11"/>
  <c r="H55" i="11"/>
  <c r="K55" i="11"/>
  <c r="N55" i="11"/>
  <c r="O55" i="11"/>
  <c r="B21" i="2"/>
  <c r="C56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B22" i="2"/>
  <c r="E57" i="11"/>
  <c r="F57" i="11"/>
  <c r="G57" i="11"/>
  <c r="H57" i="11"/>
  <c r="I57" i="11"/>
  <c r="J57" i="11"/>
  <c r="K57" i="11"/>
  <c r="L57" i="11"/>
  <c r="M57" i="11"/>
  <c r="N57" i="11"/>
  <c r="O57" i="11"/>
  <c r="B23" i="2"/>
  <c r="C54" i="11"/>
  <c r="D54" i="11"/>
  <c r="E54" i="11"/>
  <c r="F54" i="11"/>
  <c r="G54" i="11"/>
  <c r="H54" i="11"/>
  <c r="I54" i="11"/>
  <c r="J54" i="11"/>
  <c r="K54" i="11"/>
  <c r="L54" i="11"/>
  <c r="M54" i="11"/>
  <c r="N54" i="11"/>
  <c r="O54" i="11"/>
  <c r="B20" i="2"/>
  <c r="E21" i="11"/>
  <c r="F21" i="11"/>
  <c r="G21" i="11"/>
  <c r="H21" i="11"/>
  <c r="I21" i="11"/>
  <c r="J21" i="11"/>
  <c r="K21" i="11"/>
  <c r="L21" i="11"/>
  <c r="M21" i="11"/>
  <c r="N21" i="11"/>
  <c r="O21" i="11"/>
  <c r="B18" i="2"/>
  <c r="C48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B14" i="2"/>
  <c r="C49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B15" i="2"/>
  <c r="C50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B16" i="2"/>
  <c r="C47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B13" i="2"/>
  <c r="B6" i="2"/>
  <c r="B5" i="2"/>
  <c r="L18" i="4"/>
  <c r="L19" i="4"/>
  <c r="L21" i="4"/>
  <c r="M18" i="4"/>
  <c r="M19" i="4"/>
  <c r="M21" i="4"/>
  <c r="N18" i="4"/>
  <c r="N19" i="4"/>
  <c r="N21" i="4"/>
  <c r="L50" i="4"/>
  <c r="L49" i="4"/>
  <c r="L48" i="4"/>
  <c r="L47" i="4"/>
  <c r="L46" i="4"/>
  <c r="L45" i="4"/>
  <c r="L44" i="4"/>
  <c r="L43" i="4"/>
  <c r="L42" i="4"/>
  <c r="L41" i="4"/>
  <c r="L39" i="4"/>
  <c r="L38" i="4"/>
  <c r="L37" i="4"/>
  <c r="L36" i="4"/>
  <c r="L35" i="4"/>
  <c r="L34" i="4"/>
  <c r="L33" i="4"/>
  <c r="L32" i="4"/>
  <c r="L31" i="4"/>
  <c r="L53" i="4"/>
  <c r="M50" i="4"/>
  <c r="M49" i="4"/>
  <c r="M48" i="4"/>
  <c r="M47" i="4"/>
  <c r="M46" i="4"/>
  <c r="M45" i="4"/>
  <c r="M44" i="4"/>
  <c r="M43" i="4"/>
  <c r="M42" i="4"/>
  <c r="M41" i="4"/>
  <c r="M38" i="4"/>
  <c r="M36" i="4"/>
  <c r="M35" i="4"/>
  <c r="M34" i="4"/>
  <c r="M33" i="4"/>
  <c r="M32" i="4"/>
  <c r="M31" i="4"/>
  <c r="M53" i="4"/>
  <c r="N50" i="4"/>
  <c r="N49" i="4"/>
  <c r="N48" i="4"/>
  <c r="N47" i="4"/>
  <c r="N46" i="4"/>
  <c r="N45" i="4"/>
  <c r="N44" i="4"/>
  <c r="N43" i="4"/>
  <c r="N42" i="4"/>
  <c r="N41" i="4"/>
  <c r="N40" i="4"/>
  <c r="N38" i="4"/>
  <c r="N36" i="4"/>
  <c r="N35" i="4"/>
  <c r="N34" i="4"/>
  <c r="N33" i="4"/>
  <c r="N32" i="4"/>
  <c r="N31" i="4"/>
  <c r="N53" i="4"/>
  <c r="R22" i="4"/>
  <c r="AM50" i="4"/>
  <c r="AM49" i="4"/>
  <c r="AM48" i="4"/>
  <c r="AM47" i="4"/>
  <c r="AM46" i="4"/>
  <c r="AM45" i="4"/>
  <c r="AM44" i="4"/>
  <c r="AM43" i="4"/>
  <c r="AM42" i="4"/>
  <c r="AM41" i="4"/>
  <c r="AM40" i="4"/>
  <c r="AM39" i="4"/>
  <c r="AM38" i="4"/>
  <c r="AM37" i="4"/>
  <c r="AM36" i="4"/>
  <c r="AM35" i="4"/>
  <c r="AM34" i="4"/>
  <c r="AM33" i="4"/>
  <c r="AM32" i="4"/>
  <c r="AM31" i="4"/>
  <c r="AM53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53" i="4"/>
  <c r="AO50" i="4"/>
  <c r="AO49" i="4"/>
  <c r="AO48" i="4"/>
  <c r="AO47" i="4"/>
  <c r="AO46" i="4"/>
  <c r="AO45" i="4"/>
  <c r="AO44" i="4"/>
  <c r="AO43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53" i="4"/>
  <c r="AP22" i="4"/>
  <c r="AJ50" i="4"/>
  <c r="AJ49" i="4"/>
  <c r="AJ48" i="4"/>
  <c r="AJ47" i="4"/>
  <c r="AJ46" i="4"/>
  <c r="AJ45" i="4"/>
  <c r="AJ44" i="4"/>
  <c r="AJ43" i="4"/>
  <c r="AJ42" i="4"/>
  <c r="AJ41" i="4"/>
  <c r="AJ40" i="4"/>
  <c r="AJ39" i="4"/>
  <c r="AJ38" i="4"/>
  <c r="AJ37" i="4"/>
  <c r="AJ36" i="4"/>
  <c r="AJ35" i="4"/>
  <c r="AJ34" i="4"/>
  <c r="AJ33" i="4"/>
  <c r="AJ32" i="4"/>
  <c r="AJ31" i="4"/>
  <c r="AJ53" i="4"/>
  <c r="AK50" i="4"/>
  <c r="AK49" i="4"/>
  <c r="AK48" i="4"/>
  <c r="AK47" i="4"/>
  <c r="AK46" i="4"/>
  <c r="AK45" i="4"/>
  <c r="AK44" i="4"/>
  <c r="AK43" i="4"/>
  <c r="AK42" i="4"/>
  <c r="AK41" i="4"/>
  <c r="AK40" i="4"/>
  <c r="AK39" i="4"/>
  <c r="AK38" i="4"/>
  <c r="AK37" i="4"/>
  <c r="AK36" i="4"/>
  <c r="AK35" i="4"/>
  <c r="AK34" i="4"/>
  <c r="AK33" i="4"/>
  <c r="AK32" i="4"/>
  <c r="AK31" i="4"/>
  <c r="AK53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53" i="4"/>
  <c r="AM22" i="4"/>
  <c r="AG50" i="4"/>
  <c r="AG49" i="4"/>
  <c r="AG48" i="4"/>
  <c r="AG47" i="4"/>
  <c r="AG46" i="4"/>
  <c r="AG45" i="4"/>
  <c r="AG44" i="4"/>
  <c r="AG43" i="4"/>
  <c r="AG42" i="4"/>
  <c r="AG41" i="4"/>
  <c r="AG40" i="4"/>
  <c r="AG39" i="4"/>
  <c r="AG38" i="4"/>
  <c r="AG37" i="4"/>
  <c r="AG36" i="4"/>
  <c r="AG35" i="4"/>
  <c r="AG34" i="4"/>
  <c r="AG33" i="4"/>
  <c r="AG32" i="4"/>
  <c r="AG31" i="4"/>
  <c r="AG53" i="4"/>
  <c r="AH50" i="4"/>
  <c r="AH49" i="4"/>
  <c r="AH48" i="4"/>
  <c r="AH47" i="4"/>
  <c r="AH46" i="4"/>
  <c r="AH45" i="4"/>
  <c r="AH44" i="4"/>
  <c r="AH43" i="4"/>
  <c r="AH42" i="4"/>
  <c r="AH41" i="4"/>
  <c r="AH40" i="4"/>
  <c r="AH39" i="4"/>
  <c r="AH38" i="4"/>
  <c r="AH37" i="4"/>
  <c r="AH36" i="4"/>
  <c r="AH35" i="4"/>
  <c r="AH34" i="4"/>
  <c r="AH33" i="4"/>
  <c r="AH32" i="4"/>
  <c r="AH31" i="4"/>
  <c r="AH53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53" i="4"/>
  <c r="AJ22" i="4"/>
  <c r="AP50" i="4"/>
  <c r="AP49" i="4"/>
  <c r="AP48" i="4"/>
  <c r="AP47" i="4"/>
  <c r="AP46" i="4"/>
  <c r="AP45" i="4"/>
  <c r="AP44" i="4"/>
  <c r="AP43" i="4"/>
  <c r="AP42" i="4"/>
  <c r="AP41" i="4"/>
  <c r="AP40" i="4"/>
  <c r="AP39" i="4"/>
  <c r="AP38" i="4"/>
  <c r="AP37" i="4"/>
  <c r="AP36" i="4"/>
  <c r="AP35" i="4"/>
  <c r="AP34" i="4"/>
  <c r="AP33" i="4"/>
  <c r="AP32" i="4"/>
  <c r="AP31" i="4"/>
  <c r="AP53" i="4"/>
  <c r="AQ50" i="4"/>
  <c r="AQ49" i="4"/>
  <c r="AQ48" i="4"/>
  <c r="AQ47" i="4"/>
  <c r="AQ46" i="4"/>
  <c r="AQ45" i="4"/>
  <c r="AQ44" i="4"/>
  <c r="AQ43" i="4"/>
  <c r="AQ42" i="4"/>
  <c r="AQ41" i="4"/>
  <c r="AQ40" i="4"/>
  <c r="AQ39" i="4"/>
  <c r="AQ38" i="4"/>
  <c r="AQ37" i="4"/>
  <c r="AQ36" i="4"/>
  <c r="AQ35" i="4"/>
  <c r="AQ34" i="4"/>
  <c r="AQ33" i="4"/>
  <c r="AQ32" i="4"/>
  <c r="AQ31" i="4"/>
  <c r="AQ53" i="4"/>
  <c r="AR50" i="4"/>
  <c r="AR49" i="4"/>
  <c r="AR48" i="4"/>
  <c r="AR47" i="4"/>
  <c r="AR46" i="4"/>
  <c r="AR45" i="4"/>
  <c r="AR44" i="4"/>
  <c r="AR43" i="4"/>
  <c r="AR42" i="4"/>
  <c r="AR41" i="4"/>
  <c r="AR40" i="4"/>
  <c r="AR39" i="4"/>
  <c r="AR38" i="4"/>
  <c r="AR37" i="4"/>
  <c r="AR36" i="4"/>
  <c r="AR35" i="4"/>
  <c r="AR34" i="4"/>
  <c r="AR33" i="4"/>
  <c r="AR32" i="4"/>
  <c r="AR31" i="4"/>
  <c r="AR53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53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53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53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53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53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53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53" i="4"/>
  <c r="Z50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53" i="4"/>
  <c r="AA50" i="4"/>
  <c r="AA49" i="4"/>
  <c r="AA48" i="4"/>
  <c r="AA47" i="4"/>
  <c r="AA46" i="4"/>
  <c r="AA45" i="4"/>
  <c r="AA44" i="4"/>
  <c r="AA43" i="4"/>
  <c r="AA42" i="4"/>
  <c r="AA41" i="4"/>
  <c r="AA40" i="4"/>
  <c r="AA39" i="4"/>
  <c r="AA38" i="4"/>
  <c r="AA37" i="4"/>
  <c r="AA36" i="4"/>
  <c r="AA35" i="4"/>
  <c r="AA34" i="4"/>
  <c r="AA33" i="4"/>
  <c r="AA32" i="4"/>
  <c r="AA31" i="4"/>
  <c r="AA53" i="4"/>
  <c r="AB50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53" i="4"/>
  <c r="AC50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53" i="4"/>
  <c r="AH51" i="4"/>
  <c r="AI51" i="4"/>
  <c r="AJ51" i="4"/>
  <c r="AK51" i="4"/>
  <c r="AL51" i="4"/>
  <c r="AM51" i="4"/>
  <c r="AN51" i="4"/>
  <c r="AO51" i="4"/>
  <c r="AP51" i="4"/>
  <c r="AQ51" i="4"/>
  <c r="AR51" i="4"/>
  <c r="AG51" i="4"/>
  <c r="AH27" i="4"/>
  <c r="AI27" i="4"/>
  <c r="AJ27" i="4"/>
  <c r="AK27" i="4"/>
  <c r="AL27" i="4"/>
  <c r="AM27" i="4"/>
  <c r="AN27" i="4"/>
  <c r="AO27" i="4"/>
  <c r="AP27" i="4"/>
  <c r="AQ27" i="4"/>
  <c r="AR27" i="4"/>
  <c r="AH28" i="4"/>
  <c r="AI28" i="4"/>
  <c r="AJ28" i="4"/>
  <c r="AK28" i="4"/>
  <c r="AL28" i="4"/>
  <c r="AM28" i="4"/>
  <c r="AN28" i="4"/>
  <c r="AO28" i="4"/>
  <c r="AP28" i="4"/>
  <c r="AQ28" i="4"/>
  <c r="AR28" i="4"/>
  <c r="AH29" i="4"/>
  <c r="AI29" i="4"/>
  <c r="AJ29" i="4"/>
  <c r="AK29" i="4"/>
  <c r="AL29" i="4"/>
  <c r="AM29" i="4"/>
  <c r="AN29" i="4"/>
  <c r="AO29" i="4"/>
  <c r="AP29" i="4"/>
  <c r="AQ29" i="4"/>
  <c r="AR29" i="4"/>
  <c r="AH30" i="4"/>
  <c r="AI30" i="4"/>
  <c r="AJ30" i="4"/>
  <c r="AK30" i="4"/>
  <c r="AL30" i="4"/>
  <c r="AM30" i="4"/>
  <c r="AN30" i="4"/>
  <c r="AO30" i="4"/>
  <c r="AP30" i="4"/>
  <c r="AQ30" i="4"/>
  <c r="AR30" i="4"/>
  <c r="AG28" i="4"/>
  <c r="AG29" i="4"/>
  <c r="AG30" i="4"/>
  <c r="AG27" i="4"/>
  <c r="AP26" i="4"/>
  <c r="AM26" i="4"/>
  <c r="AJ26" i="4"/>
  <c r="AG26" i="4"/>
  <c r="AH24" i="4"/>
  <c r="AI24" i="4"/>
  <c r="AJ24" i="4"/>
  <c r="AK24" i="4"/>
  <c r="AL24" i="4"/>
  <c r="AM24" i="4"/>
  <c r="AN24" i="4"/>
  <c r="AO24" i="4"/>
  <c r="AP24" i="4"/>
  <c r="AQ24" i="4"/>
  <c r="AR24" i="4"/>
  <c r="AH25" i="4"/>
  <c r="AI25" i="4"/>
  <c r="AJ25" i="4"/>
  <c r="AK25" i="4"/>
  <c r="AL25" i="4"/>
  <c r="AM25" i="4"/>
  <c r="AN25" i="4"/>
  <c r="AO25" i="4"/>
  <c r="AP25" i="4"/>
  <c r="AQ25" i="4"/>
  <c r="AR25" i="4"/>
  <c r="AG24" i="4"/>
  <c r="AG25" i="4"/>
  <c r="AH23" i="4"/>
  <c r="AI23" i="4"/>
  <c r="AJ23" i="4"/>
  <c r="AK23" i="4"/>
  <c r="AL23" i="4"/>
  <c r="AM23" i="4"/>
  <c r="AN23" i="4"/>
  <c r="AO23" i="4"/>
  <c r="AP23" i="4"/>
  <c r="AQ23" i="4"/>
  <c r="AR23" i="4"/>
  <c r="AG23" i="4"/>
  <c r="T19" i="4"/>
  <c r="U19" i="4"/>
  <c r="V19" i="4"/>
  <c r="W19" i="4"/>
  <c r="X19" i="4"/>
  <c r="Y19" i="4"/>
  <c r="Z19" i="4"/>
  <c r="AA19" i="4"/>
  <c r="AB19" i="4"/>
  <c r="AC19" i="4"/>
  <c r="S19" i="4"/>
  <c r="S18" i="4"/>
  <c r="S21" i="4"/>
  <c r="T18" i="4"/>
  <c r="T21" i="4"/>
  <c r="U18" i="4"/>
  <c r="U21" i="4"/>
  <c r="V18" i="4"/>
  <c r="V21" i="4"/>
  <c r="W18" i="4"/>
  <c r="W21" i="4"/>
  <c r="X18" i="4"/>
  <c r="X21" i="4"/>
  <c r="Y18" i="4"/>
  <c r="Y21" i="4"/>
  <c r="Z18" i="4"/>
  <c r="Z21" i="4"/>
  <c r="AA18" i="4"/>
  <c r="AA21" i="4"/>
  <c r="AB18" i="4"/>
  <c r="AB21" i="4"/>
  <c r="AC18" i="4"/>
  <c r="AC21" i="4"/>
  <c r="T20" i="4"/>
  <c r="U20" i="4"/>
  <c r="V20" i="4"/>
  <c r="W20" i="4"/>
  <c r="X20" i="4"/>
  <c r="Y20" i="4"/>
  <c r="Z20" i="4"/>
  <c r="AA20" i="4"/>
  <c r="AB20" i="4"/>
  <c r="AC20" i="4"/>
  <c r="S20" i="4"/>
  <c r="AI11" i="4"/>
  <c r="AJ11" i="4"/>
  <c r="AK11" i="4"/>
  <c r="AL11" i="4"/>
  <c r="AM11" i="4"/>
  <c r="AN11" i="4"/>
  <c r="AO11" i="4"/>
  <c r="AP11" i="4"/>
  <c r="AQ11" i="4"/>
  <c r="AR11" i="4"/>
  <c r="AI10" i="4"/>
  <c r="AJ10" i="4"/>
  <c r="AK10" i="4"/>
  <c r="AL10" i="4"/>
  <c r="AM10" i="4"/>
  <c r="AN10" i="4"/>
  <c r="AO10" i="4"/>
  <c r="AP10" i="4"/>
  <c r="AQ10" i="4"/>
  <c r="AR10" i="4"/>
  <c r="AH10" i="4"/>
  <c r="AI12" i="4"/>
  <c r="AJ12" i="4"/>
  <c r="AK12" i="4"/>
  <c r="AL12" i="4"/>
  <c r="AM12" i="4"/>
  <c r="AN12" i="4"/>
  <c r="AO12" i="4"/>
  <c r="AP12" i="4"/>
  <c r="AQ12" i="4"/>
  <c r="AR12" i="4"/>
  <c r="AH12" i="4"/>
  <c r="AH11" i="4"/>
  <c r="AG11" i="4"/>
  <c r="AG10" i="4"/>
  <c r="T51" i="4"/>
  <c r="U51" i="4"/>
  <c r="V51" i="4"/>
  <c r="W51" i="4"/>
  <c r="X51" i="4"/>
  <c r="Y51" i="4"/>
  <c r="Z51" i="4"/>
  <c r="AA51" i="4"/>
  <c r="AB51" i="4"/>
  <c r="AC51" i="4"/>
  <c r="S51" i="4"/>
  <c r="R48" i="4"/>
  <c r="R49" i="4"/>
  <c r="R50" i="4"/>
  <c r="R43" i="4"/>
  <c r="R44" i="4"/>
  <c r="R45" i="4"/>
  <c r="R46" i="4"/>
  <c r="R47" i="4"/>
  <c r="R32" i="4"/>
  <c r="R33" i="4"/>
  <c r="R34" i="4"/>
  <c r="R35" i="4"/>
  <c r="R36" i="4"/>
  <c r="R37" i="4"/>
  <c r="R38" i="4"/>
  <c r="R39" i="4"/>
  <c r="R40" i="4"/>
  <c r="R41" i="4"/>
  <c r="R31" i="4"/>
  <c r="S27" i="4"/>
  <c r="T27" i="4"/>
  <c r="U27" i="4"/>
  <c r="V27" i="4"/>
  <c r="W27" i="4"/>
  <c r="X27" i="4"/>
  <c r="Y27" i="4"/>
  <c r="Z27" i="4"/>
  <c r="AA27" i="4"/>
  <c r="AB27" i="4"/>
  <c r="AC27" i="4"/>
  <c r="S28" i="4"/>
  <c r="T28" i="4"/>
  <c r="U28" i="4"/>
  <c r="V28" i="4"/>
  <c r="W28" i="4"/>
  <c r="X28" i="4"/>
  <c r="Y28" i="4"/>
  <c r="Z28" i="4"/>
  <c r="AA28" i="4"/>
  <c r="AB28" i="4"/>
  <c r="AC28" i="4"/>
  <c r="S29" i="4"/>
  <c r="T29" i="4"/>
  <c r="U29" i="4"/>
  <c r="V29" i="4"/>
  <c r="W29" i="4"/>
  <c r="X29" i="4"/>
  <c r="Y29" i="4"/>
  <c r="Z29" i="4"/>
  <c r="AA29" i="4"/>
  <c r="AB29" i="4"/>
  <c r="AC29" i="4"/>
  <c r="S30" i="4"/>
  <c r="T30" i="4"/>
  <c r="U30" i="4"/>
  <c r="V30" i="4"/>
  <c r="W30" i="4"/>
  <c r="X30" i="4"/>
  <c r="Y30" i="4"/>
  <c r="Z30" i="4"/>
  <c r="AA30" i="4"/>
  <c r="AB30" i="4"/>
  <c r="AC30" i="4"/>
  <c r="R28" i="4"/>
  <c r="R29" i="4"/>
  <c r="R30" i="4"/>
  <c r="AA26" i="4"/>
  <c r="X26" i="4"/>
  <c r="U26" i="4"/>
  <c r="R26" i="4"/>
  <c r="L26" i="4"/>
  <c r="I26" i="4"/>
  <c r="S23" i="4"/>
  <c r="T23" i="4"/>
  <c r="U23" i="4"/>
  <c r="V23" i="4"/>
  <c r="W23" i="4"/>
  <c r="X23" i="4"/>
  <c r="Y23" i="4"/>
  <c r="Z23" i="4"/>
  <c r="AA23" i="4"/>
  <c r="AB23" i="4"/>
  <c r="AC23" i="4"/>
  <c r="R23" i="4"/>
  <c r="N20" i="11"/>
  <c r="R20" i="4"/>
  <c r="R19" i="4"/>
  <c r="R18" i="4"/>
  <c r="R24" i="4"/>
  <c r="R25" i="4"/>
  <c r="R27" i="4"/>
  <c r="R52" i="4"/>
  <c r="R42" i="4"/>
  <c r="R53" i="4"/>
  <c r="R51" i="4"/>
  <c r="R21" i="4"/>
  <c r="F50" i="4"/>
  <c r="F49" i="4"/>
  <c r="F48" i="4"/>
  <c r="F47" i="4"/>
  <c r="F46" i="4"/>
  <c r="F44" i="4"/>
  <c r="F43" i="4"/>
  <c r="F42" i="4"/>
  <c r="F41" i="4"/>
  <c r="F39" i="4"/>
  <c r="F38" i="4"/>
  <c r="F37" i="4"/>
  <c r="F36" i="4"/>
  <c r="F35" i="4"/>
  <c r="F34" i="4"/>
  <c r="F33" i="4"/>
  <c r="F32" i="4"/>
  <c r="F31" i="4"/>
  <c r="F53" i="4"/>
  <c r="G50" i="4"/>
  <c r="G49" i="4"/>
  <c r="G48" i="4"/>
  <c r="G47" i="4"/>
  <c r="G46" i="4"/>
  <c r="G45" i="4"/>
  <c r="G44" i="4"/>
  <c r="G43" i="4"/>
  <c r="G42" i="4"/>
  <c r="G41" i="4"/>
  <c r="G38" i="4"/>
  <c r="G36" i="4"/>
  <c r="G35" i="4"/>
  <c r="G34" i="4"/>
  <c r="G33" i="4"/>
  <c r="G32" i="4"/>
  <c r="G31" i="4"/>
  <c r="G53" i="4"/>
  <c r="H50" i="4"/>
  <c r="H49" i="4"/>
  <c r="H48" i="4"/>
  <c r="H47" i="4"/>
  <c r="H46" i="4"/>
  <c r="H45" i="4"/>
  <c r="H44" i="4"/>
  <c r="H43" i="4"/>
  <c r="H42" i="4"/>
  <c r="H41" i="4"/>
  <c r="G55" i="11"/>
  <c r="H39" i="4"/>
  <c r="H38" i="4"/>
  <c r="H36" i="4"/>
  <c r="H35" i="4"/>
  <c r="H34" i="4"/>
  <c r="H33" i="4"/>
  <c r="H32" i="4"/>
  <c r="H31" i="4"/>
  <c r="H53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53" i="4"/>
  <c r="J50" i="4"/>
  <c r="J49" i="4"/>
  <c r="J48" i="4"/>
  <c r="J47" i="4"/>
  <c r="J46" i="4"/>
  <c r="J45" i="4"/>
  <c r="J44" i="4"/>
  <c r="J43" i="4"/>
  <c r="J42" i="4"/>
  <c r="J41" i="4"/>
  <c r="J38" i="4"/>
  <c r="J36" i="4"/>
  <c r="J35" i="4"/>
  <c r="J34" i="4"/>
  <c r="J33" i="4"/>
  <c r="J32" i="4"/>
  <c r="J31" i="4"/>
  <c r="J53" i="4"/>
  <c r="K50" i="4"/>
  <c r="K49" i="4"/>
  <c r="K48" i="4"/>
  <c r="K47" i="4"/>
  <c r="K46" i="4"/>
  <c r="K45" i="4"/>
  <c r="K44" i="4"/>
  <c r="K43" i="4"/>
  <c r="K42" i="4"/>
  <c r="K41" i="4"/>
  <c r="K40" i="4"/>
  <c r="K38" i="4"/>
  <c r="K36" i="4"/>
  <c r="K35" i="4"/>
  <c r="K34" i="4"/>
  <c r="K33" i="4"/>
  <c r="K32" i="4"/>
  <c r="K31" i="4"/>
  <c r="K53" i="4"/>
  <c r="E49" i="4"/>
  <c r="E47" i="4"/>
  <c r="E46" i="4"/>
  <c r="E44" i="4"/>
  <c r="E40" i="4"/>
  <c r="E38" i="4"/>
  <c r="E36" i="4"/>
  <c r="E35" i="4"/>
  <c r="E34" i="4"/>
  <c r="E33" i="4"/>
  <c r="E32" i="4"/>
  <c r="E31" i="4"/>
  <c r="E53" i="4"/>
  <c r="E52" i="4"/>
  <c r="F52" i="4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Q7" i="12"/>
  <c r="R7" i="12"/>
  <c r="S7" i="12"/>
  <c r="T7" i="12"/>
  <c r="U7" i="12"/>
  <c r="V7" i="12"/>
  <c r="W7" i="12"/>
  <c r="X7" i="12"/>
  <c r="AA7" i="12"/>
  <c r="AN7" i="12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9" i="12"/>
  <c r="O8" i="12"/>
  <c r="P9" i="12"/>
  <c r="P8" i="12"/>
  <c r="Q9" i="12"/>
  <c r="Q8" i="12"/>
  <c r="R9" i="12"/>
  <c r="R8" i="12"/>
  <c r="S9" i="12"/>
  <c r="S8" i="12"/>
  <c r="T9" i="12"/>
  <c r="T8" i="12"/>
  <c r="U9" i="12"/>
  <c r="U8" i="12"/>
  <c r="V9" i="12"/>
  <c r="V8" i="12"/>
  <c r="W9" i="12"/>
  <c r="W8" i="12"/>
  <c r="X9" i="12"/>
  <c r="X8" i="12"/>
  <c r="Y9" i="12"/>
  <c r="Y8" i="12"/>
  <c r="Z9" i="12"/>
  <c r="Z8" i="12"/>
  <c r="AA8" i="12"/>
  <c r="AB9" i="12"/>
  <c r="AB10" i="12"/>
  <c r="AB8" i="12"/>
  <c r="AC9" i="12"/>
  <c r="AC10" i="12"/>
  <c r="AC8" i="12"/>
  <c r="AD9" i="12"/>
  <c r="AD10" i="12"/>
  <c r="AD8" i="12"/>
  <c r="AE9" i="12"/>
  <c r="AE10" i="12"/>
  <c r="AE8" i="12"/>
  <c r="AF9" i="12"/>
  <c r="AF10" i="12"/>
  <c r="AF8" i="12"/>
  <c r="AG9" i="12"/>
  <c r="AG10" i="12"/>
  <c r="AG8" i="12"/>
  <c r="AH9" i="12"/>
  <c r="AH10" i="12"/>
  <c r="AH8" i="12"/>
  <c r="AI9" i="12"/>
  <c r="AI10" i="12"/>
  <c r="AI8" i="12"/>
  <c r="AJ9" i="12"/>
  <c r="AJ10" i="12"/>
  <c r="AJ8" i="12"/>
  <c r="AK9" i="12"/>
  <c r="AK10" i="12"/>
  <c r="AK8" i="12"/>
  <c r="AL9" i="12"/>
  <c r="AL10" i="12"/>
  <c r="AL8" i="12"/>
  <c r="AM9" i="12"/>
  <c r="AM10" i="12"/>
  <c r="AM8" i="12"/>
  <c r="AN8" i="12"/>
  <c r="N9" i="12"/>
  <c r="AA9" i="12"/>
  <c r="AN9" i="12"/>
  <c r="N10" i="12"/>
  <c r="AA10" i="12"/>
  <c r="AN10" i="12"/>
  <c r="B13" i="12"/>
  <c r="B12" i="12"/>
  <c r="C13" i="12"/>
  <c r="C12" i="12"/>
  <c r="D13" i="12"/>
  <c r="D15" i="12"/>
  <c r="D12" i="12"/>
  <c r="E13" i="12"/>
  <c r="E15" i="12"/>
  <c r="E16" i="12"/>
  <c r="E12" i="12"/>
  <c r="F13" i="12"/>
  <c r="F15" i="12"/>
  <c r="F16" i="12"/>
  <c r="F17" i="12"/>
  <c r="F12" i="12"/>
  <c r="G13" i="12"/>
  <c r="G15" i="12"/>
  <c r="G16" i="12"/>
  <c r="G17" i="12"/>
  <c r="G18" i="12"/>
  <c r="G12" i="12"/>
  <c r="H13" i="12"/>
  <c r="H15" i="12"/>
  <c r="H16" i="12"/>
  <c r="H17" i="12"/>
  <c r="H18" i="12"/>
  <c r="H19" i="12"/>
  <c r="H12" i="12"/>
  <c r="I13" i="12"/>
  <c r="I15" i="12"/>
  <c r="I16" i="12"/>
  <c r="I17" i="12"/>
  <c r="I18" i="12"/>
  <c r="I19" i="12"/>
  <c r="I20" i="12"/>
  <c r="I12" i="12"/>
  <c r="J13" i="12"/>
  <c r="J15" i="12"/>
  <c r="J16" i="12"/>
  <c r="J17" i="12"/>
  <c r="J18" i="12"/>
  <c r="J19" i="12"/>
  <c r="J20" i="12"/>
  <c r="J21" i="12"/>
  <c r="J12" i="12"/>
  <c r="K13" i="12"/>
  <c r="K15" i="12"/>
  <c r="K16" i="12"/>
  <c r="K17" i="12"/>
  <c r="K18" i="12"/>
  <c r="K19" i="12"/>
  <c r="K20" i="12"/>
  <c r="K21" i="12"/>
  <c r="K22" i="12"/>
  <c r="K12" i="12"/>
  <c r="L13" i="12"/>
  <c r="L15" i="12"/>
  <c r="L16" i="12"/>
  <c r="L17" i="12"/>
  <c r="L18" i="12"/>
  <c r="L19" i="12"/>
  <c r="L20" i="12"/>
  <c r="L21" i="12"/>
  <c r="L22" i="12"/>
  <c r="L23" i="12"/>
  <c r="L12" i="12"/>
  <c r="M13" i="12"/>
  <c r="M15" i="12"/>
  <c r="M16" i="12"/>
  <c r="M17" i="12"/>
  <c r="M18" i="12"/>
  <c r="M19" i="12"/>
  <c r="M20" i="12"/>
  <c r="M21" i="12"/>
  <c r="M22" i="12"/>
  <c r="M23" i="12"/>
  <c r="M24" i="12"/>
  <c r="M12" i="12"/>
  <c r="N12" i="12"/>
  <c r="O25" i="12"/>
  <c r="O12" i="12"/>
  <c r="P25" i="12"/>
  <c r="P26" i="12"/>
  <c r="P12" i="12"/>
  <c r="Q25" i="12"/>
  <c r="Q26" i="12"/>
  <c r="Q27" i="12"/>
  <c r="Q12" i="12"/>
  <c r="R25" i="12"/>
  <c r="R26" i="12"/>
  <c r="R27" i="12"/>
  <c r="R28" i="12"/>
  <c r="R12" i="12"/>
  <c r="S25" i="12"/>
  <c r="S26" i="12"/>
  <c r="S27" i="12"/>
  <c r="S28" i="12"/>
  <c r="S29" i="12"/>
  <c r="S12" i="12"/>
  <c r="T25" i="12"/>
  <c r="T26" i="12"/>
  <c r="T27" i="12"/>
  <c r="T28" i="12"/>
  <c r="T29" i="12"/>
  <c r="T30" i="12"/>
  <c r="T12" i="12"/>
  <c r="U25" i="12"/>
  <c r="U26" i="12"/>
  <c r="U27" i="12"/>
  <c r="U28" i="12"/>
  <c r="U29" i="12"/>
  <c r="U30" i="12"/>
  <c r="U31" i="12"/>
  <c r="U12" i="12"/>
  <c r="V25" i="12"/>
  <c r="V26" i="12"/>
  <c r="V27" i="12"/>
  <c r="V28" i="12"/>
  <c r="V29" i="12"/>
  <c r="V30" i="12"/>
  <c r="V31" i="12"/>
  <c r="V32" i="12"/>
  <c r="V12" i="12"/>
  <c r="W25" i="12"/>
  <c r="W26" i="12"/>
  <c r="W27" i="12"/>
  <c r="W28" i="12"/>
  <c r="W29" i="12"/>
  <c r="W30" i="12"/>
  <c r="W31" i="12"/>
  <c r="W32" i="12"/>
  <c r="W33" i="12"/>
  <c r="W12" i="12"/>
  <c r="X25" i="12"/>
  <c r="X26" i="12"/>
  <c r="X27" i="12"/>
  <c r="X28" i="12"/>
  <c r="X29" i="12"/>
  <c r="X30" i="12"/>
  <c r="X31" i="12"/>
  <c r="X32" i="12"/>
  <c r="X33" i="12"/>
  <c r="X34" i="12"/>
  <c r="X12" i="12"/>
  <c r="Y25" i="12"/>
  <c r="Y26" i="12"/>
  <c r="Y27" i="12"/>
  <c r="Y28" i="12"/>
  <c r="Y29" i="12"/>
  <c r="Y30" i="12"/>
  <c r="Y31" i="12"/>
  <c r="Y32" i="12"/>
  <c r="Y33" i="12"/>
  <c r="Y34" i="12"/>
  <c r="Y35" i="12"/>
  <c r="Y12" i="12"/>
  <c r="Z25" i="12"/>
  <c r="Z26" i="12"/>
  <c r="Z27" i="12"/>
  <c r="Z28" i="12"/>
  <c r="Z29" i="12"/>
  <c r="Z30" i="12"/>
  <c r="Z31" i="12"/>
  <c r="Z32" i="12"/>
  <c r="Z33" i="12"/>
  <c r="Z34" i="12"/>
  <c r="Z35" i="12"/>
  <c r="Z36" i="12"/>
  <c r="Z12" i="12"/>
  <c r="AA12" i="12"/>
  <c r="AB37" i="12"/>
  <c r="AB12" i="12"/>
  <c r="AC37" i="12"/>
  <c r="AC38" i="12"/>
  <c r="AC12" i="12"/>
  <c r="AD37" i="12"/>
  <c r="AD38" i="12"/>
  <c r="AD39" i="12"/>
  <c r="AD12" i="12"/>
  <c r="AE37" i="12"/>
  <c r="AE38" i="12"/>
  <c r="AE39" i="12"/>
  <c r="AE40" i="12"/>
  <c r="AE12" i="12"/>
  <c r="AF37" i="12"/>
  <c r="AF38" i="12"/>
  <c r="AF39" i="12"/>
  <c r="AF40" i="12"/>
  <c r="AF41" i="12"/>
  <c r="AF12" i="12"/>
  <c r="AG37" i="12"/>
  <c r="AG38" i="12"/>
  <c r="AG39" i="12"/>
  <c r="AG40" i="12"/>
  <c r="AG41" i="12"/>
  <c r="AG42" i="12"/>
  <c r="AG12" i="12"/>
  <c r="AH37" i="12"/>
  <c r="AH38" i="12"/>
  <c r="AH39" i="12"/>
  <c r="AH40" i="12"/>
  <c r="AH41" i="12"/>
  <c r="AH42" i="12"/>
  <c r="AH43" i="12"/>
  <c r="AH12" i="12"/>
  <c r="AI37" i="12"/>
  <c r="AI38" i="12"/>
  <c r="AI39" i="12"/>
  <c r="AI40" i="12"/>
  <c r="AI41" i="12"/>
  <c r="AI42" i="12"/>
  <c r="AI43" i="12"/>
  <c r="AI44" i="12"/>
  <c r="AI12" i="12"/>
  <c r="AJ37" i="12"/>
  <c r="AJ38" i="12"/>
  <c r="AJ39" i="12"/>
  <c r="AJ40" i="12"/>
  <c r="AJ41" i="12"/>
  <c r="AJ42" i="12"/>
  <c r="AJ43" i="12"/>
  <c r="AJ44" i="12"/>
  <c r="AJ45" i="12"/>
  <c r="AJ12" i="12"/>
  <c r="AK37" i="12"/>
  <c r="AK38" i="12"/>
  <c r="AK39" i="12"/>
  <c r="AK40" i="12"/>
  <c r="AK41" i="12"/>
  <c r="AK42" i="12"/>
  <c r="AK43" i="12"/>
  <c r="AK44" i="12"/>
  <c r="AK45" i="12"/>
  <c r="AK46" i="12"/>
  <c r="AK12" i="12"/>
  <c r="AL37" i="12"/>
  <c r="AL38" i="12"/>
  <c r="AL39" i="12"/>
  <c r="AL40" i="12"/>
  <c r="AL41" i="12"/>
  <c r="AL42" i="12"/>
  <c r="AL43" i="12"/>
  <c r="AL44" i="12"/>
  <c r="AL45" i="12"/>
  <c r="AL46" i="12"/>
  <c r="AL47" i="12"/>
  <c r="AL12" i="12"/>
  <c r="AM37" i="12"/>
  <c r="AM38" i="12"/>
  <c r="AM39" i="12"/>
  <c r="AM40" i="12"/>
  <c r="AM41" i="12"/>
  <c r="AM42" i="12"/>
  <c r="AM43" i="12"/>
  <c r="AM44" i="12"/>
  <c r="AM45" i="12"/>
  <c r="AM46" i="12"/>
  <c r="AM47" i="12"/>
  <c r="AM48" i="12"/>
  <c r="AM12" i="12"/>
  <c r="AN12" i="12"/>
  <c r="N13" i="12"/>
  <c r="AA13" i="12"/>
  <c r="AN13" i="12"/>
  <c r="N14" i="12"/>
  <c r="AA14" i="12"/>
  <c r="AN14" i="12"/>
  <c r="N15" i="12"/>
  <c r="AA15" i="12"/>
  <c r="AN15" i="12"/>
  <c r="N16" i="12"/>
  <c r="AA16" i="12"/>
  <c r="AN16" i="12"/>
  <c r="N17" i="12"/>
  <c r="AA17" i="12"/>
  <c r="AN17" i="12"/>
  <c r="N18" i="12"/>
  <c r="AA18" i="12"/>
  <c r="AN18" i="12"/>
  <c r="N19" i="12"/>
  <c r="AA19" i="12"/>
  <c r="AN19" i="12"/>
  <c r="N20" i="12"/>
  <c r="AA20" i="12"/>
  <c r="AN20" i="12"/>
  <c r="N21" i="12"/>
  <c r="AA21" i="12"/>
  <c r="AN21" i="12"/>
  <c r="N22" i="12"/>
  <c r="AA22" i="12"/>
  <c r="AN22" i="12"/>
  <c r="N23" i="12"/>
  <c r="AA23" i="12"/>
  <c r="AN23" i="12"/>
  <c r="N24" i="12"/>
  <c r="AA24" i="12"/>
  <c r="AN24" i="12"/>
  <c r="N25" i="12"/>
  <c r="AA25" i="12"/>
  <c r="AN25" i="12"/>
  <c r="N26" i="12"/>
  <c r="AA26" i="12"/>
  <c r="AN26" i="12"/>
  <c r="N27" i="12"/>
  <c r="AA27" i="12"/>
  <c r="AN27" i="12"/>
  <c r="N28" i="12"/>
  <c r="AA28" i="12"/>
  <c r="AN28" i="12"/>
  <c r="N29" i="12"/>
  <c r="AA29" i="12"/>
  <c r="AN29" i="12"/>
  <c r="N30" i="12"/>
  <c r="AA30" i="12"/>
  <c r="AN30" i="12"/>
  <c r="N31" i="12"/>
  <c r="AA31" i="12"/>
  <c r="AN31" i="12"/>
  <c r="N32" i="12"/>
  <c r="AA32" i="12"/>
  <c r="AN32" i="12"/>
  <c r="N33" i="12"/>
  <c r="AA33" i="12"/>
  <c r="AN33" i="12"/>
  <c r="N34" i="12"/>
  <c r="AA34" i="12"/>
  <c r="AN34" i="12"/>
  <c r="N35" i="12"/>
  <c r="AA35" i="12"/>
  <c r="AN35" i="12"/>
  <c r="N36" i="12"/>
  <c r="AA36" i="12"/>
  <c r="AN36" i="12"/>
  <c r="N37" i="12"/>
  <c r="AA37" i="12"/>
  <c r="AN37" i="12"/>
  <c r="N38" i="12"/>
  <c r="AA38" i="12"/>
  <c r="AN38" i="12"/>
  <c r="N39" i="12"/>
  <c r="AA39" i="12"/>
  <c r="AN39" i="12"/>
  <c r="N40" i="12"/>
  <c r="AA40" i="12"/>
  <c r="AN40" i="12"/>
  <c r="N41" i="12"/>
  <c r="AA41" i="12"/>
  <c r="AN41" i="12"/>
  <c r="N42" i="12"/>
  <c r="AA42" i="12"/>
  <c r="AN42" i="12"/>
  <c r="N43" i="12"/>
  <c r="AA43" i="12"/>
  <c r="AN43" i="12"/>
  <c r="N44" i="12"/>
  <c r="AA44" i="12"/>
  <c r="AN44" i="12"/>
  <c r="N45" i="12"/>
  <c r="AA45" i="12"/>
  <c r="AN45" i="12"/>
  <c r="N46" i="12"/>
  <c r="AA46" i="12"/>
  <c r="AN46" i="12"/>
  <c r="N47" i="12"/>
  <c r="AA47" i="12"/>
  <c r="AN47" i="12"/>
  <c r="N48" i="12"/>
  <c r="AA48" i="12"/>
  <c r="AN48" i="12"/>
  <c r="B49" i="12"/>
  <c r="C49" i="12"/>
  <c r="D49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Z49" i="12"/>
  <c r="AA49" i="12"/>
  <c r="AB49" i="12"/>
  <c r="AC49" i="12"/>
  <c r="AD49" i="12"/>
  <c r="AE49" i="12"/>
  <c r="AF49" i="12"/>
  <c r="AG49" i="12"/>
  <c r="AH49" i="12"/>
  <c r="AI49" i="12"/>
  <c r="AJ49" i="12"/>
  <c r="AK49" i="12"/>
  <c r="AL49" i="12"/>
  <c r="AM49" i="12"/>
  <c r="AN49" i="12"/>
  <c r="F51" i="4"/>
  <c r="G51" i="4"/>
  <c r="G67" i="11"/>
  <c r="H51" i="4"/>
  <c r="H67" i="11"/>
  <c r="I51" i="4"/>
  <c r="I67" i="11"/>
  <c r="J51" i="4"/>
  <c r="J67" i="11"/>
  <c r="K51" i="4"/>
  <c r="K67" i="11"/>
  <c r="L51" i="4"/>
  <c r="M51" i="4"/>
  <c r="N51" i="4"/>
  <c r="E51" i="4"/>
  <c r="E50" i="4"/>
  <c r="E48" i="4"/>
  <c r="E45" i="4"/>
  <c r="F45" i="4"/>
  <c r="E43" i="4"/>
  <c r="E42" i="4"/>
  <c r="G37" i="4"/>
  <c r="H37" i="4"/>
  <c r="J37" i="4"/>
  <c r="K37" i="4"/>
  <c r="M37" i="4"/>
  <c r="N37" i="4"/>
  <c r="G39" i="4"/>
  <c r="J39" i="4"/>
  <c r="K39" i="4"/>
  <c r="M39" i="4"/>
  <c r="N39" i="4"/>
  <c r="E39" i="4"/>
  <c r="E37" i="4"/>
  <c r="F26" i="4"/>
  <c r="F25" i="4"/>
  <c r="G25" i="4"/>
  <c r="H25" i="4"/>
  <c r="I25" i="4"/>
  <c r="J25" i="4"/>
  <c r="K25" i="4"/>
  <c r="L25" i="4"/>
  <c r="M25" i="4"/>
  <c r="N25" i="4"/>
  <c r="F24" i="4"/>
  <c r="G24" i="4"/>
  <c r="H24" i="4"/>
  <c r="I24" i="4"/>
  <c r="J24" i="4"/>
  <c r="K24" i="4"/>
  <c r="L24" i="4"/>
  <c r="M24" i="4"/>
  <c r="N24" i="4"/>
  <c r="E24" i="4"/>
  <c r="E25" i="4"/>
  <c r="E27" i="4"/>
  <c r="E28" i="4"/>
  <c r="E29" i="4"/>
  <c r="E30" i="4"/>
  <c r="F23" i="4"/>
  <c r="G23" i="4"/>
  <c r="H23" i="4"/>
  <c r="I23" i="4"/>
  <c r="J23" i="4"/>
  <c r="K23" i="4"/>
  <c r="L23" i="4"/>
  <c r="M23" i="4"/>
  <c r="N23" i="4"/>
  <c r="E23" i="4"/>
  <c r="F18" i="4"/>
  <c r="F19" i="4"/>
  <c r="F21" i="4"/>
  <c r="G18" i="4"/>
  <c r="G19" i="4"/>
  <c r="G21" i="4"/>
  <c r="H18" i="4"/>
  <c r="H19" i="4"/>
  <c r="H21" i="4"/>
  <c r="I18" i="4"/>
  <c r="I19" i="4"/>
  <c r="H20" i="11"/>
  <c r="I20" i="4"/>
  <c r="I21" i="4"/>
  <c r="J18" i="4"/>
  <c r="J19" i="4"/>
  <c r="I20" i="11"/>
  <c r="J20" i="4"/>
  <c r="J21" i="4"/>
  <c r="K18" i="4"/>
  <c r="K19" i="4"/>
  <c r="J20" i="11"/>
  <c r="K20" i="4"/>
  <c r="K21" i="4"/>
  <c r="K20" i="11"/>
  <c r="L20" i="4"/>
  <c r="L20" i="11"/>
  <c r="M20" i="4"/>
  <c r="M20" i="11"/>
  <c r="N20" i="4"/>
  <c r="E19" i="4"/>
  <c r="E21" i="4"/>
  <c r="E18" i="4"/>
  <c r="F20" i="4"/>
  <c r="G20" i="4"/>
  <c r="H20" i="4"/>
  <c r="E20" i="4"/>
  <c r="T11" i="4"/>
  <c r="U11" i="4"/>
  <c r="V11" i="4"/>
  <c r="W11" i="4"/>
  <c r="X11" i="4"/>
  <c r="Y11" i="4"/>
  <c r="Z11" i="4"/>
  <c r="AA11" i="4"/>
  <c r="AB11" i="4"/>
  <c r="AC11" i="4"/>
  <c r="S11" i="4"/>
  <c r="Q16" i="11"/>
  <c r="T10" i="4"/>
  <c r="R16" i="11"/>
  <c r="U10" i="4"/>
  <c r="S16" i="11"/>
  <c r="V10" i="4"/>
  <c r="T16" i="11"/>
  <c r="W10" i="4"/>
  <c r="U16" i="11"/>
  <c r="X10" i="4"/>
  <c r="V16" i="11"/>
  <c r="Y10" i="4"/>
  <c r="W16" i="11"/>
  <c r="Z10" i="4"/>
  <c r="X16" i="11"/>
  <c r="AA10" i="4"/>
  <c r="Y16" i="11"/>
  <c r="AB10" i="4"/>
  <c r="Z16" i="11"/>
  <c r="AC10" i="4"/>
  <c r="P16" i="11"/>
  <c r="S10" i="4"/>
  <c r="S12" i="4"/>
  <c r="T12" i="4"/>
  <c r="U12" i="4"/>
  <c r="V12" i="4"/>
  <c r="W12" i="4"/>
  <c r="X12" i="4"/>
  <c r="Y12" i="4"/>
  <c r="Z12" i="4"/>
  <c r="AA12" i="4"/>
  <c r="AB12" i="4"/>
  <c r="AC12" i="4"/>
  <c r="R12" i="4"/>
  <c r="R11" i="4"/>
  <c r="R10" i="4"/>
  <c r="E11" i="4"/>
  <c r="F11" i="4"/>
  <c r="G11" i="4"/>
  <c r="H11" i="4"/>
  <c r="I11" i="4"/>
  <c r="J11" i="4"/>
  <c r="K11" i="4"/>
  <c r="L11" i="4"/>
  <c r="M11" i="4"/>
  <c r="N11" i="4"/>
  <c r="D11" i="4"/>
  <c r="E10" i="4"/>
  <c r="F10" i="4"/>
  <c r="G10" i="4"/>
  <c r="G16" i="11"/>
  <c r="H10" i="4"/>
  <c r="I10" i="4"/>
  <c r="I16" i="11"/>
  <c r="J10" i="4"/>
  <c r="K10" i="4"/>
  <c r="L10" i="4"/>
  <c r="L16" i="11"/>
  <c r="M10" i="4"/>
  <c r="M16" i="11"/>
  <c r="N10" i="4"/>
  <c r="D10" i="4"/>
  <c r="D12" i="4"/>
  <c r="E12" i="4"/>
  <c r="F12" i="4"/>
  <c r="G12" i="4"/>
  <c r="H12" i="4"/>
  <c r="I12" i="4"/>
  <c r="J12" i="4"/>
  <c r="K12" i="4"/>
  <c r="L12" i="4"/>
  <c r="M12" i="4"/>
  <c r="N12" i="4"/>
  <c r="C12" i="4"/>
  <c r="C46" i="11"/>
  <c r="D59" i="11"/>
  <c r="D46" i="11"/>
  <c r="E59" i="11"/>
  <c r="E46" i="11"/>
  <c r="F59" i="11"/>
  <c r="F46" i="11"/>
  <c r="G59" i="11"/>
  <c r="G46" i="11"/>
  <c r="H59" i="11"/>
  <c r="H46" i="11"/>
  <c r="I59" i="11"/>
  <c r="I46" i="11"/>
  <c r="J59" i="11"/>
  <c r="J46" i="11"/>
  <c r="K59" i="11"/>
  <c r="K46" i="11"/>
  <c r="L59" i="11"/>
  <c r="L46" i="11"/>
  <c r="M59" i="11"/>
  <c r="M46" i="11"/>
  <c r="N59" i="11"/>
  <c r="N46" i="11"/>
  <c r="O46" i="11"/>
  <c r="G15" i="11"/>
  <c r="I15" i="11"/>
  <c r="L15" i="11"/>
  <c r="M15" i="11"/>
  <c r="O15" i="11"/>
  <c r="O68" i="11"/>
  <c r="C7" i="6"/>
  <c r="C6" i="6"/>
  <c r="C5" i="6"/>
  <c r="C19" i="6"/>
  <c r="F19" i="6"/>
  <c r="F12" i="6"/>
  <c r="F5" i="6"/>
  <c r="B21" i="6"/>
  <c r="B9" i="3"/>
  <c r="B7" i="6"/>
  <c r="B6" i="6"/>
  <c r="B5" i="6"/>
  <c r="B38" i="2"/>
  <c r="B12" i="1"/>
  <c r="B5" i="1"/>
  <c r="B6" i="1"/>
  <c r="B7" i="1"/>
  <c r="B10" i="2"/>
  <c r="B9" i="1"/>
  <c r="B17" i="2"/>
  <c r="B10" i="1"/>
  <c r="B8" i="1"/>
  <c r="B11" i="1"/>
  <c r="B13" i="1"/>
  <c r="B40" i="2"/>
  <c r="B14" i="1"/>
  <c r="B15" i="1"/>
  <c r="B19" i="1"/>
  <c r="B21" i="1"/>
  <c r="B25" i="1"/>
  <c r="B31" i="1"/>
  <c r="B33" i="1"/>
  <c r="B21" i="3"/>
  <c r="B8" i="3"/>
  <c r="B11" i="3"/>
  <c r="C13" i="6"/>
  <c r="C12" i="6"/>
  <c r="B13" i="3"/>
  <c r="B22" i="3"/>
  <c r="B19" i="6"/>
  <c r="C22" i="11"/>
  <c r="D22" i="11"/>
  <c r="C23" i="11"/>
  <c r="D23" i="11"/>
  <c r="D19" i="11"/>
  <c r="E22" i="11"/>
  <c r="E23" i="11"/>
  <c r="E19" i="11"/>
  <c r="F22" i="11"/>
  <c r="F23" i="11"/>
  <c r="F19" i="11"/>
  <c r="G22" i="11"/>
  <c r="G23" i="11"/>
  <c r="G19" i="11"/>
  <c r="H22" i="11"/>
  <c r="H23" i="11"/>
  <c r="H19" i="11"/>
  <c r="I22" i="11"/>
  <c r="I23" i="11"/>
  <c r="I19" i="11"/>
  <c r="J22" i="11"/>
  <c r="J23" i="11"/>
  <c r="J19" i="11"/>
  <c r="K22" i="11"/>
  <c r="K23" i="11"/>
  <c r="K19" i="11"/>
  <c r="L22" i="11"/>
  <c r="L23" i="11"/>
  <c r="L19" i="11"/>
  <c r="M22" i="11"/>
  <c r="M23" i="11"/>
  <c r="M19" i="11"/>
  <c r="N22" i="11"/>
  <c r="N23" i="11"/>
  <c r="N19" i="11"/>
  <c r="C19" i="11"/>
  <c r="O8" i="11"/>
  <c r="AB8" i="11"/>
  <c r="AO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N9" i="11"/>
  <c r="AO9" i="11"/>
  <c r="O10" i="11"/>
  <c r="AB10" i="11"/>
  <c r="AO10" i="11"/>
  <c r="O11" i="11"/>
  <c r="AB11" i="11"/>
  <c r="AO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6" i="11"/>
  <c r="AA12" i="11"/>
  <c r="AB12" i="11"/>
  <c r="AC16" i="11"/>
  <c r="AC12" i="11"/>
  <c r="AD16" i="11"/>
  <c r="AD12" i="11"/>
  <c r="AE16" i="11"/>
  <c r="AE12" i="11"/>
  <c r="AF16" i="11"/>
  <c r="AF12" i="11"/>
  <c r="AG16" i="11"/>
  <c r="AG12" i="11"/>
  <c r="AH16" i="11"/>
  <c r="AH12" i="11"/>
  <c r="AI16" i="11"/>
  <c r="AI12" i="11"/>
  <c r="AJ16" i="11"/>
  <c r="AJ12" i="11"/>
  <c r="AK16" i="11"/>
  <c r="AK12" i="11"/>
  <c r="AL16" i="11"/>
  <c r="AL12" i="11"/>
  <c r="AM16" i="11"/>
  <c r="AM12" i="11"/>
  <c r="AN16" i="11"/>
  <c r="AN12" i="11"/>
  <c r="AO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C15" i="11"/>
  <c r="D15" i="11"/>
  <c r="E15" i="11"/>
  <c r="F15" i="11"/>
  <c r="H15" i="11"/>
  <c r="J15" i="11"/>
  <c r="K15" i="11"/>
  <c r="N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6" i="11"/>
  <c r="AO17" i="11"/>
  <c r="O16" i="11"/>
  <c r="AB16" i="11"/>
  <c r="O17" i="11"/>
  <c r="AB17" i="11"/>
  <c r="AB18" i="11"/>
  <c r="O19" i="11"/>
  <c r="AB19" i="11"/>
  <c r="AO19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O22" i="11"/>
  <c r="AB22" i="11"/>
  <c r="AO22" i="11"/>
  <c r="O23" i="11"/>
  <c r="AB23" i="11"/>
  <c r="AO23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AJ32" i="11"/>
  <c r="AK32" i="11"/>
  <c r="AL32" i="11"/>
  <c r="AM32" i="11"/>
  <c r="AN32" i="11"/>
  <c r="AO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Z33" i="11"/>
  <c r="AA33" i="11"/>
  <c r="AB33" i="11"/>
  <c r="AC33" i="11"/>
  <c r="AD33" i="11"/>
  <c r="AE33" i="11"/>
  <c r="AF33" i="11"/>
  <c r="AG33" i="11"/>
  <c r="AH33" i="11"/>
  <c r="AI33" i="11"/>
  <c r="AJ33" i="11"/>
  <c r="AK33" i="11"/>
  <c r="AL33" i="11"/>
  <c r="AM33" i="11"/>
  <c r="AN33" i="11"/>
  <c r="AO33" i="11"/>
  <c r="C35" i="11"/>
  <c r="D41" i="11"/>
  <c r="D35" i="11"/>
  <c r="E41" i="11"/>
  <c r="E35" i="11"/>
  <c r="F41" i="11"/>
  <c r="F35" i="11"/>
  <c r="G41" i="11"/>
  <c r="G35" i="11"/>
  <c r="H41" i="11"/>
  <c r="H35" i="11"/>
  <c r="I41" i="11"/>
  <c r="I35" i="11"/>
  <c r="J41" i="11"/>
  <c r="J35" i="11"/>
  <c r="K41" i="11"/>
  <c r="K35" i="11"/>
  <c r="L41" i="11"/>
  <c r="L35" i="11"/>
  <c r="M41" i="11"/>
  <c r="M35" i="11"/>
  <c r="N41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Z35" i="11"/>
  <c r="AA35" i="11"/>
  <c r="AB35" i="11"/>
  <c r="AC35" i="11"/>
  <c r="AD35" i="11"/>
  <c r="AE35" i="11"/>
  <c r="AF35" i="11"/>
  <c r="AG35" i="11"/>
  <c r="AH35" i="11"/>
  <c r="AI35" i="11"/>
  <c r="AJ35" i="11"/>
  <c r="AK35" i="11"/>
  <c r="AL35" i="11"/>
  <c r="AM35" i="11"/>
  <c r="AN35" i="11"/>
  <c r="AO35" i="11"/>
  <c r="O37" i="11"/>
  <c r="AB37" i="11"/>
  <c r="AO37" i="11"/>
  <c r="O38" i="11"/>
  <c r="AB38" i="11"/>
  <c r="AO38" i="11"/>
  <c r="O40" i="11"/>
  <c r="AB40" i="11"/>
  <c r="AO40" i="11"/>
  <c r="O41" i="11"/>
  <c r="AB41" i="11"/>
  <c r="AO41" i="11"/>
  <c r="O42" i="11"/>
  <c r="AB42" i="11"/>
  <c r="AO42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Z44" i="11"/>
  <c r="AA44" i="11"/>
  <c r="AB44" i="11"/>
  <c r="AC44" i="11"/>
  <c r="AD44" i="11"/>
  <c r="AE44" i="11"/>
  <c r="AF44" i="11"/>
  <c r="AG44" i="11"/>
  <c r="AH44" i="11"/>
  <c r="AI44" i="11"/>
  <c r="AJ44" i="11"/>
  <c r="AK44" i="11"/>
  <c r="AL44" i="11"/>
  <c r="AM44" i="11"/>
  <c r="AN44" i="11"/>
  <c r="AO44" i="11"/>
  <c r="J55" i="11"/>
  <c r="M55" i="11"/>
  <c r="N67" i="11"/>
  <c r="P46" i="11"/>
  <c r="Q46" i="11"/>
  <c r="R46" i="11"/>
  <c r="S46" i="11"/>
  <c r="T46" i="11"/>
  <c r="U46" i="11"/>
  <c r="V46" i="11"/>
  <c r="W46" i="11"/>
  <c r="X46" i="11"/>
  <c r="Y46" i="11"/>
  <c r="Z46" i="11"/>
  <c r="AA46" i="11"/>
  <c r="AB46" i="11"/>
  <c r="AC46" i="11"/>
  <c r="AD46" i="11"/>
  <c r="AE46" i="11"/>
  <c r="AF46" i="11"/>
  <c r="AG46" i="11"/>
  <c r="AH46" i="11"/>
  <c r="AI46" i="11"/>
  <c r="AJ46" i="11"/>
  <c r="AK46" i="11"/>
  <c r="AL46" i="11"/>
  <c r="AM46" i="11"/>
  <c r="AN46" i="11"/>
  <c r="AO46" i="11"/>
  <c r="O59" i="11"/>
  <c r="C68" i="11"/>
  <c r="D68" i="11"/>
  <c r="E68" i="11"/>
  <c r="F68" i="11"/>
  <c r="G68" i="11"/>
  <c r="H68" i="11"/>
  <c r="I68" i="11"/>
  <c r="J68" i="11"/>
  <c r="K68" i="11"/>
  <c r="L68" i="11"/>
  <c r="M68" i="11"/>
  <c r="N68" i="11"/>
  <c r="P68" i="11"/>
  <c r="Q68" i="11"/>
  <c r="R68" i="11"/>
  <c r="S68" i="11"/>
  <c r="T68" i="11"/>
  <c r="U68" i="11"/>
  <c r="V68" i="11"/>
  <c r="W68" i="11"/>
  <c r="X68" i="11"/>
  <c r="Y68" i="11"/>
  <c r="Z68" i="11"/>
  <c r="AA68" i="11"/>
  <c r="AB68" i="11"/>
  <c r="AC68" i="11"/>
  <c r="AD68" i="11"/>
  <c r="AE68" i="11"/>
  <c r="AF68" i="11"/>
  <c r="AG68" i="11"/>
  <c r="AH68" i="11"/>
  <c r="AI68" i="11"/>
  <c r="AJ68" i="11"/>
  <c r="AK68" i="11"/>
  <c r="AL68" i="11"/>
  <c r="AM68" i="11"/>
  <c r="AN68" i="11"/>
  <c r="AO68" i="11"/>
  <c r="C70" i="11"/>
  <c r="D70" i="11"/>
  <c r="E70" i="11"/>
  <c r="F70" i="11"/>
  <c r="G70" i="11"/>
  <c r="H70" i="11"/>
  <c r="I70" i="11"/>
  <c r="J70" i="11"/>
  <c r="K70" i="11"/>
  <c r="L70" i="11"/>
  <c r="M70" i="11"/>
  <c r="N70" i="11"/>
  <c r="O70" i="11"/>
  <c r="AC70" i="11"/>
  <c r="AD70" i="11"/>
  <c r="AE70" i="11"/>
  <c r="AF70" i="11"/>
  <c r="AG70" i="11"/>
  <c r="AH70" i="11"/>
  <c r="AI70" i="11"/>
  <c r="AJ70" i="11"/>
  <c r="AK70" i="11"/>
  <c r="AL70" i="11"/>
  <c r="AM70" i="11"/>
  <c r="AN70" i="11"/>
  <c r="AO70" i="11"/>
  <c r="C72" i="11"/>
  <c r="D72" i="11"/>
  <c r="E72" i="11"/>
  <c r="F72" i="11"/>
  <c r="G72" i="11"/>
  <c r="H72" i="11"/>
  <c r="I72" i="11"/>
  <c r="J72" i="11"/>
  <c r="K72" i="11"/>
  <c r="L72" i="11"/>
  <c r="M72" i="11"/>
  <c r="N72" i="11"/>
  <c r="O72" i="11"/>
  <c r="AC72" i="11"/>
  <c r="AD72" i="11"/>
  <c r="AE72" i="11"/>
  <c r="AF72" i="11"/>
  <c r="AG72" i="11"/>
  <c r="AH72" i="11"/>
  <c r="AI72" i="11"/>
  <c r="AJ72" i="11"/>
  <c r="AK72" i="11"/>
  <c r="AL72" i="11"/>
  <c r="AM72" i="11"/>
  <c r="AN72" i="11"/>
  <c r="AO72" i="11"/>
  <c r="C74" i="11"/>
  <c r="D74" i="11"/>
  <c r="E74" i="11"/>
  <c r="F74" i="11"/>
  <c r="G74" i="11"/>
  <c r="H74" i="11"/>
  <c r="I74" i="11"/>
  <c r="J74" i="11"/>
  <c r="K74" i="11"/>
  <c r="L74" i="11"/>
  <c r="M74" i="11"/>
  <c r="N74" i="11"/>
  <c r="O74" i="11"/>
  <c r="AC74" i="11"/>
  <c r="AD74" i="11"/>
  <c r="AE74" i="11"/>
  <c r="AF74" i="11"/>
  <c r="AG74" i="11"/>
  <c r="AH74" i="11"/>
  <c r="AI74" i="11"/>
  <c r="AJ74" i="11"/>
  <c r="AK74" i="11"/>
  <c r="AL74" i="11"/>
  <c r="AM74" i="11"/>
  <c r="AN74" i="11"/>
  <c r="AO74" i="11"/>
  <c r="C75" i="11"/>
  <c r="D75" i="11"/>
  <c r="E75" i="11"/>
  <c r="F75" i="11"/>
  <c r="G75" i="11"/>
  <c r="H75" i="11"/>
  <c r="I75" i="11"/>
  <c r="J75" i="11"/>
  <c r="K75" i="11"/>
  <c r="L75" i="11"/>
  <c r="M75" i="11"/>
  <c r="N75" i="11"/>
  <c r="O75" i="11"/>
  <c r="P75" i="11"/>
  <c r="Q75" i="11"/>
  <c r="R75" i="11"/>
  <c r="S75" i="11"/>
  <c r="T75" i="11"/>
  <c r="U75" i="11"/>
  <c r="V75" i="11"/>
  <c r="W75" i="11"/>
  <c r="X75" i="11"/>
  <c r="Y75" i="11"/>
  <c r="Z75" i="11"/>
  <c r="AA75" i="11"/>
  <c r="AB75" i="11"/>
  <c r="AC75" i="11"/>
  <c r="AD75" i="11"/>
  <c r="AE75" i="11"/>
  <c r="AF75" i="11"/>
  <c r="AG75" i="11"/>
  <c r="AH75" i="11"/>
  <c r="AI75" i="11"/>
  <c r="AJ75" i="11"/>
  <c r="AK75" i="11"/>
  <c r="AL75" i="11"/>
  <c r="AM75" i="11"/>
  <c r="AN75" i="11"/>
  <c r="AO75" i="11"/>
  <c r="D77" i="11"/>
  <c r="E77" i="11"/>
  <c r="F77" i="11"/>
  <c r="G77" i="11"/>
  <c r="H77" i="11"/>
  <c r="I77" i="11"/>
  <c r="J77" i="11"/>
  <c r="K77" i="11"/>
  <c r="L77" i="11"/>
  <c r="M77" i="11"/>
  <c r="N77" i="11"/>
  <c r="O77" i="11"/>
  <c r="O78" i="11"/>
  <c r="AB78" i="11"/>
  <c r="AO78" i="11"/>
  <c r="C79" i="11"/>
  <c r="D79" i="11"/>
  <c r="E79" i="1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S79" i="11"/>
  <c r="T79" i="11"/>
  <c r="U79" i="11"/>
  <c r="V79" i="11"/>
  <c r="W79" i="11"/>
  <c r="X79" i="11"/>
  <c r="Y79" i="11"/>
  <c r="Z79" i="11"/>
  <c r="AA79" i="11"/>
  <c r="AB79" i="11"/>
  <c r="AC79" i="11"/>
  <c r="AD79" i="11"/>
  <c r="AE79" i="11"/>
  <c r="AF79" i="11"/>
  <c r="AG79" i="11"/>
  <c r="AH79" i="11"/>
  <c r="AI79" i="11"/>
  <c r="AJ79" i="11"/>
  <c r="AK79" i="11"/>
  <c r="AL79" i="11"/>
  <c r="AM79" i="11"/>
  <c r="AN79" i="11"/>
  <c r="AO79" i="11"/>
  <c r="C80" i="11"/>
  <c r="D80" i="11"/>
  <c r="E80" i="11"/>
  <c r="F80" i="11"/>
  <c r="G80" i="11"/>
  <c r="H80" i="11"/>
  <c r="I80" i="11"/>
  <c r="J80" i="11"/>
  <c r="K80" i="11"/>
  <c r="L80" i="11"/>
  <c r="M80" i="11"/>
  <c r="N80" i="11"/>
  <c r="O80" i="11"/>
  <c r="P80" i="11"/>
  <c r="Q80" i="11"/>
  <c r="R80" i="11"/>
  <c r="S80" i="11"/>
  <c r="T80" i="11"/>
  <c r="U80" i="11"/>
  <c r="V80" i="11"/>
  <c r="W80" i="11"/>
  <c r="X80" i="11"/>
  <c r="Y80" i="11"/>
  <c r="Z80" i="11"/>
  <c r="AA80" i="11"/>
  <c r="AB80" i="11"/>
  <c r="AC80" i="11"/>
  <c r="AD80" i="11"/>
  <c r="AE80" i="11"/>
  <c r="AF80" i="11"/>
  <c r="AG80" i="11"/>
  <c r="AH80" i="11"/>
  <c r="AI80" i="11"/>
  <c r="AJ80" i="11"/>
  <c r="AK80" i="11"/>
  <c r="AL80" i="11"/>
  <c r="AM80" i="11"/>
  <c r="AN80" i="11"/>
  <c r="AO80" i="11"/>
  <c r="O81" i="11"/>
  <c r="AB81" i="11"/>
  <c r="AO81" i="11"/>
  <c r="C84" i="11"/>
  <c r="D84" i="11"/>
  <c r="E84" i="11"/>
  <c r="F84" i="11"/>
  <c r="G84" i="11"/>
  <c r="H84" i="11"/>
  <c r="I84" i="11"/>
  <c r="J84" i="11"/>
  <c r="K84" i="11"/>
  <c r="L84" i="11"/>
  <c r="M84" i="11"/>
  <c r="N84" i="11"/>
  <c r="O84" i="11"/>
  <c r="P84" i="11"/>
  <c r="Q84" i="11"/>
  <c r="R84" i="11"/>
  <c r="S84" i="11"/>
  <c r="T84" i="11"/>
  <c r="U84" i="11"/>
  <c r="V84" i="11"/>
  <c r="W84" i="11"/>
  <c r="X84" i="11"/>
  <c r="Y84" i="11"/>
  <c r="Z84" i="11"/>
  <c r="AA84" i="11"/>
  <c r="AB84" i="11"/>
  <c r="AC84" i="11"/>
  <c r="AD84" i="11"/>
  <c r="AE84" i="11"/>
  <c r="AF84" i="11"/>
  <c r="AG84" i="11"/>
  <c r="AH84" i="11"/>
  <c r="AI84" i="11"/>
  <c r="AJ84" i="11"/>
  <c r="AK84" i="11"/>
  <c r="AL84" i="11"/>
  <c r="AM84" i="11"/>
  <c r="AN84" i="11"/>
  <c r="AO84" i="11"/>
  <c r="AI52" i="4"/>
  <c r="AJ52" i="4"/>
  <c r="AK52" i="4"/>
  <c r="AL52" i="4"/>
  <c r="AM52" i="4"/>
  <c r="AN52" i="4"/>
  <c r="AO52" i="4"/>
  <c r="AP52" i="4"/>
  <c r="AQ52" i="4"/>
  <c r="AR52" i="4"/>
  <c r="AH52" i="4"/>
  <c r="AG52" i="4"/>
  <c r="T52" i="4"/>
  <c r="U52" i="4"/>
  <c r="V52" i="4"/>
  <c r="W52" i="4"/>
  <c r="X52" i="4"/>
  <c r="Y52" i="4"/>
  <c r="Z52" i="4"/>
  <c r="AA52" i="4"/>
  <c r="AB52" i="4"/>
  <c r="AC52" i="4"/>
  <c r="S52" i="4"/>
  <c r="H52" i="4"/>
  <c r="I52" i="4"/>
  <c r="J52" i="4"/>
  <c r="K52" i="4"/>
  <c r="L52" i="4"/>
  <c r="M52" i="4"/>
  <c r="N52" i="4"/>
  <c r="G52" i="4"/>
  <c r="D8" i="5"/>
  <c r="C8" i="5"/>
  <c r="B8" i="5"/>
  <c r="E13" i="4"/>
  <c r="D13" i="6"/>
  <c r="D12" i="6"/>
  <c r="C13" i="3"/>
  <c r="E13" i="6"/>
  <c r="E12" i="6"/>
  <c r="D13" i="3"/>
  <c r="C6" i="7"/>
  <c r="D6" i="7"/>
  <c r="D10" i="3"/>
  <c r="C10" i="3"/>
  <c r="B24" i="1"/>
  <c r="C24" i="1"/>
  <c r="D24" i="1"/>
  <c r="C5" i="1"/>
  <c r="D7" i="2"/>
  <c r="D8" i="2"/>
  <c r="C6" i="1"/>
  <c r="D6" i="1"/>
  <c r="C10" i="1"/>
  <c r="C13" i="1"/>
  <c r="D13" i="1"/>
  <c r="C19" i="1"/>
  <c r="D19" i="1"/>
  <c r="B55" i="2"/>
  <c r="C55" i="2"/>
  <c r="D55" i="2"/>
  <c r="B6" i="7"/>
  <c r="B11" i="7"/>
  <c r="D6" i="6"/>
  <c r="E6" i="6"/>
  <c r="D8" i="3"/>
  <c r="D11" i="3"/>
  <c r="C38" i="2"/>
  <c r="C12" i="1"/>
  <c r="D38" i="2"/>
  <c r="D12" i="1"/>
  <c r="B5" i="9"/>
  <c r="C5" i="9"/>
  <c r="D5" i="9"/>
  <c r="B5" i="5"/>
  <c r="C5" i="5"/>
  <c r="C27" i="3"/>
  <c r="D5" i="5"/>
  <c r="D27" i="3"/>
  <c r="B13" i="5"/>
  <c r="B10" i="5"/>
  <c r="B28" i="3"/>
  <c r="C13" i="5"/>
  <c r="C10" i="5"/>
  <c r="C28" i="3"/>
  <c r="D13" i="5"/>
  <c r="D10" i="5"/>
  <c r="D19" i="5"/>
  <c r="B15" i="5"/>
  <c r="C15" i="5"/>
  <c r="D15" i="5"/>
  <c r="B22" i="5"/>
  <c r="B6" i="10"/>
  <c r="B5" i="10"/>
  <c r="C6" i="10"/>
  <c r="D6" i="10"/>
  <c r="B7" i="10"/>
  <c r="C7" i="10"/>
  <c r="D7" i="10"/>
  <c r="B8" i="10"/>
  <c r="C8" i="10"/>
  <c r="C5" i="10"/>
  <c r="D8" i="10"/>
  <c r="C10" i="10"/>
  <c r="C9" i="10"/>
  <c r="B11" i="10"/>
  <c r="B12" i="10"/>
  <c r="C12" i="10"/>
  <c r="D12" i="10"/>
  <c r="C8" i="3"/>
  <c r="C11" i="3"/>
  <c r="B27" i="3"/>
  <c r="B37" i="3"/>
  <c r="C37" i="3"/>
  <c r="D37" i="3"/>
  <c r="C9" i="4"/>
  <c r="E9" i="4"/>
  <c r="F9" i="4"/>
  <c r="G9" i="4"/>
  <c r="H9" i="4"/>
  <c r="I9" i="4"/>
  <c r="J9" i="4"/>
  <c r="J17" i="4"/>
  <c r="J55" i="4"/>
  <c r="L9" i="4"/>
  <c r="N9" i="4"/>
  <c r="R9" i="4"/>
  <c r="S9" i="4"/>
  <c r="T9" i="4"/>
  <c r="U9" i="4"/>
  <c r="V9" i="4"/>
  <c r="X9" i="4"/>
  <c r="Y9" i="4"/>
  <c r="Z9" i="4"/>
  <c r="AA9" i="4"/>
  <c r="AB9" i="4"/>
  <c r="AG9" i="4"/>
  <c r="AH9" i="4"/>
  <c r="AI9" i="4"/>
  <c r="AJ9" i="4"/>
  <c r="AK9" i="4"/>
  <c r="AM9" i="4"/>
  <c r="AN9" i="4"/>
  <c r="AO9" i="4"/>
  <c r="AP9" i="4"/>
  <c r="AQ9" i="4"/>
  <c r="O10" i="4"/>
  <c r="AD10" i="4"/>
  <c r="AS10" i="4"/>
  <c r="O11" i="4"/>
  <c r="AD11" i="4"/>
  <c r="AS11" i="4"/>
  <c r="O12" i="4"/>
  <c r="AD12" i="4"/>
  <c r="AS12" i="4"/>
  <c r="O13" i="4"/>
  <c r="AD13" i="4"/>
  <c r="AS13" i="4"/>
  <c r="O14" i="4"/>
  <c r="AD14" i="4"/>
  <c r="AS14" i="4"/>
  <c r="O15" i="4"/>
  <c r="W9" i="4"/>
  <c r="AS15" i="4"/>
  <c r="K9" i="4"/>
  <c r="M9" i="4"/>
  <c r="AC9" i="4"/>
  <c r="AR9" i="4"/>
  <c r="C17" i="4"/>
  <c r="D17" i="4"/>
  <c r="D55" i="4"/>
  <c r="E17" i="4"/>
  <c r="G17" i="4"/>
  <c r="H17" i="4"/>
  <c r="K17" i="4"/>
  <c r="M17" i="4"/>
  <c r="N17" i="4"/>
  <c r="S17" i="4"/>
  <c r="T17" i="4"/>
  <c r="V17" i="4"/>
  <c r="W17" i="4"/>
  <c r="Y17" i="4"/>
  <c r="Z17" i="4"/>
  <c r="AB17" i="4"/>
  <c r="AB55" i="4"/>
  <c r="AC17" i="4"/>
  <c r="AH17" i="4"/>
  <c r="AI17" i="4"/>
  <c r="AK17" i="4"/>
  <c r="AL17" i="4"/>
  <c r="AN17" i="4"/>
  <c r="AO17" i="4"/>
  <c r="AQ17" i="4"/>
  <c r="AR17" i="4"/>
  <c r="O18" i="4"/>
  <c r="AD18" i="4"/>
  <c r="AS18" i="4"/>
  <c r="O19" i="4"/>
  <c r="AD19" i="4"/>
  <c r="AS19" i="4"/>
  <c r="O20" i="4"/>
  <c r="AD20" i="4"/>
  <c r="AS20" i="4"/>
  <c r="O21" i="4"/>
  <c r="AD21" i="4"/>
  <c r="AS21" i="4"/>
  <c r="F22" i="4"/>
  <c r="I22" i="4"/>
  <c r="I17" i="4"/>
  <c r="L22" i="4"/>
  <c r="L17" i="4"/>
  <c r="R17" i="4"/>
  <c r="U22" i="4"/>
  <c r="U17" i="4"/>
  <c r="X22" i="4"/>
  <c r="X17" i="4"/>
  <c r="AA22" i="4"/>
  <c r="AA17" i="4"/>
  <c r="AG22" i="4"/>
  <c r="AG17" i="4"/>
  <c r="AM17" i="4"/>
  <c r="AP17" i="4"/>
  <c r="O23" i="4"/>
  <c r="AD23" i="4"/>
  <c r="AS23" i="4"/>
  <c r="O24" i="4"/>
  <c r="AD24" i="4"/>
  <c r="AS24" i="4"/>
  <c r="O25" i="4"/>
  <c r="AD25" i="4"/>
  <c r="AS25" i="4"/>
  <c r="O26" i="4"/>
  <c r="AD26" i="4"/>
  <c r="AS26" i="4"/>
  <c r="O27" i="4"/>
  <c r="AD27" i="4"/>
  <c r="AS27" i="4"/>
  <c r="O28" i="4"/>
  <c r="AD28" i="4"/>
  <c r="AS28" i="4"/>
  <c r="O29" i="4"/>
  <c r="AD29" i="4"/>
  <c r="AS29" i="4"/>
  <c r="O30" i="4"/>
  <c r="AD30" i="4"/>
  <c r="AS30" i="4"/>
  <c r="O31" i="4"/>
  <c r="AD31" i="4"/>
  <c r="AS31" i="4"/>
  <c r="O32" i="4"/>
  <c r="AD32" i="4"/>
  <c r="AS32" i="4"/>
  <c r="O33" i="4"/>
  <c r="AD33" i="4"/>
  <c r="AS33" i="4"/>
  <c r="O34" i="4"/>
  <c r="AD34" i="4"/>
  <c r="AS34" i="4"/>
  <c r="O35" i="4"/>
  <c r="AD35" i="4"/>
  <c r="AS35" i="4"/>
  <c r="O36" i="4"/>
  <c r="AD36" i="4"/>
  <c r="AS36" i="4"/>
  <c r="O37" i="4"/>
  <c r="AD37" i="4"/>
  <c r="AS37" i="4"/>
  <c r="O38" i="4"/>
  <c r="AD38" i="4"/>
  <c r="AS38" i="4"/>
  <c r="O39" i="4"/>
  <c r="AD39" i="4"/>
  <c r="AS39" i="4"/>
  <c r="O40" i="4"/>
  <c r="AD40" i="4"/>
  <c r="AS40" i="4"/>
  <c r="O41" i="4"/>
  <c r="AD41" i="4"/>
  <c r="AS41" i="4"/>
  <c r="O42" i="4"/>
  <c r="AD42" i="4"/>
  <c r="AS42" i="4"/>
  <c r="O43" i="4"/>
  <c r="AD43" i="4"/>
  <c r="AS43" i="4"/>
  <c r="O44" i="4"/>
  <c r="AD44" i="4"/>
  <c r="AS44" i="4"/>
  <c r="O45" i="4"/>
  <c r="AD45" i="4"/>
  <c r="AS45" i="4"/>
  <c r="O46" i="4"/>
  <c r="AD46" i="4"/>
  <c r="AS46" i="4"/>
  <c r="O47" i="4"/>
  <c r="AD47" i="4"/>
  <c r="AS47" i="4"/>
  <c r="O48" i="4"/>
  <c r="AD48" i="4"/>
  <c r="AS48" i="4"/>
  <c r="O49" i="4"/>
  <c r="AD49" i="4"/>
  <c r="AS49" i="4"/>
  <c r="O50" i="4"/>
  <c r="AD50" i="4"/>
  <c r="AS50" i="4"/>
  <c r="O51" i="4"/>
  <c r="AD51" i="4"/>
  <c r="AS51" i="4"/>
  <c r="O52" i="4"/>
  <c r="AD52" i="4"/>
  <c r="AS52" i="4"/>
  <c r="O53" i="4"/>
  <c r="AD53" i="4"/>
  <c r="AS53" i="4"/>
  <c r="AD54" i="4"/>
  <c r="D56" i="4"/>
  <c r="C19" i="5"/>
  <c r="C20" i="5"/>
  <c r="C22" i="5"/>
  <c r="C15" i="10"/>
  <c r="D10" i="10"/>
  <c r="D9" i="10"/>
  <c r="D5" i="10"/>
  <c r="B10" i="10"/>
  <c r="B9" i="10"/>
  <c r="B15" i="10"/>
  <c r="D5" i="6"/>
  <c r="D19" i="6"/>
  <c r="E5" i="6"/>
  <c r="E19" i="6"/>
  <c r="D20" i="5"/>
  <c r="D22" i="5"/>
  <c r="B19" i="5"/>
  <c r="D28" i="3"/>
  <c r="D30" i="3"/>
  <c r="D40" i="3"/>
  <c r="AG55" i="4"/>
  <c r="E55" i="4"/>
  <c r="E56" i="4"/>
  <c r="AP55" i="4"/>
  <c r="L55" i="4"/>
  <c r="G55" i="4"/>
  <c r="C30" i="3"/>
  <c r="C40" i="3"/>
  <c r="B30" i="3"/>
  <c r="B40" i="3"/>
  <c r="D5" i="1"/>
  <c r="D7" i="1"/>
  <c r="C7" i="1"/>
  <c r="D14" i="1"/>
  <c r="C9" i="1"/>
  <c r="C8" i="1"/>
  <c r="C11" i="1"/>
  <c r="D10" i="1"/>
  <c r="D9" i="1"/>
  <c r="D8" i="1"/>
  <c r="D11" i="1"/>
  <c r="C40" i="2"/>
  <c r="C14" i="1"/>
  <c r="B9" i="2"/>
  <c r="C7" i="2"/>
  <c r="B7" i="2"/>
  <c r="T55" i="4"/>
  <c r="Y55" i="4"/>
  <c r="N55" i="4"/>
  <c r="AO55" i="4"/>
  <c r="R55" i="4"/>
  <c r="AN55" i="4"/>
  <c r="C55" i="4"/>
  <c r="X55" i="4"/>
  <c r="AS16" i="4"/>
  <c r="AM55" i="4"/>
  <c r="Z55" i="4"/>
  <c r="W55" i="4"/>
  <c r="AI55" i="4"/>
  <c r="V55" i="4"/>
  <c r="AQ55" i="4"/>
  <c r="AH55" i="4"/>
  <c r="O22" i="4"/>
  <c r="AR55" i="4"/>
  <c r="AD16" i="4"/>
  <c r="H55" i="4"/>
  <c r="AC55" i="4"/>
  <c r="M55" i="4"/>
  <c r="K55" i="4"/>
  <c r="I55" i="4"/>
  <c r="AD9" i="4"/>
  <c r="AA55" i="4"/>
  <c r="AD17" i="4"/>
  <c r="U55" i="4"/>
  <c r="AD22" i="4"/>
  <c r="AD15" i="4"/>
  <c r="AL9" i="4"/>
  <c r="AL55" i="4"/>
  <c r="F17" i="4"/>
  <c r="O16" i="4"/>
  <c r="O9" i="4"/>
  <c r="S55" i="4"/>
  <c r="AK55" i="4"/>
  <c r="AS22" i="4"/>
  <c r="AJ17" i="4"/>
  <c r="AJ55" i="4"/>
  <c r="C15" i="1"/>
  <c r="C21" i="1"/>
  <c r="C25" i="1"/>
  <c r="C31" i="1"/>
  <c r="C33" i="1"/>
  <c r="C21" i="3"/>
  <c r="C22" i="3"/>
  <c r="C42" i="3"/>
  <c r="D15" i="1"/>
  <c r="D21" i="1"/>
  <c r="D25" i="1"/>
  <c r="D31" i="1"/>
  <c r="D33" i="1"/>
  <c r="D21" i="3"/>
  <c r="D22" i="3"/>
  <c r="D42" i="3"/>
  <c r="B42" i="3"/>
  <c r="D15" i="10"/>
  <c r="D37" i="2"/>
  <c r="D46" i="2"/>
  <c r="D52" i="2"/>
  <c r="D56" i="2"/>
  <c r="D62" i="2"/>
  <c r="D64" i="2"/>
  <c r="B8" i="2"/>
  <c r="B37" i="2"/>
  <c r="B46" i="2"/>
  <c r="B52" i="2"/>
  <c r="B56" i="2"/>
  <c r="B62" i="2"/>
  <c r="B64" i="2"/>
  <c r="C37" i="2"/>
  <c r="C46" i="2"/>
  <c r="C52" i="2"/>
  <c r="C56" i="2"/>
  <c r="C62" i="2"/>
  <c r="C64" i="2"/>
  <c r="C8" i="2"/>
  <c r="AD55" i="4"/>
  <c r="AS9" i="4"/>
  <c r="F55" i="4"/>
  <c r="F56" i="4"/>
  <c r="G56" i="4"/>
  <c r="H56" i="4"/>
  <c r="I56" i="4"/>
  <c r="J56" i="4"/>
  <c r="K56" i="4"/>
  <c r="L56" i="4"/>
  <c r="M56" i="4"/>
  <c r="N56" i="4"/>
  <c r="R56" i="4"/>
  <c r="S56" i="4"/>
  <c r="T56" i="4"/>
  <c r="U56" i="4"/>
  <c r="V56" i="4"/>
  <c r="W56" i="4"/>
  <c r="X56" i="4"/>
  <c r="Y56" i="4"/>
  <c r="Z56" i="4"/>
  <c r="AA56" i="4"/>
  <c r="AB56" i="4"/>
  <c r="AC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O17" i="4"/>
  <c r="O55" i="4"/>
  <c r="AS17" i="4"/>
  <c r="AS55" i="4"/>
</calcChain>
</file>

<file path=xl/comments1.xml><?xml version="1.0" encoding="utf-8"?>
<comments xmlns="http://schemas.openxmlformats.org/spreadsheetml/2006/main">
  <authors>
    <author>Alain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Alain:</t>
        </r>
        <r>
          <rPr>
            <sz val="9"/>
            <color indexed="81"/>
            <rFont val="Tahoma"/>
            <family val="2"/>
          </rPr>
          <t xml:space="preserve">
wiseed 85800 et 32100 leko invest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Alain:</t>
        </r>
        <r>
          <rPr>
            <sz val="9"/>
            <color indexed="81"/>
            <rFont val="Tahoma"/>
            <family val="2"/>
          </rPr>
          <t xml:space="preserve">
Alain:
270 leko invest et 113 wiseed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13" authorId="0">
      <text>
        <r>
          <rPr>
            <sz val="9"/>
            <color indexed="81"/>
            <rFont val="Tahoma"/>
            <family val="2"/>
          </rPr>
          <t>Alain:
wiseed</t>
        </r>
      </text>
    </comment>
    <comment ref="W15" authorId="0">
      <text>
        <r>
          <rPr>
            <sz val="9"/>
            <color indexed="81"/>
            <rFont val="Tahoma"/>
            <family val="2"/>
          </rPr>
          <t>Alain:
CIR et cifre anéée 1+AMI 18000</t>
        </r>
      </text>
    </comment>
    <comment ref="AL15" authorId="0">
      <text>
        <r>
          <rPr>
            <sz val="9"/>
            <color indexed="81"/>
            <rFont val="Tahoma"/>
            <family val="2"/>
          </rPr>
          <t xml:space="preserve">Alain:
cifre cir </t>
        </r>
      </text>
    </comment>
    <comment ref="D56" authorId="0">
      <text>
        <r>
          <rPr>
            <sz val="9"/>
            <color indexed="81"/>
            <rFont val="Tahoma"/>
            <family val="2"/>
          </rPr>
          <t>Alain:
reel</t>
        </r>
      </text>
    </comment>
  </commentList>
</comments>
</file>

<file path=xl/comments3.xml><?xml version="1.0" encoding="utf-8"?>
<comments xmlns="http://schemas.openxmlformats.org/spreadsheetml/2006/main">
  <authors>
    <author>Alain</author>
  </authors>
  <commentList>
    <comment ref="D28" authorId="0">
      <text>
        <r>
          <rPr>
            <b/>
            <sz val="9"/>
            <color indexed="81"/>
            <rFont val="Tahoma"/>
            <family val="2"/>
          </rPr>
          <t>Alain:</t>
        </r>
        <r>
          <rPr>
            <sz val="9"/>
            <color indexed="81"/>
            <rFont val="Tahoma"/>
            <family val="2"/>
          </rPr>
          <t xml:space="preserve">
1200 fevrier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Alain:</t>
        </r>
        <r>
          <rPr>
            <sz val="9"/>
            <color indexed="81"/>
            <rFont val="Tahoma"/>
            <family val="2"/>
          </rPr>
          <t xml:space="preserve">
+ stgiare</t>
        </r>
      </text>
    </comment>
    <comment ref="E60" authorId="0">
      <text>
        <r>
          <rPr>
            <b/>
            <sz val="9"/>
            <color indexed="81"/>
            <rFont val="Tahoma"/>
            <family val="2"/>
          </rPr>
          <t>Alain:</t>
        </r>
        <r>
          <rPr>
            <sz val="9"/>
            <color indexed="81"/>
            <rFont val="Tahoma"/>
            <family val="2"/>
          </rPr>
          <t xml:space="preserve">
voir les dates</t>
        </r>
      </text>
    </comment>
    <comment ref="F61" authorId="0">
      <text>
        <r>
          <rPr>
            <b/>
            <sz val="9"/>
            <color indexed="81"/>
            <rFont val="Tahoma"/>
            <family val="2"/>
          </rPr>
          <t>Alain:</t>
        </r>
        <r>
          <rPr>
            <sz val="9"/>
            <color indexed="81"/>
            <rFont val="Tahoma"/>
            <family val="2"/>
          </rPr>
          <t xml:space="preserve">
recaler </t>
        </r>
      </text>
    </comment>
  </commentList>
</comments>
</file>

<file path=xl/sharedStrings.xml><?xml version="1.0" encoding="utf-8"?>
<sst xmlns="http://schemas.openxmlformats.org/spreadsheetml/2006/main" count="428" uniqueCount="247">
  <si>
    <t>Compte de résultat synthétique</t>
  </si>
  <si>
    <t>Designation</t>
  </si>
  <si>
    <t xml:space="preserve">Ventes </t>
  </si>
  <si>
    <t>Achats consommés</t>
  </si>
  <si>
    <t>Marge globale</t>
  </si>
  <si>
    <t>Consommations intermédiaires</t>
  </si>
  <si>
    <t xml:space="preserve">  Fournitures consommables</t>
  </si>
  <si>
    <t xml:space="preserve">  Services extérieurs</t>
  </si>
  <si>
    <t>Valeur ajoutée</t>
  </si>
  <si>
    <t>Impôts et taxes</t>
  </si>
  <si>
    <t>Charges de personnel</t>
  </si>
  <si>
    <t>Excédent brut d'exploitation</t>
  </si>
  <si>
    <t>Résultat d'exploitation</t>
  </si>
  <si>
    <t>Résultat courant</t>
  </si>
  <si>
    <t>Résultat de l'exercice</t>
  </si>
  <si>
    <t>Capacité d'autofinancement</t>
  </si>
  <si>
    <t>Compte de résultat détaillé Négoce</t>
  </si>
  <si>
    <t xml:space="preserve">    Eau, gaz, chauffage</t>
  </si>
  <si>
    <t xml:space="preserve">    Electricité</t>
  </si>
  <si>
    <t xml:space="preserve">    Carburant</t>
  </si>
  <si>
    <t xml:space="preserve">    Produits d'entretien</t>
  </si>
  <si>
    <t xml:space="preserve">    Petit outillage</t>
  </si>
  <si>
    <t xml:space="preserve">    Fournitures de bureau</t>
  </si>
  <si>
    <t xml:space="preserve">    Locations immobilières</t>
  </si>
  <si>
    <t xml:space="preserve">    Entretien et réparations</t>
  </si>
  <si>
    <t xml:space="preserve">    Maintenance</t>
  </si>
  <si>
    <t xml:space="preserve">    Assurances</t>
  </si>
  <si>
    <t xml:space="preserve">    Documentation</t>
  </si>
  <si>
    <t xml:space="preserve">    Honoraires expert comptable</t>
  </si>
  <si>
    <t xml:space="preserve">    Honoraires CAC</t>
  </si>
  <si>
    <t xml:space="preserve">    Honoraires juridiques</t>
  </si>
  <si>
    <t xml:space="preserve">    honoraires </t>
  </si>
  <si>
    <t xml:space="preserve">    Marketing-SEO/SEA</t>
  </si>
  <si>
    <t xml:space="preserve">    Marketing-publicite</t>
  </si>
  <si>
    <t xml:space="preserve">    Marketing-salons</t>
  </si>
  <si>
    <t xml:space="preserve">    Marketing -relations presse</t>
  </si>
  <si>
    <t xml:space="preserve">    Déplacements</t>
  </si>
  <si>
    <t xml:space="preserve">    Affranchissements</t>
  </si>
  <si>
    <t xml:space="preserve">    Téléphone</t>
  </si>
  <si>
    <t xml:space="preserve">    Services bancaires</t>
  </si>
  <si>
    <t xml:space="preserve">  Capital</t>
  </si>
  <si>
    <t xml:space="preserve">  Comptes courants</t>
  </si>
  <si>
    <t xml:space="preserve">  Primes et subventions</t>
  </si>
  <si>
    <t xml:space="preserve">  Organismes financiers</t>
  </si>
  <si>
    <t xml:space="preserve">  Réserves de participation</t>
  </si>
  <si>
    <t xml:space="preserve">  Cessions d'immobilisations</t>
  </si>
  <si>
    <t xml:space="preserve">  Remboursement d'immobilisations financières</t>
  </si>
  <si>
    <t>Total des ressources</t>
  </si>
  <si>
    <t xml:space="preserve">  Immobilisations incorporelles</t>
  </si>
  <si>
    <t xml:space="preserve">  Immobilisations corporelles</t>
  </si>
  <si>
    <t xml:space="preserve">  Immobilisations financières</t>
  </si>
  <si>
    <t>Charges à répartir</t>
  </si>
  <si>
    <t xml:space="preserve">  Echéances d'emprunts</t>
  </si>
  <si>
    <t xml:space="preserve">  Remboursements de comptes courants</t>
  </si>
  <si>
    <t xml:space="preserve">  Déblocages de participation</t>
  </si>
  <si>
    <t>Dividendes distribués</t>
  </si>
  <si>
    <t>Total des emplois</t>
  </si>
  <si>
    <t>Variation FR</t>
  </si>
  <si>
    <t>FY 2016</t>
  </si>
  <si>
    <t>FY 2017</t>
  </si>
  <si>
    <t>FY 2018</t>
  </si>
  <si>
    <t>Total Cash-in</t>
  </si>
  <si>
    <t>CA HT hors Transport</t>
  </si>
  <si>
    <t>CA HT Transport</t>
  </si>
  <si>
    <t>TVA</t>
  </si>
  <si>
    <t>Capital</t>
  </si>
  <si>
    <t>Comptes courants</t>
  </si>
  <si>
    <t>Primes et subventions</t>
  </si>
  <si>
    <t>Emprunts</t>
  </si>
  <si>
    <t>Total Cash-out</t>
  </si>
  <si>
    <t xml:space="preserve">  Développement - frais Eric Denoual</t>
  </si>
  <si>
    <t xml:space="preserve">marketing acquisition </t>
  </si>
  <si>
    <t>Achat de marchandises / CA HT</t>
  </si>
  <si>
    <t>TVA / achats</t>
  </si>
  <si>
    <t>TVA versée/récupérée</t>
  </si>
  <si>
    <t>Gross Salaries</t>
  </si>
  <si>
    <t>Gross Bonus</t>
  </si>
  <si>
    <t>Indemnités</t>
  </si>
  <si>
    <t>charges</t>
  </si>
  <si>
    <t>Social Contributions Bonus</t>
  </si>
  <si>
    <t>Mutuelle</t>
  </si>
  <si>
    <t>Prévoyance</t>
  </si>
  <si>
    <t>medecine du travail</t>
  </si>
  <si>
    <t xml:space="preserve">  Carburant</t>
  </si>
  <si>
    <t xml:space="preserve">  Produits d'entretien</t>
  </si>
  <si>
    <t xml:space="preserve">  Petit outillage</t>
  </si>
  <si>
    <t xml:space="preserve">  Fournitures de bureau</t>
  </si>
  <si>
    <t xml:space="preserve">  Locations bureaux</t>
  </si>
  <si>
    <t xml:space="preserve">  Loyers véhicules</t>
  </si>
  <si>
    <t xml:space="preserve">  Loyers matériel de bureau</t>
  </si>
  <si>
    <t xml:space="preserve">  Entretien et réparations</t>
  </si>
  <si>
    <t xml:space="preserve">  Maintenance</t>
  </si>
  <si>
    <t xml:space="preserve">  Assurances</t>
  </si>
  <si>
    <t xml:space="preserve">  Documentation</t>
  </si>
  <si>
    <t xml:space="preserve">  Honoraires expert comptable</t>
  </si>
  <si>
    <t xml:space="preserve">  Honoraires CAC</t>
  </si>
  <si>
    <t xml:space="preserve">  Honoraires juridiques</t>
  </si>
  <si>
    <t xml:space="preserve">  Management fees FX </t>
  </si>
  <si>
    <t xml:space="preserve"> honoraires conseil</t>
  </si>
  <si>
    <t xml:space="preserve">  Déplacements dirigeants</t>
  </si>
  <si>
    <t xml:space="preserve">  Affranchissements</t>
  </si>
  <si>
    <t xml:space="preserve">  Téléphone - internet </t>
  </si>
  <si>
    <t xml:space="preserve">  Services bancaires</t>
  </si>
  <si>
    <t>Taxes (CVAE, CFE)</t>
  </si>
  <si>
    <t>investissement</t>
  </si>
  <si>
    <t>TVA / Achats Indirects</t>
  </si>
  <si>
    <t>Cash in/out</t>
  </si>
  <si>
    <t>cumul treso</t>
  </si>
  <si>
    <t>réel</t>
  </si>
  <si>
    <t>Investissements</t>
  </si>
  <si>
    <t>Immobilisations incorporelles</t>
  </si>
  <si>
    <t xml:space="preserve">  Production immobilisée</t>
  </si>
  <si>
    <t xml:space="preserve">  Frais d'établissement</t>
  </si>
  <si>
    <t xml:space="preserve">  Frais de recherche et développement</t>
  </si>
  <si>
    <t xml:space="preserve">  Frais marketing et internet</t>
  </si>
  <si>
    <t>Immobilisations corporelles</t>
  </si>
  <si>
    <t xml:space="preserve">  CONSTRUCTIONS</t>
  </si>
  <si>
    <t xml:space="preserve">    Agencements Leko Factory </t>
  </si>
  <si>
    <t xml:space="preserve">  INSTALLATIONS TECHNIQUES</t>
  </si>
  <si>
    <t xml:space="preserve">    Outillage Chantiers</t>
  </si>
  <si>
    <t xml:space="preserve">  AUTRES IMMOBILISATIONS CORPORELLES</t>
  </si>
  <si>
    <t xml:space="preserve">    Agencements divers</t>
  </si>
  <si>
    <t xml:space="preserve">    Matériel de bureau et informatique</t>
  </si>
  <si>
    <t>Immobilisations financières</t>
  </si>
  <si>
    <t>Investissements à réaliser</t>
  </si>
  <si>
    <t>Immobilisations de l'exercice précédent</t>
  </si>
  <si>
    <t>Immobilisations cédées</t>
  </si>
  <si>
    <t>Immobilisations</t>
  </si>
  <si>
    <t>Capitaux propres</t>
  </si>
  <si>
    <t xml:space="preserve">    Augmntation de capital leko invest wiseed</t>
  </si>
  <si>
    <t xml:space="preserve">  Augmentation de comptes courants</t>
  </si>
  <si>
    <t xml:space="preserve">  Remboursement de comptes courants</t>
  </si>
  <si>
    <t xml:space="preserve">    Subventions d'investissements envisagées</t>
  </si>
  <si>
    <t xml:space="preserve">  Emprunt 1 et 2</t>
  </si>
  <si>
    <t>Cessions d'immobilisations</t>
  </si>
  <si>
    <t xml:space="preserve">  Rbt immobilisations financières</t>
  </si>
  <si>
    <t>Total des financements</t>
  </si>
  <si>
    <t xml:space="preserve">  Machines ossature bois</t>
  </si>
  <si>
    <t xml:space="preserve">  Robotisation Chaine production</t>
  </si>
  <si>
    <t>Echéances d'emprunt</t>
  </si>
  <si>
    <t xml:space="preserve">  Emprunts</t>
  </si>
  <si>
    <t xml:space="preserve">    Emprunt 1 bpi rbt 2020</t>
  </si>
  <si>
    <t xml:space="preserve">  Emprunts existants</t>
  </si>
  <si>
    <t>Capital remboursé</t>
  </si>
  <si>
    <t xml:space="preserve">    Emprunt 2 bpi rbt 2020</t>
  </si>
  <si>
    <t>Charges d'intérêts</t>
  </si>
  <si>
    <t xml:space="preserve">    Emprunt 1</t>
  </si>
  <si>
    <t>2017</t>
  </si>
  <si>
    <t>2018</t>
  </si>
  <si>
    <t xml:space="preserve">  Taxe d'apprentissage</t>
  </si>
  <si>
    <t xml:space="preserve">  Formation continue</t>
  </si>
  <si>
    <t xml:space="preserve">  Contribution économique territoriale</t>
  </si>
  <si>
    <t xml:space="preserve">  Divers</t>
  </si>
  <si>
    <t xml:space="preserve">  Gael</t>
  </si>
  <si>
    <t xml:space="preserve">  R &amp; D - CWT</t>
  </si>
  <si>
    <t>Charges sociales patronales</t>
  </si>
  <si>
    <t>Autres charges de personnel</t>
  </si>
  <si>
    <t xml:space="preserve">  FX fees</t>
  </si>
  <si>
    <t xml:space="preserve">  Subventions d'exploitation cwt </t>
  </si>
  <si>
    <t xml:space="preserve">  Impôts et taxes</t>
  </si>
  <si>
    <t xml:space="preserve">  Charges de personnel</t>
  </si>
  <si>
    <t xml:space="preserve">    Charges sociales patronales</t>
  </si>
  <si>
    <t xml:space="preserve">    Rémunération dirigeant</t>
  </si>
  <si>
    <t xml:space="preserve">    Charges sociales dirigeant</t>
  </si>
  <si>
    <t xml:space="preserve">  Reprises sur provisions + Transferts de charges</t>
  </si>
  <si>
    <t xml:space="preserve">  Autres produits</t>
  </si>
  <si>
    <t xml:space="preserve">  Autres charges</t>
  </si>
  <si>
    <t xml:space="preserve">  Dotations aux amortissements</t>
  </si>
  <si>
    <t xml:space="preserve">  Dotations aux provisions</t>
  </si>
  <si>
    <t xml:space="preserve">  Produits financiers</t>
  </si>
  <si>
    <t xml:space="preserve">  Charges financières</t>
  </si>
  <si>
    <t xml:space="preserve">  Résultat financier</t>
  </si>
  <si>
    <t xml:space="preserve">  Produits exceptionnels</t>
  </si>
  <si>
    <t xml:space="preserve">  Charges exceptionnelles</t>
  </si>
  <si>
    <t xml:space="preserve">  Résultat exceptionnel</t>
  </si>
  <si>
    <t xml:space="preserve">  Participation des salariés</t>
  </si>
  <si>
    <t xml:space="preserve">  Impôt société</t>
  </si>
  <si>
    <t xml:space="preserve">  Subventions d'exploitation</t>
  </si>
  <si>
    <t>Capitaux empruntés</t>
  </si>
  <si>
    <t>Autres financements</t>
  </si>
  <si>
    <t>Ressources</t>
  </si>
  <si>
    <t>Emplois</t>
  </si>
  <si>
    <t>Acquisitions</t>
  </si>
  <si>
    <t>Remboursements</t>
  </si>
  <si>
    <t xml:space="preserve">Crédits-bails </t>
  </si>
  <si>
    <t xml:space="preserve">    Apporteur d'affaires Eric Denoual</t>
  </si>
  <si>
    <t xml:space="preserve">  Honoraires conseil</t>
  </si>
  <si>
    <t>Trésorerie 2016</t>
  </si>
  <si>
    <t>Trésorerie 2017</t>
  </si>
  <si>
    <t>Trésorerie 2018</t>
  </si>
  <si>
    <t xml:space="preserve">    Autres charges de personnel - FX</t>
  </si>
  <si>
    <t>Ventes</t>
  </si>
  <si>
    <t>Désignation</t>
  </si>
  <si>
    <t>Salaires nets</t>
  </si>
  <si>
    <t xml:space="preserve">  Médecine du travail </t>
  </si>
  <si>
    <t>Net Income</t>
  </si>
  <si>
    <t>Financial Gain or Loss</t>
  </si>
  <si>
    <t>Taxes @ 15%</t>
  </si>
  <si>
    <t>Taxes @ 33%</t>
  </si>
  <si>
    <t>EBIT</t>
  </si>
  <si>
    <t>Amortissement</t>
  </si>
  <si>
    <t>Dépréciation</t>
  </si>
  <si>
    <t>Autres Taxes</t>
  </si>
  <si>
    <t>EBITDA%</t>
  </si>
  <si>
    <t>EBITDA</t>
  </si>
  <si>
    <t>Total Costs</t>
  </si>
  <si>
    <t>Overhead + staffing</t>
  </si>
  <si>
    <t>Overhead / CA HT</t>
  </si>
  <si>
    <t xml:space="preserve">  Management fees FX et Gael</t>
  </si>
  <si>
    <t>Overheads</t>
  </si>
  <si>
    <t>Staffing / CA HT</t>
  </si>
  <si>
    <t>Salaires net</t>
  </si>
  <si>
    <t>Staffing Costs</t>
  </si>
  <si>
    <t xml:space="preserve">  Marketing - maintenance site internet</t>
  </si>
  <si>
    <t xml:space="preserve">  Marketing - publipostage</t>
  </si>
  <si>
    <t xml:space="preserve">  Marketing - relations presse</t>
  </si>
  <si>
    <t xml:space="preserve">  Marketing - events/roadshow</t>
  </si>
  <si>
    <t xml:space="preserve">  Marketing - matériel commercial</t>
  </si>
  <si>
    <t xml:space="preserve">  Marketing - community management</t>
  </si>
  <si>
    <t xml:space="preserve">  Marketing - Sandra Skzryerbak</t>
  </si>
  <si>
    <t xml:space="preserve">  Développement - intéressement sur les ventes</t>
  </si>
  <si>
    <t xml:space="preserve">  Développement - frais opérations commerciales</t>
  </si>
  <si>
    <t>Cost Of Sale</t>
  </si>
  <si>
    <t>Revenu Net</t>
  </si>
  <si>
    <t>Promotions % CA Brut HT</t>
  </si>
  <si>
    <t>Promotions</t>
  </si>
  <si>
    <t>CA Brut HT Transport</t>
  </si>
  <si>
    <t>CA developpé HT</t>
  </si>
  <si>
    <t>Revenu Brut</t>
  </si>
  <si>
    <t>nbre transactions</t>
  </si>
  <si>
    <t>Leko : Compte de Résultat</t>
  </si>
  <si>
    <t>Tableau de financement des exercices 2016/17/18</t>
  </si>
  <si>
    <t>28000</t>
  </si>
  <si>
    <t>30000</t>
  </si>
  <si>
    <t xml:space="preserve">  Primes et subventions bpi</t>
  </si>
  <si>
    <t>Solde trésorerie 31/12/2015</t>
  </si>
  <si>
    <t>18000</t>
  </si>
  <si>
    <t>Financement global</t>
  </si>
  <si>
    <t xml:space="preserve">  Vehicules </t>
  </si>
  <si>
    <t>Total</t>
  </si>
  <si>
    <t>frais d'établissment</t>
  </si>
  <si>
    <t>cpu</t>
  </si>
  <si>
    <t>laboratoire vwt</t>
  </si>
  <si>
    <t>leko :  Investissements et amortissements</t>
  </si>
  <si>
    <t>location vehicules</t>
  </si>
  <si>
    <t xml:space="preserve">    Salaires </t>
  </si>
  <si>
    <t>subvention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</si>
</sst>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2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b/>
      <sz val="16"/>
      <color indexed="63"/>
      <name val="Comic Sans MS"/>
      <family val="4"/>
    </font>
    <font>
      <sz val="16"/>
      <color indexed="8"/>
      <name val="Comic Sans MS"/>
      <family val="4"/>
    </font>
    <font>
      <sz val="11"/>
      <color indexed="8"/>
      <name val="Comic Sans MS"/>
      <family val="4"/>
    </font>
    <font>
      <sz val="9"/>
      <color indexed="81"/>
      <name val="Tahoma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i/>
      <sz val="10"/>
      <color theme="8" tint="-0.249977111117893"/>
      <name val="Arial"/>
      <family val="2"/>
    </font>
    <font>
      <b/>
      <sz val="11"/>
      <color rgb="FF002060"/>
      <name val="Arial"/>
      <family val="2"/>
    </font>
    <font>
      <b/>
      <sz val="14"/>
      <color rgb="FF002060"/>
      <name val="Arial"/>
      <family val="2"/>
    </font>
    <font>
      <i/>
      <sz val="10"/>
      <color theme="9" tint="-0.499984740745262"/>
      <name val="Arial"/>
      <family val="2"/>
    </font>
    <font>
      <sz val="10"/>
      <color theme="8" tint="-0.249977111117893"/>
      <name val="Arial"/>
      <family val="2"/>
    </font>
    <font>
      <b/>
      <u/>
      <sz val="10"/>
      <color rgb="FF002060"/>
      <name val="Arial"/>
      <family val="2"/>
    </font>
    <font>
      <sz val="11"/>
      <color rgb="FF002060"/>
      <name val="Calibri"/>
      <family val="2"/>
    </font>
    <font>
      <b/>
      <sz val="11"/>
      <color rgb="FF002060"/>
      <name val="Calibri"/>
      <family val="2"/>
    </font>
    <font>
      <b/>
      <i/>
      <sz val="10"/>
      <color theme="9" tint="-0.499984740745262"/>
      <name val="Arial"/>
      <family val="2"/>
    </font>
    <font>
      <b/>
      <sz val="14"/>
      <color theme="8" tint="-0.249977111117893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6"/>
      <color indexed="63"/>
      <name val="Arial"/>
      <family val="2"/>
    </font>
    <font>
      <sz val="16"/>
      <color indexed="8"/>
      <name val="Arial"/>
      <family val="2"/>
    </font>
    <font>
      <sz val="11"/>
      <color indexed="8"/>
      <name val="Arial"/>
      <family val="2"/>
    </font>
    <font>
      <sz val="11"/>
      <color rgb="FF002060"/>
      <name val="Arial"/>
      <family val="2"/>
    </font>
    <font>
      <i/>
      <sz val="10"/>
      <color rgb="FF0432FF"/>
      <name val="Arial"/>
      <family val="2"/>
    </font>
    <font>
      <b/>
      <sz val="10"/>
      <color rgb="FF0432FF"/>
      <name val="Arial"/>
      <family val="2"/>
    </font>
    <font>
      <b/>
      <sz val="18"/>
      <color theme="1"/>
      <name val="Arial"/>
      <family val="2"/>
    </font>
    <font>
      <sz val="10"/>
      <color rgb="FF0432FF"/>
      <name val="Arial"/>
      <family val="2"/>
    </font>
    <font>
      <b/>
      <sz val="18"/>
      <color rgb="FF002060"/>
      <name val="Arial"/>
      <family val="2"/>
    </font>
    <font>
      <sz val="10"/>
      <color rgb="FF028080"/>
      <name val="Arial"/>
      <family val="2"/>
    </font>
    <font>
      <i/>
      <sz val="10"/>
      <color rgb="FF028080"/>
      <name val="Arial"/>
      <family val="2"/>
    </font>
    <font>
      <b/>
      <sz val="10"/>
      <color rgb="FF00137F"/>
      <name val="Arial"/>
      <family val="2"/>
    </font>
    <font>
      <b/>
      <sz val="11"/>
      <color rgb="FF00137F"/>
      <name val="Arial"/>
      <family val="2"/>
    </font>
    <font>
      <b/>
      <sz val="18"/>
      <name val="Arial"/>
      <family val="2"/>
    </font>
    <font>
      <b/>
      <u/>
      <sz val="10"/>
      <color rgb="FF0432FF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i/>
      <sz val="9"/>
      <color theme="3"/>
      <name val="Calibri"/>
      <family val="2"/>
      <scheme val="minor"/>
    </font>
    <font>
      <b/>
      <sz val="10"/>
      <color theme="0"/>
      <name val="Comic Sans MS"/>
      <family val="4"/>
    </font>
    <font>
      <b/>
      <sz val="10"/>
      <color theme="1"/>
      <name val="Comic Sans MS"/>
      <family val="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omic Sans MS"/>
      <family val="4"/>
    </font>
    <font>
      <sz val="16"/>
      <color theme="1"/>
      <name val="Comic Sans MS"/>
      <family val="4"/>
    </font>
    <font>
      <b/>
      <sz val="16"/>
      <color theme="1" tint="0.249977111117893"/>
      <name val="Comic Sans MS"/>
      <family val="4"/>
    </font>
    <font>
      <sz val="18"/>
      <color theme="1"/>
      <name val="Trebuchet MS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i/>
      <sz val="10"/>
      <color rgb="FF0432FF"/>
      <name val="Arial"/>
      <family val="2"/>
    </font>
    <font>
      <sz val="9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3F8FF"/>
        <bgColor indexed="64"/>
      </patternFill>
    </fill>
    <fill>
      <patternFill patternType="solid">
        <fgColor rgb="FFCDE5FF"/>
        <bgColor indexed="64"/>
      </patternFill>
    </fill>
    <fill>
      <patternFill patternType="solid">
        <fgColor rgb="FF9A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9" fontId="4" fillId="0" borderId="4" applyFont="0" applyFill="0" applyProtection="0">
      <alignment vertical="top"/>
    </xf>
    <xf numFmtId="0" fontId="3" fillId="0" borderId="0"/>
    <xf numFmtId="9" fontId="3" fillId="0" borderId="0" applyFont="0" applyFill="0" applyBorder="0" applyAlignment="0" applyProtection="0"/>
    <xf numFmtId="0" fontId="58" fillId="0" borderId="0"/>
    <xf numFmtId="0" fontId="2" fillId="0" borderId="0"/>
  </cellStyleXfs>
  <cellXfs count="327">
    <xf numFmtId="0" fontId="0" fillId="0" borderId="0" xfId="0"/>
    <xf numFmtId="0" fontId="0" fillId="0" borderId="0" xfId="0" applyAlignment="1">
      <alignment horizontal="centerContinuous"/>
    </xf>
    <xf numFmtId="17" fontId="0" fillId="0" borderId="0" xfId="0" applyNumberFormat="1" applyAlignment="1">
      <alignment horizontal="centerContinuous"/>
    </xf>
    <xf numFmtId="17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17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17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2" borderId="5" xfId="0" applyFont="1" applyFill="1" applyBorder="1"/>
    <xf numFmtId="0" fontId="10" fillId="2" borderId="5" xfId="0" applyFont="1" applyFill="1" applyBorder="1"/>
    <xf numFmtId="0" fontId="11" fillId="2" borderId="0" xfId="0" applyFont="1" applyFill="1"/>
    <xf numFmtId="0" fontId="0" fillId="2" borderId="0" xfId="0" applyFill="1"/>
    <xf numFmtId="0" fontId="0" fillId="2" borderId="5" xfId="0" applyFill="1" applyBorder="1"/>
    <xf numFmtId="0" fontId="0" fillId="2" borderId="7" xfId="0" applyFont="1" applyFill="1" applyBorder="1"/>
    <xf numFmtId="0" fontId="10" fillId="2" borderId="5" xfId="0" applyFont="1" applyFill="1" applyBorder="1" applyAlignment="1">
      <alignment horizontal="centerContinuous"/>
    </xf>
    <xf numFmtId="17" fontId="10" fillId="2" borderId="5" xfId="0" applyNumberFormat="1" applyFont="1" applyFill="1" applyBorder="1" applyAlignment="1">
      <alignment horizontal="centerContinuous"/>
    </xf>
    <xf numFmtId="0" fontId="5" fillId="0" borderId="0" xfId="0" applyFont="1" applyAlignment="1">
      <alignment horizontal="center"/>
    </xf>
    <xf numFmtId="0" fontId="0" fillId="2" borderId="8" xfId="0" applyFont="1" applyFill="1" applyBorder="1"/>
    <xf numFmtId="0" fontId="0" fillId="2" borderId="9" xfId="0" applyFill="1" applyBorder="1"/>
    <xf numFmtId="3" fontId="0" fillId="2" borderId="9" xfId="0" applyNumberFormat="1" applyFill="1" applyBorder="1"/>
    <xf numFmtId="0" fontId="0" fillId="2" borderId="0" xfId="0" applyFill="1" applyBorder="1"/>
    <xf numFmtId="3" fontId="0" fillId="2" borderId="0" xfId="0" applyNumberFormat="1" applyFill="1" applyBorder="1"/>
    <xf numFmtId="0" fontId="0" fillId="0" borderId="7" xfId="0" applyFont="1" applyFill="1" applyBorder="1"/>
    <xf numFmtId="49" fontId="0" fillId="0" borderId="7" xfId="0" applyNumberFormat="1" applyBorder="1" applyAlignment="1">
      <alignment vertical="top"/>
    </xf>
    <xf numFmtId="49" fontId="0" fillId="0" borderId="10" xfId="0" applyNumberFormat="1" applyBorder="1" applyAlignment="1">
      <alignment vertical="top"/>
    </xf>
    <xf numFmtId="3" fontId="0" fillId="2" borderId="5" xfId="0" applyNumberFormat="1" applyFill="1" applyBorder="1"/>
    <xf numFmtId="49" fontId="0" fillId="0" borderId="0" xfId="0" applyNumberFormat="1" applyBorder="1" applyAlignment="1">
      <alignment vertical="top"/>
    </xf>
    <xf numFmtId="3" fontId="0" fillId="0" borderId="0" xfId="0" applyNumberFormat="1" applyBorder="1" applyAlignment="1">
      <alignment vertical="top"/>
    </xf>
    <xf numFmtId="0" fontId="13" fillId="5" borderId="1" xfId="0" applyFont="1" applyFill="1" applyBorder="1" applyAlignment="1">
      <alignment horizontal="center" vertical="top"/>
    </xf>
    <xf numFmtId="3" fontId="0" fillId="0" borderId="0" xfId="0" applyNumberFormat="1"/>
    <xf numFmtId="49" fontId="13" fillId="4" borderId="6" xfId="0" applyNumberFormat="1" applyFont="1" applyFill="1" applyBorder="1" applyAlignment="1">
      <alignment vertical="top"/>
    </xf>
    <xf numFmtId="3" fontId="13" fillId="4" borderId="13" xfId="0" applyNumberFormat="1" applyFont="1" applyFill="1" applyBorder="1" applyAlignment="1">
      <alignment vertical="top"/>
    </xf>
    <xf numFmtId="3" fontId="13" fillId="4" borderId="14" xfId="0" applyNumberFormat="1" applyFont="1" applyFill="1" applyBorder="1" applyAlignment="1">
      <alignment vertical="top"/>
    </xf>
    <xf numFmtId="3" fontId="13" fillId="4" borderId="15" xfId="0" applyNumberFormat="1" applyFont="1" applyFill="1" applyBorder="1" applyAlignment="1">
      <alignment vertical="top"/>
    </xf>
    <xf numFmtId="3" fontId="15" fillId="4" borderId="6" xfId="0" applyNumberFormat="1" applyFont="1" applyFill="1" applyBorder="1" applyAlignment="1">
      <alignment vertical="top"/>
    </xf>
    <xf numFmtId="3" fontId="15" fillId="4" borderId="0" xfId="0" applyNumberFormat="1" applyFont="1" applyFill="1" applyBorder="1" applyAlignment="1">
      <alignment vertical="top"/>
    </xf>
    <xf numFmtId="3" fontId="15" fillId="4" borderId="16" xfId="0" applyNumberFormat="1" applyFont="1" applyFill="1" applyBorder="1" applyAlignment="1">
      <alignment vertical="top"/>
    </xf>
    <xf numFmtId="3" fontId="15" fillId="4" borderId="12" xfId="0" applyNumberFormat="1" applyFont="1" applyFill="1" applyBorder="1" applyAlignment="1">
      <alignment vertical="top"/>
    </xf>
    <xf numFmtId="3" fontId="15" fillId="4" borderId="17" xfId="0" applyNumberFormat="1" applyFont="1" applyFill="1" applyBorder="1" applyAlignment="1">
      <alignment vertical="top"/>
    </xf>
    <xf numFmtId="3" fontId="15" fillId="4" borderId="18" xfId="0" applyNumberFormat="1" applyFont="1" applyFill="1" applyBorder="1" applyAlignment="1">
      <alignment vertical="top"/>
    </xf>
    <xf numFmtId="49" fontId="13" fillId="4" borderId="20" xfId="0" applyNumberFormat="1" applyFont="1" applyFill="1" applyBorder="1" applyAlignment="1">
      <alignment vertical="top"/>
    </xf>
    <xf numFmtId="3" fontId="13" fillId="4" borderId="20" xfId="0" applyNumberFormat="1" applyFont="1" applyFill="1" applyBorder="1" applyAlignment="1">
      <alignment vertical="top"/>
    </xf>
    <xf numFmtId="3" fontId="13" fillId="4" borderId="21" xfId="0" applyNumberFormat="1" applyFont="1" applyFill="1" applyBorder="1" applyAlignment="1">
      <alignment vertical="top"/>
    </xf>
    <xf numFmtId="3" fontId="13" fillId="4" borderId="22" xfId="0" applyNumberFormat="1" applyFont="1" applyFill="1" applyBorder="1" applyAlignment="1">
      <alignment vertical="top"/>
    </xf>
    <xf numFmtId="49" fontId="13" fillId="4" borderId="3" xfId="0" applyNumberFormat="1" applyFont="1" applyFill="1" applyBorder="1" applyAlignment="1">
      <alignment vertical="top"/>
    </xf>
    <xf numFmtId="3" fontId="13" fillId="4" borderId="3" xfId="0" applyNumberFormat="1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5" fillId="4" borderId="2" xfId="0" applyNumberFormat="1" applyFont="1" applyFill="1" applyBorder="1" applyAlignment="1">
      <alignment vertical="top"/>
    </xf>
    <xf numFmtId="49" fontId="15" fillId="4" borderId="4" xfId="0" applyNumberFormat="1" applyFont="1" applyFill="1" applyBorder="1" applyAlignment="1">
      <alignment vertical="top"/>
    </xf>
    <xf numFmtId="49" fontId="13" fillId="4" borderId="13" xfId="0" applyNumberFormat="1" applyFont="1" applyFill="1" applyBorder="1" applyAlignment="1">
      <alignment vertical="top"/>
    </xf>
    <xf numFmtId="3" fontId="15" fillId="4" borderId="13" xfId="0" applyNumberFormat="1" applyFont="1" applyFill="1" applyBorder="1" applyAlignment="1">
      <alignment vertical="top"/>
    </xf>
    <xf numFmtId="3" fontId="15" fillId="4" borderId="14" xfId="0" applyNumberFormat="1" applyFont="1" applyFill="1" applyBorder="1" applyAlignment="1">
      <alignment vertical="top"/>
    </xf>
    <xf numFmtId="3" fontId="15" fillId="4" borderId="15" xfId="0" applyNumberFormat="1" applyFont="1" applyFill="1" applyBorder="1" applyAlignment="1">
      <alignment vertical="top"/>
    </xf>
    <xf numFmtId="0" fontId="0" fillId="2" borderId="27" xfId="0" applyFill="1" applyBorder="1"/>
    <xf numFmtId="0" fontId="0" fillId="2" borderId="28" xfId="0" applyFill="1" applyBorder="1"/>
    <xf numFmtId="1" fontId="0" fillId="2" borderId="0" xfId="0" applyNumberFormat="1" applyFill="1" applyBorder="1"/>
    <xf numFmtId="3" fontId="0" fillId="0" borderId="0" xfId="0" applyNumberFormat="1" applyFill="1" applyBorder="1"/>
    <xf numFmtId="0" fontId="0" fillId="2" borderId="10" xfId="0" applyFont="1" applyFill="1" applyBorder="1"/>
    <xf numFmtId="3" fontId="8" fillId="0" borderId="5" xfId="0" applyNumberFormat="1" applyFont="1" applyFill="1" applyBorder="1"/>
    <xf numFmtId="0" fontId="0" fillId="0" borderId="0" xfId="0" applyNumberFormat="1"/>
    <xf numFmtId="0" fontId="17" fillId="0" borderId="0" xfId="0" applyFont="1" applyAlignment="1">
      <alignment vertical="top"/>
    </xf>
    <xf numFmtId="0" fontId="16" fillId="5" borderId="3" xfId="0" applyFont="1" applyFill="1" applyBorder="1" applyAlignment="1">
      <alignment horizontal="center" vertical="top"/>
    </xf>
    <xf numFmtId="49" fontId="18" fillId="4" borderId="2" xfId="0" applyNumberFormat="1" applyFont="1" applyFill="1" applyBorder="1" applyAlignment="1">
      <alignment vertical="top"/>
    </xf>
    <xf numFmtId="3" fontId="18" fillId="4" borderId="0" xfId="0" applyNumberFormat="1" applyFont="1" applyFill="1" applyBorder="1" applyAlignment="1">
      <alignment vertical="top"/>
    </xf>
    <xf numFmtId="3" fontId="18" fillId="4" borderId="16" xfId="0" applyNumberFormat="1" applyFont="1" applyFill="1" applyBorder="1" applyAlignment="1">
      <alignment vertical="top"/>
    </xf>
    <xf numFmtId="49" fontId="18" fillId="4" borderId="4" xfId="0" applyNumberFormat="1" applyFont="1" applyFill="1" applyBorder="1" applyAlignment="1">
      <alignment vertical="top"/>
    </xf>
    <xf numFmtId="3" fontId="18" fillId="4" borderId="17" xfId="0" applyNumberFormat="1" applyFont="1" applyFill="1" applyBorder="1" applyAlignment="1">
      <alignment vertical="top"/>
    </xf>
    <xf numFmtId="3" fontId="18" fillId="4" borderId="18" xfId="0" applyNumberFormat="1" applyFont="1" applyFill="1" applyBorder="1" applyAlignment="1">
      <alignment vertical="top"/>
    </xf>
    <xf numFmtId="0" fontId="16" fillId="5" borderId="1" xfId="0" applyFont="1" applyFill="1" applyBorder="1" applyAlignment="1">
      <alignment horizontal="center" vertical="top"/>
    </xf>
    <xf numFmtId="3" fontId="13" fillId="6" borderId="30" xfId="0" applyNumberFormat="1" applyFont="1" applyFill="1" applyBorder="1" applyAlignment="1">
      <alignment vertical="top"/>
    </xf>
    <xf numFmtId="3" fontId="13" fillId="6" borderId="31" xfId="0" applyNumberFormat="1" applyFont="1" applyFill="1" applyBorder="1" applyAlignment="1">
      <alignment vertical="top"/>
    </xf>
    <xf numFmtId="49" fontId="19" fillId="4" borderId="2" xfId="0" applyNumberFormat="1" applyFont="1" applyFill="1" applyBorder="1" applyAlignment="1">
      <alignment vertical="top"/>
    </xf>
    <xf numFmtId="0" fontId="0" fillId="0" borderId="0" xfId="0" applyFill="1"/>
    <xf numFmtId="3" fontId="13" fillId="6" borderId="32" xfId="0" applyNumberFormat="1" applyFont="1" applyFill="1" applyBorder="1" applyAlignment="1">
      <alignment vertical="top"/>
    </xf>
    <xf numFmtId="49" fontId="19" fillId="4" borderId="6" xfId="0" applyNumberFormat="1" applyFont="1" applyFill="1" applyBorder="1" applyAlignment="1">
      <alignment vertical="top"/>
    </xf>
    <xf numFmtId="3" fontId="13" fillId="0" borderId="0" xfId="0" applyNumberFormat="1" applyFont="1" applyFill="1" applyBorder="1" applyAlignment="1">
      <alignment vertical="top"/>
    </xf>
    <xf numFmtId="3" fontId="13" fillId="0" borderId="16" xfId="0" applyNumberFormat="1" applyFont="1" applyFill="1" applyBorder="1" applyAlignment="1">
      <alignment vertical="top"/>
    </xf>
    <xf numFmtId="49" fontId="13" fillId="0" borderId="0" xfId="0" applyNumberFormat="1" applyFont="1" applyFill="1" applyBorder="1" applyAlignment="1">
      <alignment horizontal="right" vertical="top"/>
    </xf>
    <xf numFmtId="0" fontId="13" fillId="5" borderId="9" xfId="0" applyFont="1" applyFill="1" applyBorder="1"/>
    <xf numFmtId="3" fontId="22" fillId="5" borderId="9" xfId="0" applyNumberFormat="1" applyFont="1" applyFill="1" applyBorder="1"/>
    <xf numFmtId="3" fontId="8" fillId="6" borderId="5" xfId="0" applyNumberFormat="1" applyFont="1" applyFill="1" applyBorder="1"/>
    <xf numFmtId="0" fontId="13" fillId="5" borderId="28" xfId="0" applyFont="1" applyFill="1" applyBorder="1"/>
    <xf numFmtId="3" fontId="22" fillId="5" borderId="28" xfId="0" applyNumberFormat="1" applyFont="1" applyFill="1" applyBorder="1"/>
    <xf numFmtId="0" fontId="13" fillId="0" borderId="0" xfId="0" applyFont="1" applyFill="1"/>
    <xf numFmtId="0" fontId="14" fillId="5" borderId="28" xfId="0" applyFont="1" applyFill="1" applyBorder="1"/>
    <xf numFmtId="3" fontId="21" fillId="5" borderId="28" xfId="0" applyNumberFormat="1" applyFont="1" applyFill="1" applyBorder="1"/>
    <xf numFmtId="3" fontId="21" fillId="5" borderId="29" xfId="0" applyNumberFormat="1" applyFont="1" applyFill="1" applyBorder="1"/>
    <xf numFmtId="1" fontId="5" fillId="6" borderId="5" xfId="0" applyNumberFormat="1" applyFont="1" applyFill="1" applyBorder="1"/>
    <xf numFmtId="1" fontId="5" fillId="6" borderId="11" xfId="0" applyNumberFormat="1" applyFont="1" applyFill="1" applyBorder="1"/>
    <xf numFmtId="0" fontId="14" fillId="5" borderId="27" xfId="0" applyFont="1" applyFill="1" applyBorder="1"/>
    <xf numFmtId="49" fontId="18" fillId="4" borderId="6" xfId="0" applyNumberFormat="1" applyFont="1" applyFill="1" applyBorder="1" applyAlignment="1">
      <alignment vertical="top"/>
    </xf>
    <xf numFmtId="3" fontId="18" fillId="4" borderId="6" xfId="0" applyNumberFormat="1" applyFont="1" applyFill="1" applyBorder="1" applyAlignment="1">
      <alignment vertical="top"/>
    </xf>
    <xf numFmtId="49" fontId="23" fillId="4" borderId="6" xfId="0" applyNumberFormat="1" applyFont="1" applyFill="1" applyBorder="1" applyAlignment="1">
      <alignment vertical="top"/>
    </xf>
    <xf numFmtId="49" fontId="13" fillId="6" borderId="32" xfId="0" applyNumberFormat="1" applyFont="1" applyFill="1" applyBorder="1" applyAlignment="1">
      <alignment vertical="top"/>
    </xf>
    <xf numFmtId="49" fontId="13" fillId="6" borderId="23" xfId="0" applyNumberFormat="1" applyFont="1" applyFill="1" applyBorder="1" applyAlignment="1">
      <alignment vertical="top"/>
    </xf>
    <xf numFmtId="3" fontId="13" fillId="6" borderId="23" xfId="0" applyNumberFormat="1" applyFont="1" applyFill="1" applyBorder="1" applyAlignment="1">
      <alignment vertical="top"/>
    </xf>
    <xf numFmtId="3" fontId="13" fillId="6" borderId="24" xfId="0" applyNumberFormat="1" applyFont="1" applyFill="1" applyBorder="1" applyAlignment="1">
      <alignment vertical="top"/>
    </xf>
    <xf numFmtId="3" fontId="13" fillId="6" borderId="25" xfId="0" applyNumberFormat="1" applyFont="1" applyFill="1" applyBorder="1" applyAlignment="1">
      <alignment vertical="top"/>
    </xf>
    <xf numFmtId="49" fontId="13" fillId="4" borderId="20" xfId="0" applyNumberFormat="1" applyFont="1" applyFill="1" applyBorder="1" applyAlignment="1">
      <alignment horizontal="right" vertical="top"/>
    </xf>
    <xf numFmtId="49" fontId="13" fillId="4" borderId="21" xfId="0" applyNumberFormat="1" applyFont="1" applyFill="1" applyBorder="1" applyAlignment="1">
      <alignment horizontal="right" vertical="top"/>
    </xf>
    <xf numFmtId="49" fontId="13" fillId="4" borderId="22" xfId="0" applyNumberFormat="1" applyFont="1" applyFill="1" applyBorder="1" applyAlignment="1">
      <alignment horizontal="right" vertical="top"/>
    </xf>
    <xf numFmtId="49" fontId="13" fillId="0" borderId="0" xfId="0" applyNumberFormat="1" applyFont="1" applyFill="1" applyBorder="1" applyAlignment="1">
      <alignment vertical="top"/>
    </xf>
    <xf numFmtId="49" fontId="15" fillId="0" borderId="6" xfId="0" applyNumberFormat="1" applyFont="1" applyFill="1" applyBorder="1" applyAlignment="1">
      <alignment vertical="top"/>
    </xf>
    <xf numFmtId="3" fontId="15" fillId="0" borderId="6" xfId="0" applyNumberFormat="1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top"/>
    </xf>
    <xf numFmtId="3" fontId="15" fillId="0" borderId="16" xfId="0" applyNumberFormat="1" applyFont="1" applyFill="1" applyBorder="1" applyAlignment="1">
      <alignment vertical="top"/>
    </xf>
    <xf numFmtId="49" fontId="18" fillId="4" borderId="12" xfId="0" applyNumberFormat="1" applyFont="1" applyFill="1" applyBorder="1" applyAlignment="1">
      <alignment vertical="top"/>
    </xf>
    <xf numFmtId="3" fontId="18" fillId="4" borderId="12" xfId="0" applyNumberFormat="1" applyFont="1" applyFill="1" applyBorder="1" applyAlignment="1">
      <alignment vertical="top"/>
    </xf>
    <xf numFmtId="0" fontId="24" fillId="0" borderId="0" xfId="0" applyFont="1" applyAlignment="1">
      <alignment vertical="top"/>
    </xf>
    <xf numFmtId="49" fontId="19" fillId="0" borderId="6" xfId="0" applyNumberFormat="1" applyFont="1" applyFill="1" applyBorder="1" applyAlignment="1">
      <alignment vertical="top"/>
    </xf>
    <xf numFmtId="49" fontId="19" fillId="4" borderId="4" xfId="0" applyNumberFormat="1" applyFont="1" applyFill="1" applyBorder="1" applyAlignment="1">
      <alignment vertical="top"/>
    </xf>
    <xf numFmtId="3" fontId="18" fillId="4" borderId="2" xfId="0" applyNumberFormat="1" applyFont="1" applyFill="1" applyBorder="1" applyAlignment="1">
      <alignment vertical="top"/>
    </xf>
    <xf numFmtId="3" fontId="18" fillId="4" borderId="4" xfId="0" applyNumberFormat="1" applyFont="1" applyFill="1" applyBorder="1" applyAlignment="1">
      <alignment vertical="top"/>
    </xf>
    <xf numFmtId="0" fontId="16" fillId="5" borderId="8" xfId="0" applyFont="1" applyFill="1" applyBorder="1"/>
    <xf numFmtId="49" fontId="0" fillId="0" borderId="7" xfId="0" applyNumberFormat="1" applyFont="1" applyBorder="1" applyAlignment="1">
      <alignment vertical="top"/>
    </xf>
    <xf numFmtId="49" fontId="0" fillId="0" borderId="10" xfId="0" applyNumberFormat="1" applyFont="1" applyBorder="1" applyAlignment="1">
      <alignment vertical="top"/>
    </xf>
    <xf numFmtId="0" fontId="16" fillId="5" borderId="27" xfId="0" applyFont="1" applyFill="1" applyBorder="1"/>
    <xf numFmtId="0" fontId="26" fillId="2" borderId="10" xfId="0" applyFont="1" applyFill="1" applyBorder="1"/>
    <xf numFmtId="17" fontId="5" fillId="2" borderId="28" xfId="0" applyNumberFormat="1" applyFont="1" applyFill="1" applyBorder="1"/>
    <xf numFmtId="17" fontId="13" fillId="5" borderId="26" xfId="0" applyNumberFormat="1" applyFont="1" applyFill="1" applyBorder="1" applyAlignment="1">
      <alignment horizontal="center"/>
    </xf>
    <xf numFmtId="0" fontId="0" fillId="0" borderId="27" xfId="0" applyFont="1" applyBorder="1"/>
    <xf numFmtId="0" fontId="27" fillId="2" borderId="28" xfId="0" applyFont="1" applyFill="1" applyBorder="1"/>
    <xf numFmtId="0" fontId="0" fillId="2" borderId="27" xfId="0" applyFont="1" applyFill="1" applyBorder="1"/>
    <xf numFmtId="0" fontId="0" fillId="2" borderId="28" xfId="0" applyFont="1" applyFill="1" applyBorder="1"/>
    <xf numFmtId="0" fontId="0" fillId="0" borderId="0" xfId="0" applyFont="1"/>
    <xf numFmtId="0" fontId="16" fillId="5" borderId="26" xfId="0" applyFont="1" applyFill="1" applyBorder="1"/>
    <xf numFmtId="3" fontId="16" fillId="5" borderId="27" xfId="0" applyNumberFormat="1" applyFont="1" applyFill="1" applyBorder="1"/>
    <xf numFmtId="3" fontId="16" fillId="5" borderId="28" xfId="0" applyNumberFormat="1" applyFont="1" applyFill="1" applyBorder="1"/>
    <xf numFmtId="3" fontId="16" fillId="5" borderId="29" xfId="0" applyNumberFormat="1" applyFont="1" applyFill="1" applyBorder="1"/>
    <xf numFmtId="3" fontId="16" fillId="5" borderId="35" xfId="0" applyNumberFormat="1" applyFont="1" applyFill="1" applyBorder="1"/>
    <xf numFmtId="0" fontId="0" fillId="3" borderId="0" xfId="0" applyFont="1" applyFill="1"/>
    <xf numFmtId="3" fontId="16" fillId="5" borderId="33" xfId="0" applyNumberFormat="1" applyFont="1" applyFill="1" applyBorder="1"/>
    <xf numFmtId="3" fontId="16" fillId="5" borderId="34" xfId="0" applyNumberFormat="1" applyFont="1" applyFill="1" applyBorder="1"/>
    <xf numFmtId="0" fontId="28" fillId="2" borderId="5" xfId="0" applyFont="1" applyFill="1" applyBorder="1"/>
    <xf numFmtId="0" fontId="29" fillId="2" borderId="0" xfId="0" applyFont="1" applyFill="1"/>
    <xf numFmtId="0" fontId="0" fillId="2" borderId="0" xfId="0" applyFont="1" applyFill="1"/>
    <xf numFmtId="0" fontId="0" fillId="0" borderId="0" xfId="0" applyFont="1" applyFill="1"/>
    <xf numFmtId="3" fontId="30" fillId="5" borderId="33" xfId="0" applyNumberFormat="1" applyFont="1" applyFill="1" applyBorder="1"/>
    <xf numFmtId="3" fontId="30" fillId="5" borderId="34" xfId="0" applyNumberFormat="1" applyFont="1" applyFill="1" applyBorder="1"/>
    <xf numFmtId="0" fontId="30" fillId="5" borderId="34" xfId="0" applyFont="1" applyFill="1" applyBorder="1"/>
    <xf numFmtId="1" fontId="0" fillId="2" borderId="11" xfId="0" applyNumberFormat="1" applyFont="1" applyFill="1" applyBorder="1"/>
    <xf numFmtId="1" fontId="0" fillId="6" borderId="11" xfId="0" applyNumberFormat="1" applyFont="1" applyFill="1" applyBorder="1"/>
    <xf numFmtId="3" fontId="30" fillId="5" borderId="28" xfId="0" applyNumberFormat="1" applyFont="1" applyFill="1" applyBorder="1"/>
    <xf numFmtId="3" fontId="30" fillId="5" borderId="29" xfId="0" applyNumberFormat="1" applyFont="1" applyFill="1" applyBorder="1"/>
    <xf numFmtId="49" fontId="31" fillId="7" borderId="2" xfId="0" applyNumberFormat="1" applyFont="1" applyFill="1" applyBorder="1" applyAlignment="1">
      <alignment vertical="top"/>
    </xf>
    <xf numFmtId="3" fontId="31" fillId="7" borderId="0" xfId="0" applyNumberFormat="1" applyFont="1" applyFill="1" applyBorder="1" applyAlignment="1">
      <alignment vertical="top"/>
    </xf>
    <xf numFmtId="3" fontId="31" fillId="7" borderId="16" xfId="0" applyNumberFormat="1" applyFont="1" applyFill="1" applyBorder="1" applyAlignment="1">
      <alignment vertical="top"/>
    </xf>
    <xf numFmtId="49" fontId="32" fillId="7" borderId="19" xfId="0" applyNumberFormat="1" applyFont="1" applyFill="1" applyBorder="1" applyAlignment="1">
      <alignment vertical="top"/>
    </xf>
    <xf numFmtId="49" fontId="32" fillId="7" borderId="2" xfId="0" applyNumberFormat="1" applyFont="1" applyFill="1" applyBorder="1" applyAlignment="1">
      <alignment vertical="top"/>
    </xf>
    <xf numFmtId="3" fontId="32" fillId="7" borderId="0" xfId="0" applyNumberFormat="1" applyFont="1" applyFill="1" applyBorder="1" applyAlignment="1">
      <alignment vertical="top"/>
    </xf>
    <xf numFmtId="3" fontId="32" fillId="7" borderId="16" xfId="0" applyNumberFormat="1" applyFont="1" applyFill="1" applyBorder="1" applyAlignment="1">
      <alignment vertical="top"/>
    </xf>
    <xf numFmtId="49" fontId="32" fillId="8" borderId="1" xfId="0" applyNumberFormat="1" applyFont="1" applyFill="1" applyBorder="1" applyAlignment="1">
      <alignment vertical="top"/>
    </xf>
    <xf numFmtId="3" fontId="32" fillId="8" borderId="30" xfId="0" applyNumberFormat="1" applyFont="1" applyFill="1" applyBorder="1" applyAlignment="1">
      <alignment vertical="top"/>
    </xf>
    <xf numFmtId="3" fontId="32" fillId="8" borderId="31" xfId="0" applyNumberFormat="1" applyFont="1" applyFill="1" applyBorder="1" applyAlignment="1">
      <alignment vertical="top"/>
    </xf>
    <xf numFmtId="49" fontId="32" fillId="7" borderId="1" xfId="0" applyNumberFormat="1" applyFont="1" applyFill="1" applyBorder="1" applyAlignment="1">
      <alignment vertical="top"/>
    </xf>
    <xf numFmtId="3" fontId="32" fillId="7" borderId="30" xfId="0" applyNumberFormat="1" applyFont="1" applyFill="1" applyBorder="1" applyAlignment="1">
      <alignment vertical="top"/>
    </xf>
    <xf numFmtId="3" fontId="32" fillId="7" borderId="31" xfId="0" applyNumberFormat="1" applyFont="1" applyFill="1" applyBorder="1" applyAlignment="1">
      <alignment vertical="top"/>
    </xf>
    <xf numFmtId="0" fontId="33" fillId="0" borderId="0" xfId="0" applyFont="1" applyAlignment="1">
      <alignment vertical="top"/>
    </xf>
    <xf numFmtId="49" fontId="32" fillId="7" borderId="3" xfId="0" applyNumberFormat="1" applyFont="1" applyFill="1" applyBorder="1" applyAlignment="1">
      <alignment vertical="top"/>
    </xf>
    <xf numFmtId="3" fontId="32" fillId="7" borderId="14" xfId="0" applyNumberFormat="1" applyFont="1" applyFill="1" applyBorder="1" applyAlignment="1">
      <alignment vertical="top"/>
    </xf>
    <xf numFmtId="3" fontId="32" fillId="7" borderId="15" xfId="0" applyNumberFormat="1" applyFont="1" applyFill="1" applyBorder="1" applyAlignment="1">
      <alignment vertical="top"/>
    </xf>
    <xf numFmtId="49" fontId="34" fillId="7" borderId="2" xfId="0" applyNumberFormat="1" applyFont="1" applyFill="1" applyBorder="1" applyAlignment="1">
      <alignment vertical="top"/>
    </xf>
    <xf numFmtId="3" fontId="34" fillId="7" borderId="0" xfId="0" applyNumberFormat="1" applyFont="1" applyFill="1" applyBorder="1" applyAlignment="1">
      <alignment vertical="top"/>
    </xf>
    <xf numFmtId="3" fontId="34" fillId="7" borderId="16" xfId="0" applyNumberFormat="1" applyFont="1" applyFill="1" applyBorder="1" applyAlignment="1">
      <alignment vertical="top"/>
    </xf>
    <xf numFmtId="3" fontId="34" fillId="7" borderId="17" xfId="0" applyNumberFormat="1" applyFont="1" applyFill="1" applyBorder="1" applyAlignment="1">
      <alignment vertical="top"/>
    </xf>
    <xf numFmtId="3" fontId="34" fillId="7" borderId="18" xfId="0" applyNumberFormat="1" applyFont="1" applyFill="1" applyBorder="1" applyAlignment="1">
      <alignment vertical="top"/>
    </xf>
    <xf numFmtId="3" fontId="32" fillId="7" borderId="17" xfId="0" applyNumberFormat="1" applyFont="1" applyFill="1" applyBorder="1" applyAlignment="1">
      <alignment vertical="top"/>
    </xf>
    <xf numFmtId="3" fontId="32" fillId="7" borderId="18" xfId="0" applyNumberFormat="1" applyFont="1" applyFill="1" applyBorder="1" applyAlignment="1">
      <alignment vertical="top"/>
    </xf>
    <xf numFmtId="49" fontId="32" fillId="0" borderId="0" xfId="0" applyNumberFormat="1" applyFont="1" applyFill="1" applyBorder="1" applyAlignment="1">
      <alignment vertical="top"/>
    </xf>
    <xf numFmtId="3" fontId="32" fillId="0" borderId="0" xfId="0" applyNumberFormat="1" applyFont="1" applyFill="1" applyBorder="1" applyAlignment="1">
      <alignment vertical="top"/>
    </xf>
    <xf numFmtId="49" fontId="0" fillId="7" borderId="13" xfId="0" applyNumberFormat="1" applyFill="1" applyBorder="1" applyAlignment="1">
      <alignment vertical="top"/>
    </xf>
    <xf numFmtId="3" fontId="13" fillId="7" borderId="0" xfId="0" applyNumberFormat="1" applyFont="1" applyFill="1" applyBorder="1" applyAlignment="1">
      <alignment vertical="top"/>
    </xf>
    <xf numFmtId="3" fontId="13" fillId="7" borderId="16" xfId="0" applyNumberFormat="1" applyFont="1" applyFill="1" applyBorder="1" applyAlignment="1">
      <alignment vertical="top"/>
    </xf>
    <xf numFmtId="0" fontId="16" fillId="8" borderId="3" xfId="0" applyFont="1" applyFill="1" applyBorder="1" applyAlignment="1">
      <alignment horizontal="center" vertical="top"/>
    </xf>
    <xf numFmtId="49" fontId="32" fillId="7" borderId="6" xfId="0" applyNumberFormat="1" applyFont="1" applyFill="1" applyBorder="1" applyAlignment="1">
      <alignment vertical="top"/>
    </xf>
    <xf numFmtId="0" fontId="35" fillId="0" borderId="0" xfId="0" applyFont="1" applyAlignment="1">
      <alignment vertical="top"/>
    </xf>
    <xf numFmtId="49" fontId="34" fillId="7" borderId="6" xfId="0" applyNumberFormat="1" applyFont="1" applyFill="1" applyBorder="1" applyAlignment="1">
      <alignment vertical="top"/>
    </xf>
    <xf numFmtId="49" fontId="36" fillId="7" borderId="6" xfId="0" applyNumberFormat="1" applyFont="1" applyFill="1" applyBorder="1" applyAlignment="1">
      <alignment vertical="top"/>
    </xf>
    <xf numFmtId="49" fontId="37" fillId="7" borderId="6" xfId="0" applyNumberFormat="1" applyFont="1" applyFill="1" applyBorder="1" applyAlignment="1">
      <alignment vertical="top"/>
    </xf>
    <xf numFmtId="3" fontId="37" fillId="7" borderId="6" xfId="0" applyNumberFormat="1" applyFont="1" applyFill="1" applyBorder="1" applyAlignment="1">
      <alignment vertical="top"/>
    </xf>
    <xf numFmtId="3" fontId="37" fillId="7" borderId="0" xfId="0" applyNumberFormat="1" applyFont="1" applyFill="1" applyBorder="1" applyAlignment="1">
      <alignment vertical="top"/>
    </xf>
    <xf numFmtId="3" fontId="37" fillId="7" borderId="16" xfId="0" applyNumberFormat="1" applyFont="1" applyFill="1" applyBorder="1" applyAlignment="1">
      <alignment vertical="top"/>
    </xf>
    <xf numFmtId="49" fontId="37" fillId="7" borderId="6" xfId="0" applyNumberFormat="1" applyFont="1" applyFill="1" applyBorder="1" applyAlignment="1">
      <alignment horizontal="left" vertical="center"/>
    </xf>
    <xf numFmtId="49" fontId="38" fillId="8" borderId="1" xfId="0" applyNumberFormat="1" applyFont="1" applyFill="1" applyBorder="1" applyAlignment="1">
      <alignment vertical="top"/>
    </xf>
    <xf numFmtId="49" fontId="39" fillId="7" borderId="1" xfId="0" applyNumberFormat="1" applyFont="1" applyFill="1" applyBorder="1" applyAlignment="1">
      <alignment vertical="top"/>
    </xf>
    <xf numFmtId="49" fontId="39" fillId="7" borderId="6" xfId="0" applyNumberFormat="1" applyFont="1" applyFill="1" applyBorder="1" applyAlignment="1">
      <alignment vertical="top"/>
    </xf>
    <xf numFmtId="49" fontId="39" fillId="8" borderId="1" xfId="0" applyNumberFormat="1" applyFont="1" applyFill="1" applyBorder="1" applyAlignment="1">
      <alignment vertical="top"/>
    </xf>
    <xf numFmtId="3" fontId="39" fillId="8" borderId="32" xfId="0" applyNumberFormat="1" applyFont="1" applyFill="1" applyBorder="1" applyAlignment="1">
      <alignment vertical="top"/>
    </xf>
    <xf numFmtId="3" fontId="39" fillId="8" borderId="30" xfId="0" applyNumberFormat="1" applyFont="1" applyFill="1" applyBorder="1" applyAlignment="1">
      <alignment vertical="top"/>
    </xf>
    <xf numFmtId="3" fontId="39" fillId="8" borderId="31" xfId="0" applyNumberFormat="1" applyFont="1" applyFill="1" applyBorder="1" applyAlignment="1">
      <alignment vertical="top"/>
    </xf>
    <xf numFmtId="3" fontId="34" fillId="7" borderId="6" xfId="0" applyNumberFormat="1" applyFont="1" applyFill="1" applyBorder="1" applyAlignment="1">
      <alignment vertical="top"/>
    </xf>
    <xf numFmtId="3" fontId="31" fillId="7" borderId="6" xfId="0" applyNumberFormat="1" applyFont="1" applyFill="1" applyBorder="1" applyAlignment="1">
      <alignment vertical="top"/>
    </xf>
    <xf numFmtId="49" fontId="34" fillId="7" borderId="3" xfId="0" applyNumberFormat="1" applyFont="1" applyFill="1" applyBorder="1" applyAlignment="1">
      <alignment vertical="top"/>
    </xf>
    <xf numFmtId="3" fontId="34" fillId="7" borderId="12" xfId="0" applyNumberFormat="1" applyFont="1" applyFill="1" applyBorder="1" applyAlignment="1">
      <alignment vertical="top"/>
    </xf>
    <xf numFmtId="0" fontId="40" fillId="0" borderId="0" xfId="0" applyFont="1" applyAlignment="1">
      <alignment vertical="top"/>
    </xf>
    <xf numFmtId="3" fontId="15" fillId="7" borderId="13" xfId="0" applyNumberFormat="1" applyFont="1" applyFill="1" applyBorder="1" applyAlignment="1">
      <alignment vertical="top"/>
    </xf>
    <xf numFmtId="3" fontId="15" fillId="7" borderId="14" xfId="0" applyNumberFormat="1" applyFont="1" applyFill="1" applyBorder="1" applyAlignment="1">
      <alignment vertical="top"/>
    </xf>
    <xf numFmtId="3" fontId="15" fillId="7" borderId="15" xfId="0" applyNumberFormat="1" applyFont="1" applyFill="1" applyBorder="1" applyAlignment="1">
      <alignment vertical="top"/>
    </xf>
    <xf numFmtId="3" fontId="15" fillId="7" borderId="6" xfId="0" applyNumberFormat="1" applyFont="1" applyFill="1" applyBorder="1" applyAlignment="1">
      <alignment vertical="top"/>
    </xf>
    <xf numFmtId="3" fontId="15" fillId="7" borderId="0" xfId="0" applyNumberFormat="1" applyFont="1" applyFill="1" applyBorder="1" applyAlignment="1">
      <alignment vertical="top"/>
    </xf>
    <xf numFmtId="3" fontId="15" fillId="7" borderId="16" xfId="0" applyNumberFormat="1" applyFont="1" applyFill="1" applyBorder="1" applyAlignment="1">
      <alignment vertical="top"/>
    </xf>
    <xf numFmtId="49" fontId="20" fillId="7" borderId="2" xfId="0" applyNumberFormat="1" applyFont="1" applyFill="1" applyBorder="1" applyAlignment="1">
      <alignment vertical="top"/>
    </xf>
    <xf numFmtId="49" fontId="13" fillId="7" borderId="0" xfId="0" applyNumberFormat="1" applyFont="1" applyFill="1" applyBorder="1" applyAlignment="1">
      <alignment horizontal="right" vertical="top"/>
    </xf>
    <xf numFmtId="3" fontId="15" fillId="7" borderId="2" xfId="0" applyNumberFormat="1" applyFont="1" applyFill="1" applyBorder="1" applyAlignment="1">
      <alignment vertical="top"/>
    </xf>
    <xf numFmtId="49" fontId="39" fillId="7" borderId="4" xfId="0" applyNumberFormat="1" applyFont="1" applyFill="1" applyBorder="1" applyAlignment="1">
      <alignment horizontal="right" vertical="top"/>
    </xf>
    <xf numFmtId="0" fontId="39" fillId="9" borderId="3" xfId="0" applyFont="1" applyFill="1" applyBorder="1" applyAlignment="1">
      <alignment horizontal="center" vertical="top"/>
    </xf>
    <xf numFmtId="0" fontId="39" fillId="9" borderId="1" xfId="0" applyFont="1" applyFill="1" applyBorder="1" applyAlignment="1">
      <alignment horizontal="center" vertical="top"/>
    </xf>
    <xf numFmtId="49" fontId="39" fillId="8" borderId="2" xfId="0" applyNumberFormat="1" applyFont="1" applyFill="1" applyBorder="1" applyAlignment="1">
      <alignment horizontal="left" vertical="top"/>
    </xf>
    <xf numFmtId="49" fontId="39" fillId="8" borderId="3" xfId="0" applyNumberFormat="1" applyFont="1" applyFill="1" applyBorder="1" applyAlignment="1">
      <alignment horizontal="left" vertical="top"/>
    </xf>
    <xf numFmtId="49" fontId="41" fillId="7" borderId="2" xfId="0" applyNumberFormat="1" applyFont="1" applyFill="1" applyBorder="1" applyAlignment="1">
      <alignment vertical="top"/>
    </xf>
    <xf numFmtId="49" fontId="39" fillId="8" borderId="32" xfId="0" applyNumberFormat="1" applyFont="1" applyFill="1" applyBorder="1" applyAlignment="1">
      <alignment vertical="top"/>
    </xf>
    <xf numFmtId="0" fontId="13" fillId="9" borderId="1" xfId="0" applyFont="1" applyFill="1" applyBorder="1" applyAlignment="1">
      <alignment horizontal="center" vertical="top"/>
    </xf>
    <xf numFmtId="49" fontId="16" fillId="8" borderId="1" xfId="0" applyNumberFormat="1" applyFont="1" applyFill="1" applyBorder="1" applyAlignment="1">
      <alignment vertical="top"/>
    </xf>
    <xf numFmtId="3" fontId="16" fillId="8" borderId="1" xfId="0" applyNumberFormat="1" applyFont="1" applyFill="1" applyBorder="1" applyAlignment="1">
      <alignment vertical="top"/>
    </xf>
    <xf numFmtId="49" fontId="37" fillId="7" borderId="2" xfId="0" applyNumberFormat="1" applyFont="1" applyFill="1" applyBorder="1" applyAlignment="1">
      <alignment vertical="top"/>
    </xf>
    <xf numFmtId="3" fontId="37" fillId="7" borderId="2" xfId="0" applyNumberFormat="1" applyFont="1" applyFill="1" applyBorder="1" applyAlignment="1">
      <alignment vertical="top"/>
    </xf>
    <xf numFmtId="3" fontId="32" fillId="7" borderId="2" xfId="0" applyNumberFormat="1" applyFont="1" applyFill="1" applyBorder="1" applyAlignment="1">
      <alignment vertical="top"/>
    </xf>
    <xf numFmtId="3" fontId="32" fillId="7" borderId="19" xfId="0" applyNumberFormat="1" applyFont="1" applyFill="1" applyBorder="1" applyAlignment="1">
      <alignment vertical="top"/>
    </xf>
    <xf numFmtId="0" fontId="3" fillId="10" borderId="0" xfId="2" applyFill="1"/>
    <xf numFmtId="3" fontId="42" fillId="11" borderId="2" xfId="2" applyNumberFormat="1" applyFont="1" applyFill="1" applyBorder="1"/>
    <xf numFmtId="3" fontId="43" fillId="10" borderId="5" xfId="2" applyNumberFormat="1" applyFont="1" applyFill="1" applyBorder="1"/>
    <xf numFmtId="0" fontId="3" fillId="10" borderId="5" xfId="2" applyFill="1" applyBorder="1"/>
    <xf numFmtId="0" fontId="42" fillId="11" borderId="10" xfId="2" applyFont="1" applyFill="1" applyBorder="1"/>
    <xf numFmtId="0" fontId="44" fillId="11" borderId="2" xfId="2" applyFont="1" applyFill="1" applyBorder="1"/>
    <xf numFmtId="0" fontId="3" fillId="10" borderId="0" xfId="2" applyFill="1" applyBorder="1"/>
    <xf numFmtId="0" fontId="42" fillId="11" borderId="2" xfId="2" applyFont="1" applyFill="1" applyBorder="1"/>
    <xf numFmtId="0" fontId="3" fillId="10" borderId="7" xfId="2" applyFill="1" applyBorder="1"/>
    <xf numFmtId="3" fontId="3" fillId="10" borderId="0" xfId="2" applyNumberFormat="1" applyFill="1" applyBorder="1"/>
    <xf numFmtId="4" fontId="3" fillId="10" borderId="0" xfId="2" applyNumberFormat="1" applyFill="1" applyBorder="1"/>
    <xf numFmtId="0" fontId="45" fillId="10" borderId="7" xfId="2" applyFont="1" applyFill="1" applyBorder="1"/>
    <xf numFmtId="164" fontId="46" fillId="11" borderId="2" xfId="2" applyNumberFormat="1" applyFont="1" applyFill="1" applyBorder="1"/>
    <xf numFmtId="164" fontId="47" fillId="4" borderId="0" xfId="3" applyNumberFormat="1" applyFont="1" applyFill="1" applyBorder="1"/>
    <xf numFmtId="0" fontId="48" fillId="10" borderId="7" xfId="2" applyFont="1" applyFill="1" applyBorder="1"/>
    <xf numFmtId="0" fontId="42" fillId="11" borderId="7" xfId="2" applyFont="1" applyFill="1" applyBorder="1"/>
    <xf numFmtId="3" fontId="44" fillId="11" borderId="2" xfId="2" applyNumberFormat="1" applyFont="1" applyFill="1" applyBorder="1"/>
    <xf numFmtId="3" fontId="3" fillId="6" borderId="0" xfId="2" applyNumberFormat="1" applyFill="1" applyBorder="1"/>
    <xf numFmtId="0" fontId="43" fillId="10" borderId="7" xfId="2" applyFont="1" applyFill="1" applyBorder="1"/>
    <xf numFmtId="0" fontId="3" fillId="11" borderId="2" xfId="2" applyFill="1" applyBorder="1"/>
    <xf numFmtId="164" fontId="47" fillId="10" borderId="0" xfId="3" applyNumberFormat="1" applyFont="1" applyFill="1" applyBorder="1"/>
    <xf numFmtId="3" fontId="3" fillId="0" borderId="0" xfId="2" applyNumberFormat="1" applyFill="1" applyBorder="1"/>
    <xf numFmtId="1" fontId="3" fillId="10" borderId="0" xfId="2" applyNumberFormat="1" applyFill="1" applyBorder="1"/>
    <xf numFmtId="1" fontId="3" fillId="0" borderId="0" xfId="2" applyNumberFormat="1" applyFill="1" applyBorder="1"/>
    <xf numFmtId="3" fontId="3" fillId="10" borderId="5" xfId="2" applyNumberFormat="1" applyFill="1" applyBorder="1"/>
    <xf numFmtId="3" fontId="3" fillId="12" borderId="0" xfId="2" applyNumberFormat="1" applyFill="1" applyBorder="1"/>
    <xf numFmtId="3" fontId="42" fillId="11" borderId="36" xfId="2" applyNumberFormat="1" applyFont="1" applyFill="1" applyBorder="1"/>
    <xf numFmtId="0" fontId="43" fillId="10" borderId="5" xfId="2" applyFont="1" applyFill="1" applyBorder="1"/>
    <xf numFmtId="3" fontId="3" fillId="10" borderId="5" xfId="2" applyNumberFormat="1" applyFont="1" applyFill="1" applyBorder="1"/>
    <xf numFmtId="17" fontId="49" fillId="11" borderId="2" xfId="2" applyNumberFormat="1" applyFont="1" applyFill="1" applyBorder="1" applyAlignment="1">
      <alignment horizontal="center"/>
    </xf>
    <xf numFmtId="17" fontId="50" fillId="10" borderId="0" xfId="2" applyNumberFormat="1" applyFont="1" applyFill="1" applyBorder="1"/>
    <xf numFmtId="3" fontId="51" fillId="11" borderId="2" xfId="2" applyNumberFormat="1" applyFont="1" applyFill="1" applyBorder="1"/>
    <xf numFmtId="3" fontId="44" fillId="10" borderId="0" xfId="2" applyNumberFormat="1" applyFont="1" applyFill="1" applyBorder="1"/>
    <xf numFmtId="3" fontId="52" fillId="11" borderId="2" xfId="2" applyNumberFormat="1" applyFont="1" applyFill="1" applyBorder="1"/>
    <xf numFmtId="0" fontId="44" fillId="10" borderId="7" xfId="2" applyFont="1" applyFill="1" applyBorder="1"/>
    <xf numFmtId="0" fontId="53" fillId="10" borderId="0" xfId="2" applyFont="1" applyFill="1"/>
    <xf numFmtId="0" fontId="54" fillId="10" borderId="0" xfId="2" applyFont="1" applyFill="1"/>
    <xf numFmtId="0" fontId="54" fillId="10" borderId="5" xfId="2" applyFont="1" applyFill="1" applyBorder="1"/>
    <xf numFmtId="0" fontId="55" fillId="10" borderId="5" xfId="2" applyFont="1" applyFill="1" applyBorder="1"/>
    <xf numFmtId="0" fontId="56" fillId="10" borderId="5" xfId="2" applyFont="1" applyFill="1" applyBorder="1"/>
    <xf numFmtId="49" fontId="15" fillId="0" borderId="0" xfId="0" applyNumberFormat="1" applyFont="1" applyFill="1" applyBorder="1" applyAlignment="1">
      <alignment vertical="top"/>
    </xf>
    <xf numFmtId="49" fontId="19" fillId="4" borderId="6" xfId="0" applyNumberFormat="1" applyFont="1" applyFill="1" applyBorder="1" applyAlignment="1">
      <alignment horizontal="center" vertical="top"/>
    </xf>
    <xf numFmtId="3" fontId="18" fillId="4" borderId="6" xfId="0" applyNumberFormat="1" applyFont="1" applyFill="1" applyBorder="1" applyAlignment="1">
      <alignment horizontal="center" vertical="top"/>
    </xf>
    <xf numFmtId="3" fontId="13" fillId="4" borderId="13" xfId="0" applyNumberFormat="1" applyFont="1" applyFill="1" applyBorder="1" applyAlignment="1">
      <alignment horizontal="center" vertical="top"/>
    </xf>
    <xf numFmtId="3" fontId="15" fillId="4" borderId="6" xfId="0" applyNumberFormat="1" applyFont="1" applyFill="1" applyBorder="1" applyAlignment="1">
      <alignment horizontal="center" vertical="top"/>
    </xf>
    <xf numFmtId="3" fontId="13" fillId="6" borderId="32" xfId="0" applyNumberFormat="1" applyFont="1" applyFill="1" applyBorder="1" applyAlignment="1">
      <alignment horizontal="center" vertical="top"/>
    </xf>
    <xf numFmtId="3" fontId="34" fillId="7" borderId="6" xfId="0" applyNumberFormat="1" applyFont="1" applyFill="1" applyBorder="1" applyAlignment="1">
      <alignment horizontal="center" vertical="top"/>
    </xf>
    <xf numFmtId="3" fontId="34" fillId="7" borderId="12" xfId="0" applyNumberFormat="1" applyFont="1" applyFill="1" applyBorder="1" applyAlignment="1">
      <alignment horizontal="center" vertical="top"/>
    </xf>
    <xf numFmtId="3" fontId="32" fillId="7" borderId="13" xfId="0" applyNumberFormat="1" applyFont="1" applyFill="1" applyBorder="1" applyAlignment="1">
      <alignment horizontal="center" vertical="top"/>
    </xf>
    <xf numFmtId="3" fontId="32" fillId="7" borderId="12" xfId="0" applyNumberFormat="1" applyFont="1" applyFill="1" applyBorder="1" applyAlignment="1">
      <alignment horizontal="center" vertical="top"/>
    </xf>
    <xf numFmtId="49" fontId="59" fillId="7" borderId="2" xfId="0" applyNumberFormat="1" applyFont="1" applyFill="1" applyBorder="1" applyAlignment="1">
      <alignment vertical="top"/>
    </xf>
    <xf numFmtId="3" fontId="31" fillId="7" borderId="6" xfId="0" applyNumberFormat="1" applyFont="1" applyFill="1" applyBorder="1" applyAlignment="1">
      <alignment horizontal="center" vertical="top"/>
    </xf>
    <xf numFmtId="0" fontId="3" fillId="0" borderId="7" xfId="2" applyFill="1" applyBorder="1"/>
    <xf numFmtId="0" fontId="3" fillId="0" borderId="0" xfId="2" applyFill="1"/>
    <xf numFmtId="0" fontId="2" fillId="10" borderId="0" xfId="5" applyFill="1"/>
    <xf numFmtId="3" fontId="44" fillId="11" borderId="0" xfId="5" applyNumberFormat="1" applyFont="1" applyFill="1"/>
    <xf numFmtId="0" fontId="43" fillId="10" borderId="0" xfId="5" applyFont="1" applyFill="1" applyAlignment="1">
      <alignment horizontal="right"/>
    </xf>
    <xf numFmtId="3" fontId="2" fillId="10" borderId="0" xfId="5" applyNumberFormat="1" applyFill="1"/>
    <xf numFmtId="17" fontId="2" fillId="10" borderId="0" xfId="5" applyNumberFormat="1" applyFill="1"/>
    <xf numFmtId="0" fontId="43" fillId="10" borderId="5" xfId="5" applyFont="1" applyFill="1" applyBorder="1"/>
    <xf numFmtId="3" fontId="44" fillId="13" borderId="0" xfId="5" applyNumberFormat="1" applyFont="1" applyFill="1"/>
    <xf numFmtId="9" fontId="60" fillId="13" borderId="0" xfId="5" applyNumberFormat="1" applyFont="1" applyFill="1"/>
    <xf numFmtId="9" fontId="2" fillId="14" borderId="0" xfId="5" applyNumberFormat="1" applyFill="1"/>
    <xf numFmtId="9" fontId="61" fillId="13" borderId="0" xfId="5" applyNumberFormat="1" applyFont="1" applyFill="1"/>
    <xf numFmtId="0" fontId="2" fillId="10" borderId="0" xfId="5" applyFill="1" applyAlignment="1">
      <alignment horizontal="center"/>
    </xf>
    <xf numFmtId="0" fontId="2" fillId="13" borderId="0" xfId="5" applyFill="1"/>
    <xf numFmtId="17" fontId="49" fillId="11" borderId="0" xfId="5" applyNumberFormat="1" applyFont="1" applyFill="1" applyBorder="1" applyAlignment="1">
      <alignment horizontal="center"/>
    </xf>
    <xf numFmtId="17" fontId="50" fillId="10" borderId="0" xfId="5" applyNumberFormat="1" applyFont="1" applyFill="1" applyBorder="1"/>
    <xf numFmtId="0" fontId="2" fillId="10" borderId="7" xfId="5" applyFill="1" applyBorder="1"/>
    <xf numFmtId="0" fontId="53" fillId="15" borderId="0" xfId="5" applyFont="1" applyFill="1"/>
    <xf numFmtId="0" fontId="54" fillId="10" borderId="0" xfId="5" applyFont="1" applyFill="1"/>
    <xf numFmtId="0" fontId="55" fillId="10" borderId="0" xfId="5" applyFont="1" applyFill="1"/>
    <xf numFmtId="3" fontId="34" fillId="7" borderId="14" xfId="0" applyNumberFormat="1" applyFont="1" applyFill="1" applyBorder="1" applyAlignment="1">
      <alignment horizontal="center" vertical="top"/>
    </xf>
    <xf numFmtId="3" fontId="34" fillId="7" borderId="15" xfId="0" applyNumberFormat="1" applyFont="1" applyFill="1" applyBorder="1" applyAlignment="1">
      <alignment horizontal="center" vertical="top"/>
    </xf>
    <xf numFmtId="3" fontId="32" fillId="7" borderId="14" xfId="0" applyNumberFormat="1" applyFont="1" applyFill="1" applyBorder="1" applyAlignment="1">
      <alignment horizontal="center" vertical="top"/>
    </xf>
    <xf numFmtId="3" fontId="34" fillId="7" borderId="0" xfId="0" applyNumberFormat="1" applyFont="1" applyFill="1" applyBorder="1" applyAlignment="1">
      <alignment horizontal="center" vertical="top"/>
    </xf>
    <xf numFmtId="3" fontId="37" fillId="7" borderId="6" xfId="0" applyNumberFormat="1" applyFont="1" applyFill="1" applyBorder="1" applyAlignment="1">
      <alignment horizontal="center" vertical="top"/>
    </xf>
    <xf numFmtId="3" fontId="32" fillId="7" borderId="0" xfId="0" applyNumberFormat="1" applyFont="1" applyFill="1" applyBorder="1" applyAlignment="1">
      <alignment horizontal="center" vertical="top"/>
    </xf>
    <xf numFmtId="3" fontId="32" fillId="7" borderId="16" xfId="0" applyNumberFormat="1" applyFont="1" applyFill="1" applyBorder="1" applyAlignment="1">
      <alignment horizontal="center" vertical="top"/>
    </xf>
    <xf numFmtId="3" fontId="36" fillId="7" borderId="6" xfId="0" applyNumberFormat="1" applyFont="1" applyFill="1" applyBorder="1" applyAlignment="1">
      <alignment horizontal="center" vertical="top"/>
    </xf>
    <xf numFmtId="3" fontId="38" fillId="8" borderId="30" xfId="0" applyNumberFormat="1" applyFont="1" applyFill="1" applyBorder="1" applyAlignment="1">
      <alignment horizontal="center" vertical="top"/>
    </xf>
    <xf numFmtId="3" fontId="38" fillId="8" borderId="31" xfId="0" applyNumberFormat="1" applyFont="1" applyFill="1" applyBorder="1" applyAlignment="1">
      <alignment horizontal="center" vertical="top"/>
    </xf>
    <xf numFmtId="3" fontId="32" fillId="8" borderId="6" xfId="0" applyNumberFormat="1" applyFont="1" applyFill="1" applyBorder="1" applyAlignment="1">
      <alignment horizontal="center" vertical="top"/>
    </xf>
    <xf numFmtId="3" fontId="32" fillId="7" borderId="6" xfId="0" applyNumberFormat="1" applyFont="1" applyFill="1" applyBorder="1" applyAlignment="1">
      <alignment horizontal="center" vertical="top"/>
    </xf>
    <xf numFmtId="3" fontId="34" fillId="7" borderId="13" xfId="0" applyNumberFormat="1" applyFont="1" applyFill="1" applyBorder="1" applyAlignment="1">
      <alignment horizontal="center" vertical="top"/>
    </xf>
    <xf numFmtId="3" fontId="34" fillId="7" borderId="16" xfId="0" applyNumberFormat="1" applyFont="1" applyFill="1" applyBorder="1" applyAlignment="1">
      <alignment horizontal="center" vertical="top"/>
    </xf>
    <xf numFmtId="3" fontId="34" fillId="0" borderId="16" xfId="0" applyNumberFormat="1" applyFont="1" applyFill="1" applyBorder="1" applyAlignment="1">
      <alignment horizontal="center" vertical="top"/>
    </xf>
    <xf numFmtId="3" fontId="34" fillId="7" borderId="17" xfId="0" applyNumberFormat="1" applyFont="1" applyFill="1" applyBorder="1" applyAlignment="1">
      <alignment horizontal="center" vertical="top"/>
    </xf>
    <xf numFmtId="3" fontId="34" fillId="7" borderId="18" xfId="0" applyNumberFormat="1" applyFont="1" applyFill="1" applyBorder="1" applyAlignment="1">
      <alignment horizontal="center" vertical="top"/>
    </xf>
    <xf numFmtId="49" fontId="34" fillId="7" borderId="2" xfId="0" applyNumberFormat="1" applyFont="1" applyFill="1" applyBorder="1" applyAlignment="1">
      <alignment horizontal="center" vertical="top"/>
    </xf>
    <xf numFmtId="1" fontId="34" fillId="7" borderId="2" xfId="0" applyNumberFormat="1" applyFont="1" applyFill="1" applyBorder="1" applyAlignment="1">
      <alignment horizontal="center" vertical="top"/>
    </xf>
    <xf numFmtId="3" fontId="38" fillId="8" borderId="32" xfId="0" applyNumberFormat="1" applyFont="1" applyFill="1" applyBorder="1" applyAlignment="1">
      <alignment horizontal="center" vertical="top"/>
    </xf>
    <xf numFmtId="49" fontId="32" fillId="7" borderId="2" xfId="0" applyNumberFormat="1" applyFont="1" applyFill="1" applyBorder="1" applyAlignment="1">
      <alignment horizontal="center" vertical="top"/>
    </xf>
    <xf numFmtId="49" fontId="32" fillId="7" borderId="1" xfId="0" applyNumberFormat="1" applyFont="1" applyFill="1" applyBorder="1" applyAlignment="1">
      <alignment horizontal="center" vertical="top"/>
    </xf>
    <xf numFmtId="49" fontId="34" fillId="7" borderId="3" xfId="0" applyNumberFormat="1" applyFont="1" applyFill="1" applyBorder="1" applyAlignment="1">
      <alignment horizontal="center" vertical="top"/>
    </xf>
    <xf numFmtId="3" fontId="39" fillId="8" borderId="32" xfId="0" applyNumberFormat="1" applyFont="1" applyFill="1" applyBorder="1" applyAlignment="1">
      <alignment horizontal="center" vertical="top"/>
    </xf>
    <xf numFmtId="3" fontId="39" fillId="8" borderId="30" xfId="0" applyNumberFormat="1" applyFont="1" applyFill="1" applyBorder="1" applyAlignment="1">
      <alignment horizontal="center" vertical="top"/>
    </xf>
    <xf numFmtId="3" fontId="39" fillId="8" borderId="31" xfId="0" applyNumberFormat="1" applyFont="1" applyFill="1" applyBorder="1" applyAlignment="1">
      <alignment horizontal="center" vertical="top"/>
    </xf>
    <xf numFmtId="3" fontId="39" fillId="7" borderId="0" xfId="0" applyNumberFormat="1" applyFont="1" applyFill="1" applyBorder="1" applyAlignment="1">
      <alignment horizontal="center" vertical="top"/>
    </xf>
    <xf numFmtId="3" fontId="39" fillId="7" borderId="16" xfId="0" applyNumberFormat="1" applyFont="1" applyFill="1" applyBorder="1" applyAlignment="1">
      <alignment horizontal="center" vertical="top"/>
    </xf>
    <xf numFmtId="3" fontId="39" fillId="7" borderId="32" xfId="0" applyNumberFormat="1" applyFont="1" applyFill="1" applyBorder="1" applyAlignment="1">
      <alignment horizontal="center" vertical="top"/>
    </xf>
    <xf numFmtId="3" fontId="39" fillId="7" borderId="30" xfId="0" applyNumberFormat="1" applyFont="1" applyFill="1" applyBorder="1" applyAlignment="1">
      <alignment horizontal="center" vertical="top"/>
    </xf>
    <xf numFmtId="3" fontId="39" fillId="7" borderId="31" xfId="0" applyNumberFormat="1" applyFont="1" applyFill="1" applyBorder="1" applyAlignment="1">
      <alignment horizontal="center" vertical="top"/>
    </xf>
    <xf numFmtId="10" fontId="13" fillId="7" borderId="13" xfId="1" applyNumberFormat="1" applyFont="1" applyFill="1" applyBorder="1" applyAlignment="1">
      <alignment horizontal="center" vertical="top"/>
    </xf>
    <xf numFmtId="10" fontId="13" fillId="7" borderId="14" xfId="1" applyNumberFormat="1" applyFont="1" applyFill="1" applyBorder="1" applyAlignment="1">
      <alignment horizontal="center" vertical="top"/>
    </xf>
    <xf numFmtId="10" fontId="13" fillId="7" borderId="15" xfId="1" applyNumberFormat="1" applyFont="1" applyFill="1" applyBorder="1" applyAlignment="1">
      <alignment horizontal="center" vertical="top"/>
    </xf>
    <xf numFmtId="0" fontId="1" fillId="10" borderId="7" xfId="2" applyFont="1" applyFill="1" applyBorder="1"/>
    <xf numFmtId="0" fontId="3" fillId="0" borderId="7" xfId="2" applyFont="1" applyFill="1" applyBorder="1"/>
  </cellXfs>
  <cellStyles count="6">
    <cellStyle name="Normal" xfId="0" builtinId="0"/>
    <cellStyle name="Normal 2" xfId="2"/>
    <cellStyle name="Normal 3" xfId="4"/>
    <cellStyle name="Normal 4" xfId="5"/>
    <cellStyle name="Pourcentage" xfId="1" builtinId="5"/>
    <cellStyle name="Pourcentage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  <color rgb="FFF3F8FF"/>
      <color rgb="FFCDE5FF"/>
      <color rgb="FF9ACCFF"/>
      <color rgb="FF028080"/>
      <color rgb="FF00137F"/>
      <color rgb="FFE3EFF9"/>
      <color rgb="FFD0E4F4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e/Desktop/DISTRIBEO/BP%20Feb%202012%20F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ropbox/dossier%20ab/sarl%20bellucci/leko/Cash%20Burn%20LEK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ropbox/dossier%20ab/sarl%20bellucci/leko/Pr&#233;vi%20sous-traitant%20(Enregistr&#233;%20automatiquement)%20(Modifications%20de%20alain,%202016-03-09)%20(Copie%20en%20conflit%20de%20alain%20bellucci%202016-03-0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ropbox/dossier%20ab/sarl%20bellucci/leko/160204%20BP%20LEKO%20%20AB%20F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Stats"/>
      <sheetName val="Hypothesis"/>
      <sheetName val="Cashflow"/>
      <sheetName val="P&amp;L"/>
      <sheetName val="Graphs"/>
      <sheetName val="Sales Forecast"/>
      <sheetName val="Headcount"/>
      <sheetName val="Sales Planning Last Meter"/>
      <sheetName val="Sales Planning Places"/>
      <sheetName val="Sales Planning TV"/>
      <sheetName val="Acquisition"/>
      <sheetName val="Costs - Subcontractors"/>
      <sheetName val="Costs - T&amp;L"/>
      <sheetName val="Costs - IT"/>
      <sheetName val="Settings"/>
    </sheetNames>
    <sheetDataSet>
      <sheetData sheetId="0"/>
      <sheetData sheetId="1"/>
      <sheetData sheetId="2"/>
      <sheetData sheetId="3">
        <row r="1">
          <cell r="A1" t="str">
            <v xml:space="preserve">                     BP 2012 - P&amp;L - France</v>
          </cell>
        </row>
        <row r="2">
          <cell r="B2">
            <v>0</v>
          </cell>
          <cell r="C2">
            <v>0</v>
          </cell>
          <cell r="D2">
            <v>2012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R2">
            <v>2013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F2">
            <v>2014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40909</v>
          </cell>
          <cell r="E5">
            <v>40940</v>
          </cell>
          <cell r="F5">
            <v>40969</v>
          </cell>
          <cell r="G5">
            <v>41000</v>
          </cell>
          <cell r="H5">
            <v>41030</v>
          </cell>
          <cell r="I5">
            <v>41061</v>
          </cell>
          <cell r="J5">
            <v>41091</v>
          </cell>
          <cell r="K5">
            <v>41122</v>
          </cell>
          <cell r="L5">
            <v>41153</v>
          </cell>
          <cell r="M5">
            <v>41183</v>
          </cell>
          <cell r="N5">
            <v>41214</v>
          </cell>
          <cell r="O5">
            <v>41244</v>
          </cell>
          <cell r="P5">
            <v>2012</v>
          </cell>
          <cell r="Q5">
            <v>0</v>
          </cell>
          <cell r="R5">
            <v>41275</v>
          </cell>
          <cell r="S5">
            <v>41306</v>
          </cell>
          <cell r="T5">
            <v>41334</v>
          </cell>
          <cell r="U5">
            <v>41365</v>
          </cell>
          <cell r="V5">
            <v>41395</v>
          </cell>
          <cell r="W5">
            <v>41426</v>
          </cell>
          <cell r="X5">
            <v>41456</v>
          </cell>
          <cell r="Y5">
            <v>41487</v>
          </cell>
          <cell r="Z5">
            <v>41518</v>
          </cell>
          <cell r="AA5">
            <v>41548</v>
          </cell>
          <cell r="AB5">
            <v>41579</v>
          </cell>
          <cell r="AC5">
            <v>41609</v>
          </cell>
          <cell r="AD5">
            <v>2013</v>
          </cell>
          <cell r="AE5">
            <v>0</v>
          </cell>
          <cell r="AF5">
            <v>41640</v>
          </cell>
          <cell r="AG5">
            <v>41671</v>
          </cell>
          <cell r="AH5">
            <v>41699</v>
          </cell>
          <cell r="AI5">
            <v>41730</v>
          </cell>
          <cell r="AJ5">
            <v>41760</v>
          </cell>
          <cell r="AK5">
            <v>41791</v>
          </cell>
          <cell r="AL5">
            <v>41821</v>
          </cell>
          <cell r="AM5">
            <v>41852</v>
          </cell>
          <cell r="AN5">
            <v>41883</v>
          </cell>
          <cell r="AO5">
            <v>41913</v>
          </cell>
          <cell r="AP5">
            <v>41944</v>
          </cell>
          <cell r="AQ5">
            <v>41974</v>
          </cell>
          <cell r="AR5">
            <v>2014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</row>
        <row r="7">
          <cell r="B7" t="str">
            <v>Total Revenue</v>
          </cell>
          <cell r="C7">
            <v>0</v>
          </cell>
          <cell r="D7">
            <v>63.306759974749603</v>
          </cell>
          <cell r="E7">
            <v>64.79482326975868</v>
          </cell>
          <cell r="F7">
            <v>154.58062849335823</v>
          </cell>
          <cell r="G7">
            <v>157.96012854128352</v>
          </cell>
          <cell r="H7">
            <v>190.29001891956761</v>
          </cell>
          <cell r="I7">
            <v>262.99464028205068</v>
          </cell>
          <cell r="J7">
            <v>202.23792834747502</v>
          </cell>
          <cell r="K7">
            <v>198.38113972571955</v>
          </cell>
          <cell r="L7">
            <v>306.61303763457175</v>
          </cell>
          <cell r="M7">
            <v>273.03132268725432</v>
          </cell>
          <cell r="N7">
            <v>261.08664048258936</v>
          </cell>
          <cell r="O7">
            <v>319.93442879165508</v>
          </cell>
          <cell r="P7">
            <v>2455.2114971500337</v>
          </cell>
          <cell r="Q7">
            <v>0</v>
          </cell>
          <cell r="R7">
            <v>286.50436832990823</v>
          </cell>
          <cell r="S7">
            <v>285.01445260539572</v>
          </cell>
          <cell r="T7">
            <v>541.03658520925319</v>
          </cell>
          <cell r="U7">
            <v>506.81332716633005</v>
          </cell>
          <cell r="V7">
            <v>500.46759184708213</v>
          </cell>
          <cell r="W7">
            <v>759.30723909520009</v>
          </cell>
          <cell r="X7">
            <v>574.61282553778028</v>
          </cell>
          <cell r="Y7">
            <v>552.56620447474324</v>
          </cell>
          <cell r="Z7">
            <v>798.02544049049789</v>
          </cell>
          <cell r="AA7">
            <v>662.7340700167822</v>
          </cell>
          <cell r="AB7">
            <v>640.30898710286192</v>
          </cell>
          <cell r="AC7">
            <v>850.44732498570283</v>
          </cell>
          <cell r="AD7">
            <v>6957.8384168615385</v>
          </cell>
          <cell r="AE7">
            <v>0</v>
          </cell>
          <cell r="AF7">
            <v>916.14184810974132</v>
          </cell>
          <cell r="AG7">
            <v>739.52627217871304</v>
          </cell>
          <cell r="AH7">
            <v>887.50580301153866</v>
          </cell>
          <cell r="AI7">
            <v>978.99924459063186</v>
          </cell>
          <cell r="AJ7">
            <v>1052.1515665954303</v>
          </cell>
          <cell r="AK7">
            <v>1204.445732791396</v>
          </cell>
          <cell r="AL7">
            <v>1091.7737374723424</v>
          </cell>
          <cell r="AM7">
            <v>1094.3107946071777</v>
          </cell>
          <cell r="AN7">
            <v>1227.4342996795956</v>
          </cell>
          <cell r="AO7">
            <v>1221.637731803014</v>
          </cell>
          <cell r="AP7">
            <v>1265.9394094387417</v>
          </cell>
          <cell r="AQ7">
            <v>1336.6765519701369</v>
          </cell>
          <cell r="AR7">
            <v>13016.542992248458</v>
          </cell>
        </row>
        <row r="8">
          <cell r="B8" t="str">
            <v>SB Last meter - Setup new client</v>
          </cell>
          <cell r="C8">
            <v>0</v>
          </cell>
          <cell r="D8">
            <v>1.3333333333333333</v>
          </cell>
          <cell r="E8">
            <v>1.3333333333333333</v>
          </cell>
          <cell r="F8">
            <v>1.3333333333333333</v>
          </cell>
          <cell r="G8">
            <v>1.6</v>
          </cell>
          <cell r="H8">
            <v>1.6</v>
          </cell>
          <cell r="I8">
            <v>1.6</v>
          </cell>
          <cell r="J8">
            <v>1.7333333333333334</v>
          </cell>
          <cell r="K8">
            <v>1.7333333333333334</v>
          </cell>
          <cell r="L8">
            <v>1.7333333333333334</v>
          </cell>
          <cell r="M8">
            <v>1.9999999999999998</v>
          </cell>
          <cell r="N8">
            <v>1.9999999999999998</v>
          </cell>
          <cell r="O8">
            <v>1.9999999999999998</v>
          </cell>
          <cell r="P8">
            <v>20</v>
          </cell>
          <cell r="Q8">
            <v>0</v>
          </cell>
          <cell r="R8">
            <v>1.3333333333333333</v>
          </cell>
          <cell r="S8">
            <v>1.3333333333333333</v>
          </cell>
          <cell r="T8">
            <v>1.3333333333333333</v>
          </cell>
          <cell r="U8">
            <v>1.6</v>
          </cell>
          <cell r="V8">
            <v>1.6</v>
          </cell>
          <cell r="W8">
            <v>1.6</v>
          </cell>
          <cell r="X8">
            <v>1.7333333333333334</v>
          </cell>
          <cell r="Y8">
            <v>1.7333333333333334</v>
          </cell>
          <cell r="Z8">
            <v>1.7333333333333334</v>
          </cell>
          <cell r="AA8">
            <v>1.9999999999999998</v>
          </cell>
          <cell r="AB8">
            <v>1.9999999999999998</v>
          </cell>
          <cell r="AC8">
            <v>1.9999999999999998</v>
          </cell>
          <cell r="AD8">
            <v>20</v>
          </cell>
          <cell r="AE8">
            <v>0</v>
          </cell>
          <cell r="AF8">
            <v>1.3333333333333333</v>
          </cell>
          <cell r="AG8">
            <v>1.3333333333333333</v>
          </cell>
          <cell r="AH8">
            <v>1.3333333333333333</v>
          </cell>
          <cell r="AI8">
            <v>1.6</v>
          </cell>
          <cell r="AJ8">
            <v>1.6</v>
          </cell>
          <cell r="AK8">
            <v>1.6</v>
          </cell>
          <cell r="AL8">
            <v>1.7333333333333334</v>
          </cell>
          <cell r="AM8">
            <v>1.7333333333333334</v>
          </cell>
          <cell r="AN8">
            <v>1.7333333333333334</v>
          </cell>
          <cell r="AO8">
            <v>1.9999999999999998</v>
          </cell>
          <cell r="AP8">
            <v>1.9999999999999998</v>
          </cell>
          <cell r="AQ8">
            <v>1.9999999999999998</v>
          </cell>
          <cell r="AR8">
            <v>20</v>
          </cell>
        </row>
        <row r="9">
          <cell r="B9" t="str">
            <v>SB Last meter - Setup new campaign</v>
          </cell>
          <cell r="C9">
            <v>0</v>
          </cell>
          <cell r="D9">
            <v>12.333333333333332</v>
          </cell>
          <cell r="E9">
            <v>12.333333333333332</v>
          </cell>
          <cell r="F9">
            <v>12.333333333333332</v>
          </cell>
          <cell r="G9">
            <v>14.8</v>
          </cell>
          <cell r="H9">
            <v>14.8</v>
          </cell>
          <cell r="I9">
            <v>14.8</v>
          </cell>
          <cell r="J9">
            <v>16.033333333333331</v>
          </cell>
          <cell r="K9">
            <v>16.033333333333331</v>
          </cell>
          <cell r="L9">
            <v>16.033333333333331</v>
          </cell>
          <cell r="M9">
            <v>18.5</v>
          </cell>
          <cell r="N9">
            <v>18.5</v>
          </cell>
          <cell r="O9">
            <v>18.5</v>
          </cell>
          <cell r="P9">
            <v>185</v>
          </cell>
          <cell r="Q9">
            <v>0</v>
          </cell>
          <cell r="R9">
            <v>26.666666666666671</v>
          </cell>
          <cell r="S9">
            <v>26.666666666666671</v>
          </cell>
          <cell r="T9">
            <v>26.666666666666671</v>
          </cell>
          <cell r="U9">
            <v>32.000000000000007</v>
          </cell>
          <cell r="V9">
            <v>32.000000000000007</v>
          </cell>
          <cell r="W9">
            <v>32.000000000000007</v>
          </cell>
          <cell r="X9">
            <v>34.666666666666671</v>
          </cell>
          <cell r="Y9">
            <v>34.666666666666671</v>
          </cell>
          <cell r="Z9">
            <v>34.666666666666671</v>
          </cell>
          <cell r="AA9">
            <v>40</v>
          </cell>
          <cell r="AB9">
            <v>40</v>
          </cell>
          <cell r="AC9">
            <v>40</v>
          </cell>
          <cell r="AD9">
            <v>400.00000000000006</v>
          </cell>
          <cell r="AE9">
            <v>0</v>
          </cell>
          <cell r="AF9">
            <v>40.000000000000007</v>
          </cell>
          <cell r="AG9">
            <v>40.000000000000007</v>
          </cell>
          <cell r="AH9">
            <v>40.000000000000007</v>
          </cell>
          <cell r="AI9">
            <v>48.000000000000007</v>
          </cell>
          <cell r="AJ9">
            <v>48.000000000000007</v>
          </cell>
          <cell r="AK9">
            <v>48.000000000000007</v>
          </cell>
          <cell r="AL9">
            <v>52.000000000000014</v>
          </cell>
          <cell r="AM9">
            <v>52.000000000000014</v>
          </cell>
          <cell r="AN9">
            <v>52.000000000000014</v>
          </cell>
          <cell r="AO9">
            <v>60.000000000000007</v>
          </cell>
          <cell r="AP9">
            <v>60.000000000000007</v>
          </cell>
          <cell r="AQ9">
            <v>60.000000000000007</v>
          </cell>
          <cell r="AR9">
            <v>600.00000000000011</v>
          </cell>
        </row>
        <row r="10">
          <cell r="B10" t="str">
            <v>SB Last meter - Points</v>
          </cell>
          <cell r="C10">
            <v>0</v>
          </cell>
          <cell r="D10">
            <v>49.640093308082939</v>
          </cell>
          <cell r="E10">
            <v>51.128156603092016</v>
          </cell>
          <cell r="F10">
            <v>71.913961826691576</v>
          </cell>
          <cell r="G10">
            <v>91.295917571528022</v>
          </cell>
          <cell r="H10">
            <v>117.9876516993957</v>
          </cell>
          <cell r="I10">
            <v>121.77573951480699</v>
          </cell>
          <cell r="J10">
            <v>120.75125917583978</v>
          </cell>
          <cell r="K10">
            <v>118.18511251225544</v>
          </cell>
          <cell r="L10">
            <v>133.18910428366112</v>
          </cell>
          <cell r="M10">
            <v>147.27650626640997</v>
          </cell>
          <cell r="N10">
            <v>139.36651867910123</v>
          </cell>
          <cell r="O10">
            <v>132.4899785591351</v>
          </cell>
          <cell r="P10">
            <v>1295</v>
          </cell>
          <cell r="Q10">
            <v>0</v>
          </cell>
          <cell r="R10">
            <v>107.50920431786999</v>
          </cell>
          <cell r="S10">
            <v>106.89560405796665</v>
          </cell>
          <cell r="T10">
            <v>122.03255948902404</v>
          </cell>
          <cell r="U10">
            <v>188.05428502687928</v>
          </cell>
          <cell r="V10">
            <v>186.49795490755537</v>
          </cell>
          <cell r="W10">
            <v>203.08640177221511</v>
          </cell>
          <cell r="X10">
            <v>197.35881862031326</v>
          </cell>
          <cell r="Y10">
            <v>187.4438311148466</v>
          </cell>
          <cell r="Z10">
            <v>196.06963166205634</v>
          </cell>
          <cell r="AA10">
            <v>204.2398770051052</v>
          </cell>
          <cell r="AB10">
            <v>194.66870713250967</v>
          </cell>
          <cell r="AC10">
            <v>186.14312489365867</v>
          </cell>
          <cell r="AD10">
            <v>2080</v>
          </cell>
          <cell r="AE10">
            <v>0</v>
          </cell>
          <cell r="AF10">
            <v>182.53487467959093</v>
          </cell>
          <cell r="AG10">
            <v>179.33434186613624</v>
          </cell>
          <cell r="AH10">
            <v>192.00531767616027</v>
          </cell>
          <cell r="AI10">
            <v>255.65303100269114</v>
          </cell>
          <cell r="AJ10">
            <v>251.85193651586928</v>
          </cell>
          <cell r="AK10">
            <v>266.28037205864354</v>
          </cell>
          <cell r="AL10">
            <v>258.48672817954127</v>
          </cell>
          <cell r="AM10">
            <v>246.58603088973931</v>
          </cell>
          <cell r="AN10">
            <v>253.29199258607889</v>
          </cell>
          <cell r="AO10">
            <v>276.9495606559023</v>
          </cell>
          <cell r="AP10">
            <v>264.20530785196667</v>
          </cell>
          <cell r="AQ10">
            <v>252.82050603768027</v>
          </cell>
          <cell r="AR10">
            <v>2880</v>
          </cell>
        </row>
        <row r="11">
          <cell r="B11" t="str">
            <v>SB Places - Setup</v>
          </cell>
          <cell r="C11">
            <v>0</v>
          </cell>
          <cell r="D11">
            <v>0</v>
          </cell>
          <cell r="E11">
            <v>0</v>
          </cell>
          <cell r="F11">
            <v>60</v>
          </cell>
          <cell r="G11">
            <v>0</v>
          </cell>
          <cell r="H11">
            <v>0</v>
          </cell>
          <cell r="I11">
            <v>60</v>
          </cell>
          <cell r="J11">
            <v>0</v>
          </cell>
          <cell r="K11">
            <v>0</v>
          </cell>
          <cell r="L11">
            <v>60</v>
          </cell>
          <cell r="M11">
            <v>0</v>
          </cell>
          <cell r="N11">
            <v>0</v>
          </cell>
          <cell r="O11">
            <v>60</v>
          </cell>
          <cell r="P11">
            <v>240</v>
          </cell>
          <cell r="Q11">
            <v>0</v>
          </cell>
          <cell r="R11">
            <v>0</v>
          </cell>
          <cell r="S11">
            <v>0</v>
          </cell>
          <cell r="T11">
            <v>191.25</v>
          </cell>
          <cell r="U11">
            <v>0</v>
          </cell>
          <cell r="V11">
            <v>0</v>
          </cell>
          <cell r="W11">
            <v>191.25</v>
          </cell>
          <cell r="X11">
            <v>0</v>
          </cell>
          <cell r="Y11">
            <v>0</v>
          </cell>
          <cell r="Z11">
            <v>191.25</v>
          </cell>
          <cell r="AA11">
            <v>0</v>
          </cell>
          <cell r="AB11">
            <v>0</v>
          </cell>
          <cell r="AC11">
            <v>191.25</v>
          </cell>
          <cell r="AD11">
            <v>765</v>
          </cell>
          <cell r="AE11">
            <v>0</v>
          </cell>
          <cell r="AF11">
            <v>0</v>
          </cell>
          <cell r="AG11">
            <v>0</v>
          </cell>
          <cell r="AH11">
            <v>87.5</v>
          </cell>
          <cell r="AI11">
            <v>0</v>
          </cell>
          <cell r="AJ11">
            <v>0</v>
          </cell>
          <cell r="AK11">
            <v>87.5</v>
          </cell>
          <cell r="AL11">
            <v>0</v>
          </cell>
          <cell r="AM11">
            <v>0</v>
          </cell>
          <cell r="AN11">
            <v>87.5</v>
          </cell>
          <cell r="AO11">
            <v>0</v>
          </cell>
          <cell r="AP11">
            <v>0</v>
          </cell>
          <cell r="AQ11">
            <v>87.5</v>
          </cell>
          <cell r="AR11">
            <v>350</v>
          </cell>
        </row>
        <row r="12">
          <cell r="B12" t="str">
            <v>SB Places - Licence</v>
          </cell>
          <cell r="C12">
            <v>0</v>
          </cell>
          <cell r="D12">
            <v>0</v>
          </cell>
          <cell r="E12">
            <v>0</v>
          </cell>
          <cell r="F12">
            <v>9</v>
          </cell>
          <cell r="G12">
            <v>9</v>
          </cell>
          <cell r="H12">
            <v>9</v>
          </cell>
          <cell r="I12">
            <v>18</v>
          </cell>
          <cell r="J12">
            <v>18</v>
          </cell>
          <cell r="K12">
            <v>18</v>
          </cell>
          <cell r="L12">
            <v>27</v>
          </cell>
          <cell r="M12">
            <v>27</v>
          </cell>
          <cell r="N12">
            <v>27</v>
          </cell>
          <cell r="O12">
            <v>36</v>
          </cell>
          <cell r="P12">
            <v>198</v>
          </cell>
          <cell r="Q12">
            <v>0</v>
          </cell>
          <cell r="R12">
            <v>36</v>
          </cell>
          <cell r="S12">
            <v>36</v>
          </cell>
          <cell r="T12">
            <v>74.25</v>
          </cell>
          <cell r="U12">
            <v>74.25</v>
          </cell>
          <cell r="V12">
            <v>74.25</v>
          </cell>
          <cell r="W12">
            <v>112.5</v>
          </cell>
          <cell r="X12">
            <v>112.5</v>
          </cell>
          <cell r="Y12">
            <v>112.5</v>
          </cell>
          <cell r="Z12">
            <v>150.75</v>
          </cell>
          <cell r="AA12">
            <v>150.75</v>
          </cell>
          <cell r="AB12">
            <v>150.75</v>
          </cell>
          <cell r="AC12">
            <v>189</v>
          </cell>
          <cell r="AD12">
            <v>1273.5</v>
          </cell>
          <cell r="AE12">
            <v>0</v>
          </cell>
          <cell r="AF12">
            <v>189</v>
          </cell>
          <cell r="AG12">
            <v>189</v>
          </cell>
          <cell r="AH12">
            <v>215.25</v>
          </cell>
          <cell r="AI12">
            <v>215.25</v>
          </cell>
          <cell r="AJ12">
            <v>215.25</v>
          </cell>
          <cell r="AK12">
            <v>241.5</v>
          </cell>
          <cell r="AL12">
            <v>241.5</v>
          </cell>
          <cell r="AM12">
            <v>241.5</v>
          </cell>
          <cell r="AN12">
            <v>267.75</v>
          </cell>
          <cell r="AO12">
            <v>267.75</v>
          </cell>
          <cell r="AP12">
            <v>267.75</v>
          </cell>
          <cell r="AQ12">
            <v>294</v>
          </cell>
          <cell r="AR12">
            <v>2845.5</v>
          </cell>
        </row>
        <row r="13">
          <cell r="B13" t="str">
            <v>SB TV - Setup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21.6</v>
          </cell>
          <cell r="H13">
            <v>21.6</v>
          </cell>
          <cell r="I13">
            <v>21.6</v>
          </cell>
          <cell r="J13">
            <v>21.6</v>
          </cell>
          <cell r="K13">
            <v>21.6</v>
          </cell>
          <cell r="L13">
            <v>31.2</v>
          </cell>
          <cell r="M13">
            <v>33.6</v>
          </cell>
          <cell r="N13">
            <v>33.6</v>
          </cell>
          <cell r="O13">
            <v>33.6</v>
          </cell>
          <cell r="P13">
            <v>239.99999999999997</v>
          </cell>
          <cell r="Q13">
            <v>0</v>
          </cell>
          <cell r="R13">
            <v>48</v>
          </cell>
          <cell r="S13">
            <v>48</v>
          </cell>
          <cell r="T13">
            <v>48</v>
          </cell>
          <cell r="U13">
            <v>57.6</v>
          </cell>
          <cell r="V13">
            <v>57.6</v>
          </cell>
          <cell r="W13">
            <v>57.6</v>
          </cell>
          <cell r="X13">
            <v>62.4</v>
          </cell>
          <cell r="Y13">
            <v>62.4</v>
          </cell>
          <cell r="Z13">
            <v>62.4</v>
          </cell>
          <cell r="AA13">
            <v>72</v>
          </cell>
          <cell r="AB13">
            <v>72</v>
          </cell>
          <cell r="AC13">
            <v>72</v>
          </cell>
          <cell r="AD13">
            <v>720</v>
          </cell>
          <cell r="AE13">
            <v>0</v>
          </cell>
          <cell r="AF13">
            <v>148.49999999999997</v>
          </cell>
          <cell r="AG13">
            <v>99</v>
          </cell>
          <cell r="AH13">
            <v>99</v>
          </cell>
          <cell r="AI13">
            <v>99</v>
          </cell>
          <cell r="AJ13">
            <v>118.8</v>
          </cell>
          <cell r="AK13">
            <v>118.8</v>
          </cell>
          <cell r="AL13">
            <v>118.8</v>
          </cell>
          <cell r="AM13">
            <v>128.69999999999999</v>
          </cell>
          <cell r="AN13">
            <v>128.69999999999999</v>
          </cell>
          <cell r="AO13">
            <v>128.69999999999999</v>
          </cell>
          <cell r="AP13">
            <v>148.49999999999997</v>
          </cell>
          <cell r="AQ13">
            <v>148.49999999999997</v>
          </cell>
          <cell r="AR13">
            <v>1485</v>
          </cell>
        </row>
        <row r="14">
          <cell r="B14" t="str">
            <v>SB TV - Exposure Points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3.4900451389612277</v>
          </cell>
          <cell r="H14">
            <v>4.4832017776630417</v>
          </cell>
          <cell r="I14">
            <v>4.407337077029128</v>
          </cell>
          <cell r="J14">
            <v>4.1527107492732487</v>
          </cell>
          <cell r="K14">
            <v>3.8736032571863617</v>
          </cell>
          <cell r="L14">
            <v>6.3780576584521596</v>
          </cell>
          <cell r="M14">
            <v>7.6074508965734191</v>
          </cell>
          <cell r="N14">
            <v>6.7974945833935818</v>
          </cell>
          <cell r="O14">
            <v>6.1503106936668885</v>
          </cell>
          <cell r="P14">
            <v>47.340211832199053</v>
          </cell>
          <cell r="Q14">
            <v>0</v>
          </cell>
          <cell r="R14">
            <v>17.081982977121395</v>
          </cell>
          <cell r="S14">
            <v>16.704170672616918</v>
          </cell>
          <cell r="T14">
            <v>20.182574814114094</v>
          </cell>
          <cell r="U14">
            <v>42.851791562534594</v>
          </cell>
          <cell r="V14">
            <v>40.550938218702271</v>
          </cell>
          <cell r="W14">
            <v>43.903426562464134</v>
          </cell>
          <cell r="X14">
            <v>44.097851144949779</v>
          </cell>
          <cell r="Y14">
            <v>39.773388567413406</v>
          </cell>
          <cell r="Z14">
            <v>41.73466271310695</v>
          </cell>
          <cell r="AA14">
            <v>50.176883944600895</v>
          </cell>
          <cell r="AB14">
            <v>45.72001883417586</v>
          </cell>
          <cell r="AC14">
            <v>42.0847696032451</v>
          </cell>
          <cell r="AD14">
            <v>444.8624596150454</v>
          </cell>
          <cell r="AE14">
            <v>0</v>
          </cell>
          <cell r="AF14">
            <v>111.6093973181804</v>
          </cell>
          <cell r="AG14">
            <v>72.108740276833061</v>
          </cell>
          <cell r="AH14">
            <v>80.530175218693685</v>
          </cell>
          <cell r="AI14">
            <v>122.17914078922848</v>
          </cell>
          <cell r="AJ14">
            <v>139.11890325605128</v>
          </cell>
          <cell r="AK14">
            <v>147.24711079696044</v>
          </cell>
          <cell r="AL14">
            <v>137.42836890592011</v>
          </cell>
          <cell r="AM14">
            <v>135.94000842450006</v>
          </cell>
          <cell r="AN14">
            <v>140.33949598031597</v>
          </cell>
          <cell r="AO14">
            <v>159.19255035551862</v>
          </cell>
          <cell r="AP14">
            <v>167.69890637572561</v>
          </cell>
          <cell r="AQ14">
            <v>154.63168542271092</v>
          </cell>
          <cell r="AR14">
            <v>1568.0244831206385</v>
          </cell>
        </row>
        <row r="15">
          <cell r="B15" t="str">
            <v>SB TV - Activation Points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16.174165830794273</v>
          </cell>
          <cell r="H15">
            <v>20.819165442508865</v>
          </cell>
          <cell r="I15">
            <v>20.811563690214577</v>
          </cell>
          <cell r="J15">
            <v>19.967291755695346</v>
          </cell>
          <cell r="K15">
            <v>18.955757289611086</v>
          </cell>
          <cell r="L15">
            <v>31.079209025791794</v>
          </cell>
          <cell r="M15">
            <v>37.047365524270951</v>
          </cell>
          <cell r="N15">
            <v>33.822627220094546</v>
          </cell>
          <cell r="O15">
            <v>31.194139538853094</v>
          </cell>
          <cell r="P15">
            <v>229.87128531783452</v>
          </cell>
          <cell r="Q15">
            <v>0</v>
          </cell>
          <cell r="R15">
            <v>49.91318103491686</v>
          </cell>
          <cell r="S15">
            <v>49.414677874812135</v>
          </cell>
          <cell r="T15">
            <v>57.321450906114997</v>
          </cell>
          <cell r="U15">
            <v>110.45725057691617</v>
          </cell>
          <cell r="V15">
            <v>107.96869872082441</v>
          </cell>
          <cell r="W15">
            <v>117.36741076052085</v>
          </cell>
          <cell r="X15">
            <v>121.85615577251718</v>
          </cell>
          <cell r="Y15">
            <v>114.04898479248324</v>
          </cell>
          <cell r="Z15">
            <v>119.42114611533458</v>
          </cell>
          <cell r="AA15">
            <v>143.56730906707605</v>
          </cell>
          <cell r="AB15">
            <v>135.17026113617646</v>
          </cell>
          <cell r="AC15">
            <v>127.96943048879906</v>
          </cell>
          <cell r="AD15">
            <v>1254.475957246492</v>
          </cell>
          <cell r="AE15">
            <v>0</v>
          </cell>
          <cell r="AF15">
            <v>243.16424277863669</v>
          </cell>
          <cell r="AG15">
            <v>158.74985670241045</v>
          </cell>
          <cell r="AH15">
            <v>171.88697678335143</v>
          </cell>
          <cell r="AI15">
            <v>237.3170727987121</v>
          </cell>
          <cell r="AJ15">
            <v>277.53072682350978</v>
          </cell>
          <cell r="AK15">
            <v>293.51824993579214</v>
          </cell>
          <cell r="AL15">
            <v>281.82530705354759</v>
          </cell>
          <cell r="AM15">
            <v>287.85142195960486</v>
          </cell>
          <cell r="AN15">
            <v>296.11947777986751</v>
          </cell>
          <cell r="AO15">
            <v>327.04562079159314</v>
          </cell>
          <cell r="AP15">
            <v>355.78519521104931</v>
          </cell>
          <cell r="AQ15">
            <v>337.22436050974562</v>
          </cell>
          <cell r="AR15">
            <v>3268.0185091278199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</row>
        <row r="17">
          <cell r="B17" t="str">
            <v>Cost of Sale</v>
          </cell>
          <cell r="C17">
            <v>0</v>
          </cell>
          <cell r="D17">
            <v>33.1150349905311</v>
          </cell>
          <cell r="E17">
            <v>43.17305872615951</v>
          </cell>
          <cell r="F17">
            <v>97.367735685009336</v>
          </cell>
          <cell r="G17">
            <v>106.61004820298132</v>
          </cell>
          <cell r="H17">
            <v>137.23375709483784</v>
          </cell>
          <cell r="I17">
            <v>93.022990105769011</v>
          </cell>
          <cell r="J17">
            <v>75.826723130303137</v>
          </cell>
          <cell r="K17">
            <v>70.880427397144842</v>
          </cell>
          <cell r="L17">
            <v>123.39238911296439</v>
          </cell>
          <cell r="M17">
            <v>125.97424600772038</v>
          </cell>
          <cell r="N17">
            <v>78.994990180971001</v>
          </cell>
          <cell r="O17">
            <v>83.587910796870659</v>
          </cell>
          <cell r="P17">
            <v>1069.1793114312625</v>
          </cell>
          <cell r="Q17">
            <v>0</v>
          </cell>
          <cell r="R17">
            <v>88.939138123715594</v>
          </cell>
          <cell r="S17">
            <v>90.630419727023394</v>
          </cell>
          <cell r="T17">
            <v>166.90121945346991</v>
          </cell>
          <cell r="U17">
            <v>352.76124768737373</v>
          </cell>
          <cell r="V17">
            <v>168.13159694265576</v>
          </cell>
          <cell r="W17">
            <v>246.95896466070002</v>
          </cell>
          <cell r="X17">
            <v>166.74230957666759</v>
          </cell>
          <cell r="Y17">
            <v>145.72482667802871</v>
          </cell>
          <cell r="Z17">
            <v>215.03454018393671</v>
          </cell>
          <cell r="AA17">
            <v>212.9940262562933</v>
          </cell>
          <cell r="AB17">
            <v>156.33462016357325</v>
          </cell>
          <cell r="AC17">
            <v>170.89899686963858</v>
          </cell>
          <cell r="AD17">
            <v>2182.0519063230768</v>
          </cell>
          <cell r="AE17">
            <v>0</v>
          </cell>
          <cell r="AF17">
            <v>227.74069304115298</v>
          </cell>
          <cell r="AG17">
            <v>183.44735206701739</v>
          </cell>
          <cell r="AH17">
            <v>256.28342612932704</v>
          </cell>
          <cell r="AI17">
            <v>459.30596672148693</v>
          </cell>
          <cell r="AJ17">
            <v>295.93808747328637</v>
          </cell>
          <cell r="AK17">
            <v>374.14214979677354</v>
          </cell>
          <cell r="AL17">
            <v>287.40265155212836</v>
          </cell>
          <cell r="AM17">
            <v>273.01654797769157</v>
          </cell>
          <cell r="AN17">
            <v>337.28161237984841</v>
          </cell>
          <cell r="AO17">
            <v>403.82039942613028</v>
          </cell>
          <cell r="AP17">
            <v>313.63352853952807</v>
          </cell>
          <cell r="AQ17">
            <v>315.2537069888013</v>
          </cell>
          <cell r="AR17">
            <v>3727.2661220931718</v>
          </cell>
        </row>
        <row r="18">
          <cell r="B18" t="str">
            <v>SB Places - Production costs</v>
          </cell>
          <cell r="C18">
            <v>0</v>
          </cell>
          <cell r="D18">
            <v>0</v>
          </cell>
          <cell r="E18">
            <v>0</v>
          </cell>
          <cell r="F18">
            <v>3.9</v>
          </cell>
          <cell r="G18">
            <v>0</v>
          </cell>
          <cell r="H18">
            <v>0</v>
          </cell>
          <cell r="I18">
            <v>3.9</v>
          </cell>
          <cell r="J18">
            <v>0</v>
          </cell>
          <cell r="K18">
            <v>0</v>
          </cell>
          <cell r="L18">
            <v>3.9</v>
          </cell>
          <cell r="M18">
            <v>0</v>
          </cell>
          <cell r="N18">
            <v>0</v>
          </cell>
          <cell r="O18">
            <v>3.9</v>
          </cell>
          <cell r="P18">
            <v>15.6</v>
          </cell>
          <cell r="Q18">
            <v>0</v>
          </cell>
          <cell r="R18">
            <v>0</v>
          </cell>
          <cell r="S18">
            <v>0</v>
          </cell>
          <cell r="T18">
            <v>16.574999999999999</v>
          </cell>
          <cell r="U18">
            <v>0</v>
          </cell>
          <cell r="V18">
            <v>0</v>
          </cell>
          <cell r="W18">
            <v>16.574999999999999</v>
          </cell>
          <cell r="X18">
            <v>0</v>
          </cell>
          <cell r="Y18">
            <v>0</v>
          </cell>
          <cell r="Z18">
            <v>16.574999999999999</v>
          </cell>
          <cell r="AA18">
            <v>0</v>
          </cell>
          <cell r="AB18">
            <v>0</v>
          </cell>
          <cell r="AC18">
            <v>16.574999999999999</v>
          </cell>
          <cell r="AD18">
            <v>66.3</v>
          </cell>
          <cell r="AE18">
            <v>0</v>
          </cell>
          <cell r="AF18">
            <v>0</v>
          </cell>
          <cell r="AG18">
            <v>0</v>
          </cell>
          <cell r="AH18">
            <v>11.375</v>
          </cell>
          <cell r="AI18">
            <v>0</v>
          </cell>
          <cell r="AJ18">
            <v>0</v>
          </cell>
          <cell r="AK18">
            <v>11.375</v>
          </cell>
          <cell r="AL18">
            <v>0</v>
          </cell>
          <cell r="AM18">
            <v>0</v>
          </cell>
          <cell r="AN18">
            <v>11.375</v>
          </cell>
          <cell r="AO18">
            <v>0</v>
          </cell>
          <cell r="AP18">
            <v>0</v>
          </cell>
          <cell r="AQ18">
            <v>11.375</v>
          </cell>
          <cell r="AR18">
            <v>45.5</v>
          </cell>
        </row>
        <row r="19">
          <cell r="B19" t="str">
            <v>SB Last meter - Rewards</v>
          </cell>
          <cell r="C19">
            <v>0</v>
          </cell>
          <cell r="D19">
            <v>18.6150349905311</v>
          </cell>
          <cell r="E19">
            <v>19.173058726159507</v>
          </cell>
          <cell r="F19">
            <v>26.967735685009341</v>
          </cell>
          <cell r="G19">
            <v>34.235969089323014</v>
          </cell>
          <cell r="H19">
            <v>44.245369387273385</v>
          </cell>
          <cell r="I19">
            <v>45.665902318052623</v>
          </cell>
          <cell r="J19">
            <v>45.281722190939917</v>
          </cell>
          <cell r="K19">
            <v>44.319417192095791</v>
          </cell>
          <cell r="L19">
            <v>49.945914106372918</v>
          </cell>
          <cell r="M19">
            <v>55.228689849903738</v>
          </cell>
          <cell r="N19">
            <v>52.262444504662952</v>
          </cell>
          <cell r="O19">
            <v>49.683741959675665</v>
          </cell>
          <cell r="P19">
            <v>485.62499999999994</v>
          </cell>
          <cell r="Q19">
            <v>0</v>
          </cell>
          <cell r="R19">
            <v>40.315951619201243</v>
          </cell>
          <cell r="S19">
            <v>40.085851521737496</v>
          </cell>
          <cell r="T19">
            <v>45.762209808384007</v>
          </cell>
          <cell r="U19">
            <v>70.520356885079735</v>
          </cell>
          <cell r="V19">
            <v>69.936733090333263</v>
          </cell>
          <cell r="W19">
            <v>76.157400664580663</v>
          </cell>
          <cell r="X19">
            <v>74.009556982617482</v>
          </cell>
          <cell r="Y19">
            <v>70.291436668067476</v>
          </cell>
          <cell r="Z19">
            <v>73.526111873271134</v>
          </cell>
          <cell r="AA19">
            <v>76.58995387691445</v>
          </cell>
          <cell r="AB19">
            <v>73.000765174691125</v>
          </cell>
          <cell r="AC19">
            <v>69.803671835122003</v>
          </cell>
          <cell r="AD19">
            <v>780.00000000000011</v>
          </cell>
          <cell r="AE19">
            <v>0</v>
          </cell>
          <cell r="AF19">
            <v>68.450578004846591</v>
          </cell>
          <cell r="AG19">
            <v>67.250378199801077</v>
          </cell>
          <cell r="AH19">
            <v>72.001994128560113</v>
          </cell>
          <cell r="AI19">
            <v>95.869886626009176</v>
          </cell>
          <cell r="AJ19">
            <v>94.444476193450967</v>
          </cell>
          <cell r="AK19">
            <v>99.855139521991333</v>
          </cell>
          <cell r="AL19">
            <v>96.932523067327978</v>
          </cell>
          <cell r="AM19">
            <v>92.469761583652243</v>
          </cell>
          <cell r="AN19">
            <v>94.984497219779584</v>
          </cell>
          <cell r="AO19">
            <v>103.85608524596336</v>
          </cell>
          <cell r="AP19">
            <v>99.076990444487478</v>
          </cell>
          <cell r="AQ19">
            <v>94.807689764130103</v>
          </cell>
          <cell r="AR19">
            <v>1080</v>
          </cell>
        </row>
        <row r="20">
          <cell r="B20" t="str">
            <v>SB TV - Exposure rewards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1.3087669271104603</v>
          </cell>
          <cell r="H20">
            <v>1.6812006666236408</v>
          </cell>
          <cell r="I20">
            <v>1.6527514038859228</v>
          </cell>
          <cell r="J20">
            <v>1.5572665309774683</v>
          </cell>
          <cell r="K20">
            <v>1.4526012214448856</v>
          </cell>
          <cell r="L20">
            <v>2.3917716219195602</v>
          </cell>
          <cell r="M20">
            <v>2.8527940862150323</v>
          </cell>
          <cell r="N20">
            <v>2.5490604687725931</v>
          </cell>
          <cell r="O20">
            <v>2.3063665101250832</v>
          </cell>
          <cell r="P20">
            <v>17.752579437074647</v>
          </cell>
          <cell r="Q20">
            <v>0</v>
          </cell>
          <cell r="R20">
            <v>6.4057436164205228</v>
          </cell>
          <cell r="S20">
            <v>6.2640640022313434</v>
          </cell>
          <cell r="T20">
            <v>7.5684655552927849</v>
          </cell>
          <cell r="U20">
            <v>16.069421835950472</v>
          </cell>
          <cell r="V20">
            <v>15.206601832013352</v>
          </cell>
          <cell r="W20">
            <v>16.463784960924052</v>
          </cell>
          <cell r="X20">
            <v>16.536694179356168</v>
          </cell>
          <cell r="Y20">
            <v>14.915020712780027</v>
          </cell>
          <cell r="Z20">
            <v>15.650498517415103</v>
          </cell>
          <cell r="AA20">
            <v>18.816331479225337</v>
          </cell>
          <cell r="AB20">
            <v>17.145007062815949</v>
          </cell>
          <cell r="AC20">
            <v>15.781788601216912</v>
          </cell>
          <cell r="AD20">
            <v>166.82342235564201</v>
          </cell>
          <cell r="AE20">
            <v>0</v>
          </cell>
          <cell r="AF20">
            <v>41.853523994317648</v>
          </cell>
          <cell r="AG20">
            <v>27.040777603812398</v>
          </cell>
          <cell r="AH20">
            <v>30.19881570701013</v>
          </cell>
          <cell r="AI20">
            <v>45.817177795960674</v>
          </cell>
          <cell r="AJ20">
            <v>52.169588721019231</v>
          </cell>
          <cell r="AK20">
            <v>55.217666548860173</v>
          </cell>
          <cell r="AL20">
            <v>51.535638339720037</v>
          </cell>
          <cell r="AM20">
            <v>50.977503159187521</v>
          </cell>
          <cell r="AN20">
            <v>52.627310992618497</v>
          </cell>
          <cell r="AO20">
            <v>59.697206383319482</v>
          </cell>
          <cell r="AP20">
            <v>62.887089890897101</v>
          </cell>
          <cell r="AQ20">
            <v>57.986882033516594</v>
          </cell>
          <cell r="AR20">
            <v>588.00918117023946</v>
          </cell>
        </row>
        <row r="21">
          <cell r="B21" t="str">
            <v>SB TV - Activation rewards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6.0653121865478523</v>
          </cell>
          <cell r="H21">
            <v>7.8071870409408239</v>
          </cell>
          <cell r="I21">
            <v>7.8043363838304671</v>
          </cell>
          <cell r="J21">
            <v>7.4877344083857551</v>
          </cell>
          <cell r="K21">
            <v>7.108408983604158</v>
          </cell>
          <cell r="L21">
            <v>11.654703384671924</v>
          </cell>
          <cell r="M21">
            <v>13.892762071601606</v>
          </cell>
          <cell r="N21">
            <v>12.683485207535453</v>
          </cell>
          <cell r="O21">
            <v>11.69780232706991</v>
          </cell>
          <cell r="P21">
            <v>86.201731994187952</v>
          </cell>
          <cell r="Q21">
            <v>0</v>
          </cell>
          <cell r="R21">
            <v>18.717442888093821</v>
          </cell>
          <cell r="S21">
            <v>18.530504203054551</v>
          </cell>
          <cell r="T21">
            <v>21.495544089793121</v>
          </cell>
          <cell r="U21">
            <v>41.421468966343561</v>
          </cell>
          <cell r="V21">
            <v>40.488262020309151</v>
          </cell>
          <cell r="W21">
            <v>44.012779035195322</v>
          </cell>
          <cell r="X21">
            <v>45.696058414693944</v>
          </cell>
          <cell r="Y21">
            <v>42.768369297181209</v>
          </cell>
          <cell r="Z21">
            <v>44.78292979325046</v>
          </cell>
          <cell r="AA21">
            <v>53.837740900153513</v>
          </cell>
          <cell r="AB21">
            <v>50.688847926066174</v>
          </cell>
          <cell r="AC21">
            <v>47.98853643329965</v>
          </cell>
          <cell r="AD21">
            <v>470.42848396743443</v>
          </cell>
          <cell r="AE21">
            <v>0</v>
          </cell>
          <cell r="AF21">
            <v>91.186591041988748</v>
          </cell>
          <cell r="AG21">
            <v>59.531196263403913</v>
          </cell>
          <cell r="AH21">
            <v>64.457616293756786</v>
          </cell>
          <cell r="AI21">
            <v>88.993902299517032</v>
          </cell>
          <cell r="AJ21">
            <v>104.07402255881617</v>
          </cell>
          <cell r="AK21">
            <v>110.06934372592205</v>
          </cell>
          <cell r="AL21">
            <v>105.68449014508035</v>
          </cell>
          <cell r="AM21">
            <v>107.94428323485181</v>
          </cell>
          <cell r="AN21">
            <v>111.04480416745032</v>
          </cell>
          <cell r="AO21">
            <v>122.64210779684744</v>
          </cell>
          <cell r="AP21">
            <v>133.41944820414349</v>
          </cell>
          <cell r="AQ21">
            <v>126.4591351911546</v>
          </cell>
          <cell r="AR21">
            <v>1225.5069409229329</v>
          </cell>
        </row>
        <row r="22">
          <cell r="B22" t="str">
            <v>Advertising (Acquisition)</v>
          </cell>
          <cell r="C22">
            <v>0</v>
          </cell>
          <cell r="D22">
            <v>12</v>
          </cell>
          <cell r="E22">
            <v>12</v>
          </cell>
          <cell r="F22">
            <v>57</v>
          </cell>
          <cell r="G22">
            <v>57</v>
          </cell>
          <cell r="H22">
            <v>77</v>
          </cell>
          <cell r="I22">
            <v>27</v>
          </cell>
          <cell r="J22">
            <v>15</v>
          </cell>
          <cell r="K22">
            <v>10</v>
          </cell>
          <cell r="L22">
            <v>50</v>
          </cell>
          <cell r="M22">
            <v>50</v>
          </cell>
          <cell r="N22">
            <v>0</v>
          </cell>
          <cell r="O22">
            <v>0</v>
          </cell>
          <cell r="P22">
            <v>367</v>
          </cell>
          <cell r="Q22">
            <v>0</v>
          </cell>
          <cell r="R22">
            <v>12</v>
          </cell>
          <cell r="S22">
            <v>12</v>
          </cell>
          <cell r="T22">
            <v>57</v>
          </cell>
          <cell r="U22">
            <v>207</v>
          </cell>
          <cell r="V22">
            <v>27</v>
          </cell>
          <cell r="W22">
            <v>77</v>
          </cell>
          <cell r="X22">
            <v>15</v>
          </cell>
          <cell r="Y22">
            <v>0</v>
          </cell>
          <cell r="Z22">
            <v>50</v>
          </cell>
          <cell r="AA22">
            <v>50</v>
          </cell>
          <cell r="AB22">
            <v>0</v>
          </cell>
          <cell r="AC22">
            <v>0</v>
          </cell>
          <cell r="AD22">
            <v>507</v>
          </cell>
          <cell r="AE22">
            <v>0</v>
          </cell>
          <cell r="AF22">
            <v>12</v>
          </cell>
          <cell r="AG22">
            <v>12</v>
          </cell>
          <cell r="AH22">
            <v>57</v>
          </cell>
          <cell r="AI22">
            <v>207</v>
          </cell>
          <cell r="AJ22">
            <v>27</v>
          </cell>
          <cell r="AK22">
            <v>77</v>
          </cell>
          <cell r="AL22">
            <v>15</v>
          </cell>
          <cell r="AM22">
            <v>0</v>
          </cell>
          <cell r="AN22">
            <v>50</v>
          </cell>
          <cell r="AO22">
            <v>100</v>
          </cell>
          <cell r="AP22">
            <v>0</v>
          </cell>
          <cell r="AQ22">
            <v>0</v>
          </cell>
          <cell r="AR22">
            <v>557</v>
          </cell>
        </row>
        <row r="23">
          <cell r="B23" t="str">
            <v>Marketing &amp; Communication</v>
          </cell>
          <cell r="C23">
            <v>0</v>
          </cell>
          <cell r="D23">
            <v>1.5</v>
          </cell>
          <cell r="E23">
            <v>1.5</v>
          </cell>
          <cell r="F23">
            <v>1.5</v>
          </cell>
          <cell r="G23">
            <v>1.5</v>
          </cell>
          <cell r="H23">
            <v>1.5</v>
          </cell>
          <cell r="I23">
            <v>1.5</v>
          </cell>
          <cell r="J23">
            <v>1.5</v>
          </cell>
          <cell r="K23">
            <v>1.5</v>
          </cell>
          <cell r="L23">
            <v>1.5</v>
          </cell>
          <cell r="M23">
            <v>1.5</v>
          </cell>
          <cell r="N23">
            <v>1.5</v>
          </cell>
          <cell r="O23">
            <v>1.5</v>
          </cell>
          <cell r="P23">
            <v>18</v>
          </cell>
          <cell r="Q23">
            <v>0</v>
          </cell>
          <cell r="R23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  <cell r="W23">
            <v>2</v>
          </cell>
          <cell r="X23">
            <v>2</v>
          </cell>
          <cell r="Y23">
            <v>2</v>
          </cell>
          <cell r="Z23">
            <v>2</v>
          </cell>
          <cell r="AA23">
            <v>2</v>
          </cell>
          <cell r="AB23">
            <v>2</v>
          </cell>
          <cell r="AC23">
            <v>2</v>
          </cell>
          <cell r="AD23">
            <v>24</v>
          </cell>
          <cell r="AE23">
            <v>0</v>
          </cell>
          <cell r="AF23">
            <v>3</v>
          </cell>
          <cell r="AG23">
            <v>3</v>
          </cell>
          <cell r="AH23">
            <v>3</v>
          </cell>
          <cell r="AI23">
            <v>3</v>
          </cell>
          <cell r="AJ23">
            <v>3</v>
          </cell>
          <cell r="AK23">
            <v>3</v>
          </cell>
          <cell r="AL23">
            <v>3</v>
          </cell>
          <cell r="AM23">
            <v>3</v>
          </cell>
          <cell r="AN23">
            <v>3</v>
          </cell>
          <cell r="AO23">
            <v>3</v>
          </cell>
          <cell r="AP23">
            <v>3</v>
          </cell>
          <cell r="AQ23">
            <v>3</v>
          </cell>
          <cell r="AR23">
            <v>36</v>
          </cell>
        </row>
        <row r="24">
          <cell r="B24" t="str">
            <v>Consultants/Sub-contractors</v>
          </cell>
          <cell r="C24">
            <v>0</v>
          </cell>
          <cell r="D24">
            <v>1</v>
          </cell>
          <cell r="E24">
            <v>10.5</v>
          </cell>
          <cell r="F24">
            <v>8</v>
          </cell>
          <cell r="G24">
            <v>6.5</v>
          </cell>
          <cell r="H24">
            <v>5</v>
          </cell>
          <cell r="I24">
            <v>5.5</v>
          </cell>
          <cell r="J24">
            <v>5</v>
          </cell>
          <cell r="K24">
            <v>6.5</v>
          </cell>
          <cell r="L24">
            <v>4</v>
          </cell>
          <cell r="M24">
            <v>2.5</v>
          </cell>
          <cell r="N24">
            <v>10</v>
          </cell>
          <cell r="O24">
            <v>14.5</v>
          </cell>
          <cell r="P24">
            <v>79</v>
          </cell>
          <cell r="Q24">
            <v>0</v>
          </cell>
          <cell r="R24">
            <v>9.5</v>
          </cell>
          <cell r="S24">
            <v>11.75</v>
          </cell>
          <cell r="T24">
            <v>16.5</v>
          </cell>
          <cell r="U24">
            <v>15.75</v>
          </cell>
          <cell r="V24">
            <v>13.5</v>
          </cell>
          <cell r="W24">
            <v>14.75</v>
          </cell>
          <cell r="X24">
            <v>13.5</v>
          </cell>
          <cell r="Y24">
            <v>15.75</v>
          </cell>
          <cell r="Z24">
            <v>12.5</v>
          </cell>
          <cell r="AA24">
            <v>11.75</v>
          </cell>
          <cell r="AB24">
            <v>13.5</v>
          </cell>
          <cell r="AC24">
            <v>18.75</v>
          </cell>
          <cell r="AD24">
            <v>167.5</v>
          </cell>
          <cell r="AE24">
            <v>0</v>
          </cell>
          <cell r="AF24">
            <v>11.25</v>
          </cell>
          <cell r="AG24">
            <v>14.625</v>
          </cell>
          <cell r="AH24">
            <v>18.25</v>
          </cell>
          <cell r="AI24">
            <v>18.625</v>
          </cell>
          <cell r="AJ24">
            <v>15.25</v>
          </cell>
          <cell r="AK24">
            <v>17.625</v>
          </cell>
          <cell r="AL24">
            <v>15.25</v>
          </cell>
          <cell r="AM24">
            <v>18.625</v>
          </cell>
          <cell r="AN24">
            <v>14.25</v>
          </cell>
          <cell r="AO24">
            <v>14.625</v>
          </cell>
          <cell r="AP24">
            <v>15.25</v>
          </cell>
          <cell r="AQ24">
            <v>21.625</v>
          </cell>
          <cell r="AR24">
            <v>195.25</v>
          </cell>
        </row>
        <row r="25">
          <cell r="B25" t="str">
            <v>Gross Margin</v>
          </cell>
          <cell r="C25">
            <v>0</v>
          </cell>
          <cell r="D25">
            <v>30.191724984218503</v>
          </cell>
          <cell r="E25">
            <v>21.62176454359917</v>
          </cell>
          <cell r="F25">
            <v>57.212892808348897</v>
          </cell>
          <cell r="G25">
            <v>51.350080338302206</v>
          </cell>
          <cell r="H25">
            <v>53.056261824729773</v>
          </cell>
          <cell r="I25">
            <v>169.97165017628168</v>
          </cell>
          <cell r="J25">
            <v>126.41120521717188</v>
          </cell>
          <cell r="K25">
            <v>127.50071232857471</v>
          </cell>
          <cell r="L25">
            <v>183.22064852160736</v>
          </cell>
          <cell r="M25">
            <v>147.05707667953394</v>
          </cell>
          <cell r="N25">
            <v>182.09165030161836</v>
          </cell>
          <cell r="O25">
            <v>236.34651799478442</v>
          </cell>
          <cell r="P25">
            <v>1386.0321857187707</v>
          </cell>
          <cell r="Q25">
            <v>0</v>
          </cell>
          <cell r="R25">
            <v>197.56523020619264</v>
          </cell>
          <cell r="S25">
            <v>194.38403287837232</v>
          </cell>
          <cell r="T25">
            <v>374.13536575578325</v>
          </cell>
          <cell r="U25">
            <v>154.05207947895633</v>
          </cell>
          <cell r="V25">
            <v>332.33599490442634</v>
          </cell>
          <cell r="W25">
            <v>512.34827443450013</v>
          </cell>
          <cell r="X25">
            <v>407.87051596111269</v>
          </cell>
          <cell r="Y25">
            <v>406.84137779671454</v>
          </cell>
          <cell r="Z25">
            <v>582.99090030656112</v>
          </cell>
          <cell r="AA25">
            <v>449.7400437604889</v>
          </cell>
          <cell r="AB25">
            <v>483.97436693928864</v>
          </cell>
          <cell r="AC25">
            <v>679.54832811606423</v>
          </cell>
          <cell r="AD25">
            <v>4775.7865105384608</v>
          </cell>
          <cell r="AE25">
            <v>0</v>
          </cell>
          <cell r="AF25">
            <v>688.40115506858831</v>
          </cell>
          <cell r="AG25">
            <v>556.07892011169565</v>
          </cell>
          <cell r="AH25">
            <v>631.22237688221162</v>
          </cell>
          <cell r="AI25">
            <v>519.69327786914494</v>
          </cell>
          <cell r="AJ25">
            <v>756.21347912214389</v>
          </cell>
          <cell r="AK25">
            <v>830.3035829946225</v>
          </cell>
          <cell r="AL25">
            <v>804.371085920214</v>
          </cell>
          <cell r="AM25">
            <v>821.29424662948622</v>
          </cell>
          <cell r="AN25">
            <v>890.15268729974719</v>
          </cell>
          <cell r="AO25">
            <v>817.81733237688377</v>
          </cell>
          <cell r="AP25">
            <v>952.30588089921366</v>
          </cell>
          <cell r="AQ25">
            <v>1021.4228449813356</v>
          </cell>
          <cell r="AR25">
            <v>9289.2768701552886</v>
          </cell>
        </row>
        <row r="26">
          <cell r="B26" t="str">
            <v>Gross Margin%</v>
          </cell>
          <cell r="C26">
            <v>0</v>
          </cell>
          <cell r="D26">
            <v>0.47691154935524593</v>
          </cell>
          <cell r="E26">
            <v>0.333695864152323</v>
          </cell>
          <cell r="F26">
            <v>0.370116833952497</v>
          </cell>
          <cell r="G26">
            <v>0.32508254337664488</v>
          </cell>
          <cell r="H26">
            <v>0.27881789137430146</v>
          </cell>
          <cell r="I26">
            <v>0.64629320960303316</v>
          </cell>
          <cell r="J26">
            <v>0.62506180838630088</v>
          </cell>
          <cell r="K26">
            <v>0.64270581621245015</v>
          </cell>
          <cell r="L26">
            <v>0.59756313669862204</v>
          </cell>
          <cell r="M26">
            <v>0.53860881320192522</v>
          </cell>
          <cell r="N26">
            <v>0.69743763972389539</v>
          </cell>
          <cell r="O26">
            <v>0.73873424278665534</v>
          </cell>
          <cell r="P26">
            <v>0.56452659468548938</v>
          </cell>
          <cell r="Q26">
            <v>0</v>
          </cell>
          <cell r="R26">
            <v>0.68957144129368853</v>
          </cell>
          <cell r="S26">
            <v>0.68201465259552374</v>
          </cell>
          <cell r="T26">
            <v>0.69151583457351851</v>
          </cell>
          <cell r="U26">
            <v>0.30396217151645322</v>
          </cell>
          <cell r="V26">
            <v>0.6640509801601131</v>
          </cell>
          <cell r="W26">
            <v>0.67475752640659747</v>
          </cell>
          <cell r="X26">
            <v>0.70981798148933861</v>
          </cell>
          <cell r="Y26">
            <v>0.73627625884838288</v>
          </cell>
          <cell r="Z26">
            <v>0.73054174807789574</v>
          </cell>
          <cell r="AA26">
            <v>0.67861313324226757</v>
          </cell>
          <cell r="AB26">
            <v>0.75584503214467769</v>
          </cell>
          <cell r="AC26">
            <v>0.79904811050759472</v>
          </cell>
          <cell r="AD26">
            <v>0.68638939630516271</v>
          </cell>
          <cell r="AE26">
            <v>0</v>
          </cell>
          <cell r="AF26">
            <v>0.75141328440454258</v>
          </cell>
          <cell r="AG26">
            <v>0.75193937123212073</v>
          </cell>
          <cell r="AH26">
            <v>0.71123183053035766</v>
          </cell>
          <cell r="AI26">
            <v>0.53084134716207521</v>
          </cell>
          <cell r="AJ26">
            <v>0.71873055473282443</v>
          </cell>
          <cell r="AK26">
            <v>0.6893657060582794</v>
          </cell>
          <cell r="AL26">
            <v>0.73675621450876938</v>
          </cell>
          <cell r="AM26">
            <v>0.75051278912432218</v>
          </cell>
          <cell r="AN26">
            <v>0.72521412146630493</v>
          </cell>
          <cell r="AO26">
            <v>0.66944341279461617</v>
          </cell>
          <cell r="AP26">
            <v>0.75225233830221117</v>
          </cell>
          <cell r="AQ26">
            <v>0.76415109061040487</v>
          </cell>
          <cell r="AR26">
            <v>0.71365161054568704</v>
          </cell>
        </row>
        <row r="27">
          <cell r="B27" t="str">
            <v>Staffing Costs</v>
          </cell>
          <cell r="C27">
            <v>0</v>
          </cell>
          <cell r="D27">
            <v>83.713804198863741</v>
          </cell>
          <cell r="E27">
            <v>95.03076704713915</v>
          </cell>
          <cell r="F27">
            <v>105.92612828220113</v>
          </cell>
          <cell r="G27">
            <v>111.35809527799677</v>
          </cell>
          <cell r="H27">
            <v>138.3791573762883</v>
          </cell>
          <cell r="I27">
            <v>154.75210934721827</v>
          </cell>
          <cell r="J27">
            <v>153.08010688835998</v>
          </cell>
          <cell r="K27">
            <v>152.84847251226327</v>
          </cell>
          <cell r="L27">
            <v>181.66416369434671</v>
          </cell>
          <cell r="M27">
            <v>186.75787625986445</v>
          </cell>
          <cell r="N27">
            <v>186.0388043028735</v>
          </cell>
          <cell r="O27">
            <v>195.3945495560879</v>
          </cell>
          <cell r="P27">
            <v>1744.9440347435032</v>
          </cell>
          <cell r="Q27">
            <v>0</v>
          </cell>
          <cell r="R27">
            <v>216.00997895538762</v>
          </cell>
          <cell r="S27">
            <v>233.40349855187708</v>
          </cell>
          <cell r="T27">
            <v>260.13932749182669</v>
          </cell>
          <cell r="U27">
            <v>257.83825661876017</v>
          </cell>
          <cell r="V27">
            <v>312.50905029539734</v>
          </cell>
          <cell r="W27">
            <v>335.05813843881828</v>
          </cell>
          <cell r="X27">
            <v>333.06838246048613</v>
          </cell>
          <cell r="Y27">
            <v>331.53036100255878</v>
          </cell>
          <cell r="Z27">
            <v>358.23353121935224</v>
          </cell>
          <cell r="AA27">
            <v>350.37714683628064</v>
          </cell>
          <cell r="AB27">
            <v>348.78959201829463</v>
          </cell>
          <cell r="AC27">
            <v>376.52319362849857</v>
          </cell>
          <cell r="AD27">
            <v>3713.4804575175385</v>
          </cell>
          <cell r="AE27">
            <v>0</v>
          </cell>
          <cell r="AF27">
            <v>382.59807196929506</v>
          </cell>
          <cell r="AG27">
            <v>371.53419411210803</v>
          </cell>
          <cell r="AH27">
            <v>394.28215797561126</v>
          </cell>
          <cell r="AI27">
            <v>399.65242061803571</v>
          </cell>
          <cell r="AJ27">
            <v>487.16889760037469</v>
          </cell>
          <cell r="AK27">
            <v>500.22609295858672</v>
          </cell>
          <cell r="AL27">
            <v>502.15507735443146</v>
          </cell>
          <cell r="AM27">
            <v>502.91894387460769</v>
          </cell>
          <cell r="AN27">
            <v>514.59829105479014</v>
          </cell>
          <cell r="AO27">
            <v>518.87138438275576</v>
          </cell>
          <cell r="AP27">
            <v>523.43202674614827</v>
          </cell>
          <cell r="AQ27">
            <v>536.17006065561668</v>
          </cell>
          <cell r="AR27">
            <v>5633.6076193023609</v>
          </cell>
        </row>
        <row r="28">
          <cell r="B28" t="str">
            <v>Gross Salaries</v>
          </cell>
          <cell r="C28">
            <v>0</v>
          </cell>
          <cell r="D28">
            <v>53.500000000000007</v>
          </cell>
          <cell r="E28">
            <v>61.000000000000007</v>
          </cell>
          <cell r="F28">
            <v>63.500000000000007</v>
          </cell>
          <cell r="G28">
            <v>67.5</v>
          </cell>
          <cell r="H28">
            <v>84.375</v>
          </cell>
          <cell r="I28">
            <v>91.041666666666671</v>
          </cell>
          <cell r="J28">
            <v>93.541666666666671</v>
          </cell>
          <cell r="K28">
            <v>93.541666666666671</v>
          </cell>
          <cell r="L28">
            <v>106.70833333333334</v>
          </cell>
          <cell r="M28">
            <v>112.54166666666667</v>
          </cell>
          <cell r="N28">
            <v>112.54166666666667</v>
          </cell>
          <cell r="O28">
            <v>115.04166666666667</v>
          </cell>
          <cell r="P28">
            <v>1054.8333333333333</v>
          </cell>
          <cell r="Q28">
            <v>0</v>
          </cell>
          <cell r="R28">
            <v>130.04166666666669</v>
          </cell>
          <cell r="S28">
            <v>141.70833333333331</v>
          </cell>
          <cell r="T28">
            <v>144.625</v>
          </cell>
          <cell r="U28">
            <v>147.125</v>
          </cell>
          <cell r="V28">
            <v>183.90624999999997</v>
          </cell>
          <cell r="W28">
            <v>183.90624999999997</v>
          </cell>
          <cell r="X28">
            <v>193.48958333333331</v>
          </cell>
          <cell r="Y28">
            <v>193.48958333333331</v>
          </cell>
          <cell r="Z28">
            <v>196.82291666666666</v>
          </cell>
          <cell r="AA28">
            <v>199.94791666666666</v>
          </cell>
          <cell r="AB28">
            <v>199.94791666666666</v>
          </cell>
          <cell r="AC28">
            <v>205.57291666666666</v>
          </cell>
          <cell r="AD28">
            <v>2120.5833333333335</v>
          </cell>
          <cell r="AE28">
            <v>0</v>
          </cell>
          <cell r="AF28">
            <v>205.57291666666666</v>
          </cell>
          <cell r="AG28">
            <v>208.69791666666666</v>
          </cell>
          <cell r="AH28">
            <v>215.36458333333331</v>
          </cell>
          <cell r="AI28">
            <v>215.36458333333331</v>
          </cell>
          <cell r="AJ28">
            <v>269.20572916666669</v>
          </cell>
          <cell r="AK28">
            <v>269.20572916666669</v>
          </cell>
          <cell r="AL28">
            <v>277.01822916666669</v>
          </cell>
          <cell r="AM28">
            <v>277.01822916666669</v>
          </cell>
          <cell r="AN28">
            <v>277.01822916666669</v>
          </cell>
          <cell r="AO28">
            <v>280.92447916666669</v>
          </cell>
          <cell r="AP28">
            <v>280.92447916666669</v>
          </cell>
          <cell r="AQ28">
            <v>284.83072916666669</v>
          </cell>
          <cell r="AR28">
            <v>3061.145833333333</v>
          </cell>
        </row>
        <row r="29">
          <cell r="B29" t="str">
            <v>Gross Bonus</v>
          </cell>
          <cell r="C29">
            <v>0</v>
          </cell>
          <cell r="D29">
            <v>2.3092027992424882</v>
          </cell>
          <cell r="E29">
            <v>2.3538446980927601</v>
          </cell>
          <cell r="F29">
            <v>7.1174188548007482</v>
          </cell>
          <cell r="G29">
            <v>6.7387301853311712</v>
          </cell>
          <cell r="H29">
            <v>7.8777715841921854</v>
          </cell>
          <cell r="I29">
            <v>12.126406231478832</v>
          </cell>
          <cell r="J29">
            <v>8.5117379255733088</v>
          </cell>
          <cell r="K29">
            <v>8.3573150081755081</v>
          </cell>
          <cell r="L29">
            <v>14.401109129564469</v>
          </cell>
          <cell r="M29">
            <v>11.963584173242962</v>
          </cell>
          <cell r="N29">
            <v>11.484202868582324</v>
          </cell>
          <cell r="O29">
            <v>15.221366370725253</v>
          </cell>
          <cell r="P29">
            <v>108.46268982900202</v>
          </cell>
          <cell r="Q29">
            <v>0</v>
          </cell>
          <cell r="R29">
            <v>13.964985970258395</v>
          </cell>
          <cell r="S29">
            <v>13.893999034584743</v>
          </cell>
          <cell r="T29">
            <v>28.801218327884463</v>
          </cell>
          <cell r="U29">
            <v>24.76717107917343</v>
          </cell>
          <cell r="V29">
            <v>24.433116863598261</v>
          </cell>
          <cell r="W29">
            <v>39.465842292545553</v>
          </cell>
          <cell r="X29">
            <v>28.556004973657416</v>
          </cell>
          <cell r="Y29">
            <v>27.530657335039198</v>
          </cell>
          <cell r="Z29">
            <v>41.999437479568179</v>
          </cell>
          <cell r="AA29">
            <v>33.636847890853765</v>
          </cell>
          <cell r="AB29">
            <v>32.578478012196427</v>
          </cell>
          <cell r="AC29">
            <v>45.442545752332407</v>
          </cell>
          <cell r="AD29">
            <v>355.0703050116922</v>
          </cell>
          <cell r="AE29">
            <v>0</v>
          </cell>
          <cell r="AF29">
            <v>49.492464646196751</v>
          </cell>
          <cell r="AG29">
            <v>38.9915460747387</v>
          </cell>
          <cell r="AH29">
            <v>47.490188650407511</v>
          </cell>
          <cell r="AI29">
            <v>51.070363745357163</v>
          </cell>
          <cell r="AJ29">
            <v>55.573535900249745</v>
          </cell>
          <cell r="AK29">
            <v>64.27833280572446</v>
          </cell>
          <cell r="AL29">
            <v>57.751822402954289</v>
          </cell>
          <cell r="AM29">
            <v>58.261066749738461</v>
          </cell>
          <cell r="AN29">
            <v>66.047298203193378</v>
          </cell>
          <cell r="AO29">
            <v>64.989777088503772</v>
          </cell>
          <cell r="AP29">
            <v>68.030205330765497</v>
          </cell>
          <cell r="AQ29">
            <v>72.615977937077801</v>
          </cell>
          <cell r="AR29">
            <v>694.59257953490749</v>
          </cell>
        </row>
        <row r="30">
          <cell r="B30" t="str">
            <v>Social Contributions</v>
          </cell>
          <cell r="C30">
            <v>0</v>
          </cell>
          <cell r="D30">
            <v>26.750000000000004</v>
          </cell>
          <cell r="E30">
            <v>30.500000000000004</v>
          </cell>
          <cell r="F30">
            <v>31.750000000000004</v>
          </cell>
          <cell r="G30">
            <v>33.75</v>
          </cell>
          <cell r="H30">
            <v>42.1875</v>
          </cell>
          <cell r="I30">
            <v>45.520833333333336</v>
          </cell>
          <cell r="J30">
            <v>46.770833333333336</v>
          </cell>
          <cell r="K30">
            <v>46.770833333333336</v>
          </cell>
          <cell r="L30">
            <v>53.354166666666671</v>
          </cell>
          <cell r="M30">
            <v>56.270833333333336</v>
          </cell>
          <cell r="N30">
            <v>56.270833333333336</v>
          </cell>
          <cell r="O30">
            <v>57.520833333333336</v>
          </cell>
          <cell r="P30">
            <v>527.41666666666663</v>
          </cell>
          <cell r="Q30">
            <v>0</v>
          </cell>
          <cell r="R30">
            <v>65.020833333333343</v>
          </cell>
          <cell r="S30">
            <v>70.854166666666657</v>
          </cell>
          <cell r="T30">
            <v>72.3125</v>
          </cell>
          <cell r="U30">
            <v>73.5625</v>
          </cell>
          <cell r="V30">
            <v>91.953124999999986</v>
          </cell>
          <cell r="W30">
            <v>91.953124999999986</v>
          </cell>
          <cell r="X30">
            <v>96.744791666666657</v>
          </cell>
          <cell r="Y30">
            <v>96.744791666666657</v>
          </cell>
          <cell r="Z30">
            <v>98.411458333333329</v>
          </cell>
          <cell r="AA30">
            <v>99.973958333333329</v>
          </cell>
          <cell r="AB30">
            <v>99.973958333333329</v>
          </cell>
          <cell r="AC30">
            <v>102.78645833333333</v>
          </cell>
          <cell r="AD30">
            <v>1060.2916666666667</v>
          </cell>
          <cell r="AE30">
            <v>0</v>
          </cell>
          <cell r="AF30">
            <v>102.78645833333333</v>
          </cell>
          <cell r="AG30">
            <v>104.34895833333333</v>
          </cell>
          <cell r="AH30">
            <v>107.68229166666666</v>
          </cell>
          <cell r="AI30">
            <v>107.68229166666666</v>
          </cell>
          <cell r="AJ30">
            <v>134.60286458333334</v>
          </cell>
          <cell r="AK30">
            <v>134.60286458333334</v>
          </cell>
          <cell r="AL30">
            <v>138.50911458333334</v>
          </cell>
          <cell r="AM30">
            <v>138.50911458333334</v>
          </cell>
          <cell r="AN30">
            <v>138.50911458333334</v>
          </cell>
          <cell r="AO30">
            <v>140.46223958333334</v>
          </cell>
          <cell r="AP30">
            <v>140.46223958333334</v>
          </cell>
          <cell r="AQ30">
            <v>142.41536458333334</v>
          </cell>
          <cell r="AR30">
            <v>1530.5729166666665</v>
          </cell>
        </row>
        <row r="31">
          <cell r="B31" t="str">
            <v>Social Contributions Bonus</v>
          </cell>
          <cell r="C31">
            <v>0</v>
          </cell>
          <cell r="D31">
            <v>1.1546013996212441</v>
          </cell>
          <cell r="E31">
            <v>1.17692234904638</v>
          </cell>
          <cell r="F31">
            <v>3.5587094274003741</v>
          </cell>
          <cell r="G31">
            <v>3.3693650926655856</v>
          </cell>
          <cell r="H31">
            <v>3.9388857920960927</v>
          </cell>
          <cell r="I31">
            <v>6.0632031157394159</v>
          </cell>
          <cell r="J31">
            <v>4.2558689627866544</v>
          </cell>
          <cell r="K31">
            <v>4.178657504087754</v>
          </cell>
          <cell r="L31">
            <v>7.2005545647822347</v>
          </cell>
          <cell r="M31">
            <v>5.9817920866214811</v>
          </cell>
          <cell r="N31">
            <v>5.742101434291162</v>
          </cell>
          <cell r="O31">
            <v>7.6106831853626264</v>
          </cell>
          <cell r="P31">
            <v>54.231344914501008</v>
          </cell>
          <cell r="Q31">
            <v>0</v>
          </cell>
          <cell r="R31">
            <v>6.9824929851291975</v>
          </cell>
          <cell r="S31">
            <v>6.9469995172923715</v>
          </cell>
          <cell r="T31">
            <v>14.400609163942232</v>
          </cell>
          <cell r="U31">
            <v>12.383585539586715</v>
          </cell>
          <cell r="V31">
            <v>12.216558431799131</v>
          </cell>
          <cell r="W31">
            <v>19.732921146272776</v>
          </cell>
          <cell r="X31">
            <v>14.278002486828708</v>
          </cell>
          <cell r="Y31">
            <v>13.765328667519599</v>
          </cell>
          <cell r="Z31">
            <v>20.99971873978409</v>
          </cell>
          <cell r="AA31">
            <v>16.818423945426883</v>
          </cell>
          <cell r="AB31">
            <v>16.289239006098214</v>
          </cell>
          <cell r="AC31">
            <v>22.721272876166204</v>
          </cell>
          <cell r="AD31">
            <v>177.5351525058461</v>
          </cell>
          <cell r="AE31">
            <v>0</v>
          </cell>
          <cell r="AF31">
            <v>24.746232323098376</v>
          </cell>
          <cell r="AG31">
            <v>19.49577303736935</v>
          </cell>
          <cell r="AH31">
            <v>23.745094325203755</v>
          </cell>
          <cell r="AI31">
            <v>25.535181872678582</v>
          </cell>
          <cell r="AJ31">
            <v>27.786767950124872</v>
          </cell>
          <cell r="AK31">
            <v>32.13916640286223</v>
          </cell>
          <cell r="AL31">
            <v>28.875911201477145</v>
          </cell>
          <cell r="AM31">
            <v>29.130533374869231</v>
          </cell>
          <cell r="AN31">
            <v>33.023649101596689</v>
          </cell>
          <cell r="AO31">
            <v>32.494888544251886</v>
          </cell>
          <cell r="AP31">
            <v>34.015102665382749</v>
          </cell>
          <cell r="AQ31">
            <v>36.307988968538901</v>
          </cell>
          <cell r="AR31">
            <v>347.29628976745374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</row>
        <row r="33">
          <cell r="B33" t="str">
            <v>Overheads</v>
          </cell>
          <cell r="C33">
            <v>0</v>
          </cell>
          <cell r="D33">
            <v>26.517799200515153</v>
          </cell>
          <cell r="E33">
            <v>54.19887060608756</v>
          </cell>
          <cell r="F33">
            <v>49.873196385848551</v>
          </cell>
          <cell r="G33">
            <v>42.060107857781283</v>
          </cell>
          <cell r="H33">
            <v>31.392444851353947</v>
          </cell>
          <cell r="I33">
            <v>82.154412082888825</v>
          </cell>
          <cell r="J33">
            <v>37.627660043547095</v>
          </cell>
          <cell r="K33">
            <v>33.123953893529546</v>
          </cell>
          <cell r="L33">
            <v>89.685004952442881</v>
          </cell>
          <cell r="M33">
            <v>63.66650435349117</v>
          </cell>
          <cell r="N33">
            <v>52.154999202179312</v>
          </cell>
          <cell r="O33">
            <v>69.80469112623075</v>
          </cell>
          <cell r="P33">
            <v>632.2596445558961</v>
          </cell>
          <cell r="Q33">
            <v>0</v>
          </cell>
          <cell r="R33">
            <v>84.4802255132862</v>
          </cell>
          <cell r="S33">
            <v>81.008521826830034</v>
          </cell>
          <cell r="T33">
            <v>73.186295089869233</v>
          </cell>
          <cell r="U33">
            <v>65.399477955900167</v>
          </cell>
          <cell r="V33">
            <v>56.02421065472636</v>
          </cell>
          <cell r="W33">
            <v>99.634996065021099</v>
          </cell>
          <cell r="X33">
            <v>76.35315996936778</v>
          </cell>
          <cell r="Y33">
            <v>56.578551626040948</v>
          </cell>
          <cell r="Z33">
            <v>87.755802349509636</v>
          </cell>
          <cell r="AA33">
            <v>74.880100199380493</v>
          </cell>
          <cell r="AB33">
            <v>56.604699322292717</v>
          </cell>
          <cell r="AC33">
            <v>89.298436948055979</v>
          </cell>
          <cell r="AD33">
            <v>901.20447752028065</v>
          </cell>
          <cell r="AE33">
            <v>0</v>
          </cell>
          <cell r="AF33">
            <v>65.026043398675398</v>
          </cell>
          <cell r="AG33">
            <v>74.224021352960406</v>
          </cell>
          <cell r="AH33">
            <v>98.212988774776449</v>
          </cell>
          <cell r="AI33">
            <v>72.673912977055252</v>
          </cell>
          <cell r="AJ33">
            <v>72.699176608772675</v>
          </cell>
          <cell r="AK33">
            <v>117.28309173450405</v>
          </cell>
          <cell r="AL33">
            <v>80.938955484837578</v>
          </cell>
          <cell r="AM33">
            <v>72.326177349160403</v>
          </cell>
          <cell r="AN33">
            <v>94.138046904043321</v>
          </cell>
          <cell r="AO33">
            <v>90.581416397290766</v>
          </cell>
          <cell r="AP33">
            <v>71.279386675105044</v>
          </cell>
          <cell r="AQ33">
            <v>93.858195217656544</v>
          </cell>
          <cell r="AR33">
            <v>1003.2414128748379</v>
          </cell>
        </row>
        <row r="34">
          <cell r="B34" t="str">
            <v>Rent</v>
          </cell>
          <cell r="C34">
            <v>0</v>
          </cell>
          <cell r="D34">
            <v>5.2640000000000002</v>
          </cell>
          <cell r="E34">
            <v>5.2640000000000002</v>
          </cell>
          <cell r="F34">
            <v>5.2640000000000002</v>
          </cell>
          <cell r="G34">
            <v>5.2640000000000002</v>
          </cell>
          <cell r="H34">
            <v>5.2640000000000002</v>
          </cell>
          <cell r="I34">
            <v>5.2640000000000002</v>
          </cell>
          <cell r="J34">
            <v>5.2640000000000002</v>
          </cell>
          <cell r="K34">
            <v>5.2640000000000002</v>
          </cell>
          <cell r="L34">
            <v>5.2640000000000002</v>
          </cell>
          <cell r="M34">
            <v>5.2640000000000002</v>
          </cell>
          <cell r="N34">
            <v>5.2640000000000002</v>
          </cell>
          <cell r="O34">
            <v>5.2640000000000002</v>
          </cell>
          <cell r="P34">
            <v>63.168000000000013</v>
          </cell>
          <cell r="R34">
            <v>8.75</v>
          </cell>
          <cell r="S34">
            <v>8.75</v>
          </cell>
          <cell r="T34">
            <v>8.75</v>
          </cell>
          <cell r="U34">
            <v>8.75</v>
          </cell>
          <cell r="V34">
            <v>8.75</v>
          </cell>
          <cell r="W34">
            <v>8.75</v>
          </cell>
          <cell r="X34">
            <v>8.75</v>
          </cell>
          <cell r="Y34">
            <v>8.75</v>
          </cell>
          <cell r="Z34">
            <v>8.75</v>
          </cell>
          <cell r="AA34">
            <v>8.75</v>
          </cell>
          <cell r="AB34">
            <v>8.75</v>
          </cell>
          <cell r="AC34">
            <v>8.75</v>
          </cell>
          <cell r="AD34">
            <v>105</v>
          </cell>
          <cell r="AF34">
            <v>10.374000000000001</v>
          </cell>
          <cell r="AG34">
            <v>10.374000000000001</v>
          </cell>
          <cell r="AH34">
            <v>10.374000000000001</v>
          </cell>
          <cell r="AI34">
            <v>10.374000000000001</v>
          </cell>
          <cell r="AJ34">
            <v>10.374000000000001</v>
          </cell>
          <cell r="AK34">
            <v>10.374000000000001</v>
          </cell>
          <cell r="AL34">
            <v>10.374000000000001</v>
          </cell>
          <cell r="AM34">
            <v>10.374000000000001</v>
          </cell>
          <cell r="AN34">
            <v>10.374000000000001</v>
          </cell>
          <cell r="AO34">
            <v>10.374000000000001</v>
          </cell>
          <cell r="AP34">
            <v>10.374000000000001</v>
          </cell>
          <cell r="AQ34">
            <v>10.374000000000001</v>
          </cell>
          <cell r="AR34">
            <v>124.48799999999999</v>
          </cell>
        </row>
        <row r="35">
          <cell r="B35" t="str">
            <v>Facilities Charges</v>
          </cell>
          <cell r="C35">
            <v>0</v>
          </cell>
          <cell r="D35">
            <v>1.0528000000000002</v>
          </cell>
          <cell r="E35">
            <v>1.0528000000000002</v>
          </cell>
          <cell r="F35">
            <v>1.0528000000000002</v>
          </cell>
          <cell r="G35">
            <v>1.0528000000000002</v>
          </cell>
          <cell r="H35">
            <v>1.0528000000000002</v>
          </cell>
          <cell r="I35">
            <v>1.0528000000000002</v>
          </cell>
          <cell r="J35">
            <v>1.0528000000000002</v>
          </cell>
          <cell r="K35">
            <v>1.0528000000000002</v>
          </cell>
          <cell r="L35">
            <v>1.0528000000000002</v>
          </cell>
          <cell r="M35">
            <v>1.0528000000000002</v>
          </cell>
          <cell r="N35">
            <v>1.0528000000000002</v>
          </cell>
          <cell r="O35">
            <v>1.0528000000000002</v>
          </cell>
          <cell r="P35">
            <v>12.633599999999999</v>
          </cell>
          <cell r="R35">
            <v>1.75</v>
          </cell>
          <cell r="S35">
            <v>1.75</v>
          </cell>
          <cell r="T35">
            <v>1.75</v>
          </cell>
          <cell r="U35">
            <v>1.75</v>
          </cell>
          <cell r="V35">
            <v>1.75</v>
          </cell>
          <cell r="W35">
            <v>1.75</v>
          </cell>
          <cell r="X35">
            <v>1.75</v>
          </cell>
          <cell r="Y35">
            <v>1.75</v>
          </cell>
          <cell r="Z35">
            <v>1.75</v>
          </cell>
          <cell r="AA35">
            <v>1.75</v>
          </cell>
          <cell r="AB35">
            <v>1.75</v>
          </cell>
          <cell r="AC35">
            <v>1.75</v>
          </cell>
          <cell r="AD35">
            <v>21</v>
          </cell>
          <cell r="AF35">
            <v>2.0748000000000002</v>
          </cell>
          <cell r="AG35">
            <v>2.0748000000000002</v>
          </cell>
          <cell r="AH35">
            <v>2.0748000000000002</v>
          </cell>
          <cell r="AI35">
            <v>2.0748000000000002</v>
          </cell>
          <cell r="AJ35">
            <v>2.0748000000000002</v>
          </cell>
          <cell r="AK35">
            <v>2.0748000000000002</v>
          </cell>
          <cell r="AL35">
            <v>2.0748000000000002</v>
          </cell>
          <cell r="AM35">
            <v>2.0748000000000002</v>
          </cell>
          <cell r="AN35">
            <v>2.0748000000000002</v>
          </cell>
          <cell r="AO35">
            <v>2.0748000000000002</v>
          </cell>
          <cell r="AP35">
            <v>2.0748000000000002</v>
          </cell>
          <cell r="AQ35">
            <v>2.0748000000000002</v>
          </cell>
          <cell r="AR35">
            <v>24.897600000000001</v>
          </cell>
        </row>
        <row r="36">
          <cell r="B36" t="str">
            <v>Training</v>
          </cell>
          <cell r="C36">
            <v>0</v>
          </cell>
          <cell r="D36">
            <v>1.33942086718182</v>
          </cell>
          <cell r="E36">
            <v>1.5204922727542265</v>
          </cell>
          <cell r="F36">
            <v>1.6948180525152181</v>
          </cell>
          <cell r="G36">
            <v>1.7817295244479483</v>
          </cell>
          <cell r="H36">
            <v>2.2140665180206129</v>
          </cell>
          <cell r="I36">
            <v>2.4760337495554925</v>
          </cell>
          <cell r="J36">
            <v>2.4492817102137598</v>
          </cell>
          <cell r="K36">
            <v>2.4455755601962124</v>
          </cell>
          <cell r="L36">
            <v>2.9066266191095473</v>
          </cell>
          <cell r="M36">
            <v>2.9881260201578312</v>
          </cell>
          <cell r="N36">
            <v>2.9766208688459761</v>
          </cell>
          <cell r="O36">
            <v>3.1263127928974064</v>
          </cell>
          <cell r="P36">
            <v>27.919104555896052</v>
          </cell>
          <cell r="R36">
            <v>3.4561596632862019</v>
          </cell>
          <cell r="S36">
            <v>3.7344559768300334</v>
          </cell>
          <cell r="T36">
            <v>4.1622292398692275</v>
          </cell>
          <cell r="U36">
            <v>4.1254121059001632</v>
          </cell>
          <cell r="V36">
            <v>5.0001448047263573</v>
          </cell>
          <cell r="W36">
            <v>5.3609302150210922</v>
          </cell>
          <cell r="X36">
            <v>5.3290941193677783</v>
          </cell>
          <cell r="Y36">
            <v>5.3044857760409405</v>
          </cell>
          <cell r="Z36">
            <v>5.731736499509636</v>
          </cell>
          <cell r="AA36">
            <v>5.6060343493804901</v>
          </cell>
          <cell r="AB36">
            <v>5.580633472292714</v>
          </cell>
          <cell r="AC36">
            <v>6.024371098055977</v>
          </cell>
          <cell r="AD36">
            <v>59.415687320280611</v>
          </cell>
          <cell r="AF36">
            <v>6.1215691515087212</v>
          </cell>
          <cell r="AG36">
            <v>5.9445471057937285</v>
          </cell>
          <cell r="AH36">
            <v>6.3085145276097805</v>
          </cell>
          <cell r="AI36">
            <v>6.394438729888571</v>
          </cell>
          <cell r="AJ36">
            <v>7.7947023616059949</v>
          </cell>
          <cell r="AK36">
            <v>8.0036174873373884</v>
          </cell>
          <cell r="AL36">
            <v>8.0344812376709029</v>
          </cell>
          <cell r="AM36">
            <v>8.0467031019937227</v>
          </cell>
          <cell r="AN36">
            <v>8.2335726568766425</v>
          </cell>
          <cell r="AO36">
            <v>8.3019421501240931</v>
          </cell>
          <cell r="AP36">
            <v>8.3749124279383729</v>
          </cell>
          <cell r="AQ36">
            <v>8.5787209704898668</v>
          </cell>
          <cell r="AR36">
            <v>90.137721908837776</v>
          </cell>
        </row>
        <row r="37">
          <cell r="B37" t="str">
            <v>Phone</v>
          </cell>
          <cell r="C37">
            <v>0</v>
          </cell>
          <cell r="D37">
            <v>0.7</v>
          </cell>
          <cell r="E37">
            <v>0.7</v>
          </cell>
          <cell r="F37">
            <v>0.7</v>
          </cell>
          <cell r="G37">
            <v>0.7</v>
          </cell>
          <cell r="H37">
            <v>0.7</v>
          </cell>
          <cell r="I37">
            <v>0.7</v>
          </cell>
          <cell r="J37">
            <v>0.7</v>
          </cell>
          <cell r="K37">
            <v>0.7</v>
          </cell>
          <cell r="L37">
            <v>0.7</v>
          </cell>
          <cell r="M37">
            <v>0.7</v>
          </cell>
          <cell r="N37">
            <v>0.7</v>
          </cell>
          <cell r="O37">
            <v>0.7</v>
          </cell>
          <cell r="P37">
            <v>8.4</v>
          </cell>
          <cell r="R37">
            <v>1.0499999999999998</v>
          </cell>
          <cell r="S37">
            <v>1.0499999999999998</v>
          </cell>
          <cell r="T37">
            <v>1.0499999999999998</v>
          </cell>
          <cell r="U37">
            <v>1.0499999999999998</v>
          </cell>
          <cell r="V37">
            <v>1.0499999999999998</v>
          </cell>
          <cell r="W37">
            <v>1.0499999999999998</v>
          </cell>
          <cell r="X37">
            <v>1.0499999999999998</v>
          </cell>
          <cell r="Y37">
            <v>1.0499999999999998</v>
          </cell>
          <cell r="Z37">
            <v>1.0499999999999998</v>
          </cell>
          <cell r="AA37">
            <v>1.0499999999999998</v>
          </cell>
          <cell r="AB37">
            <v>1.0499999999999998</v>
          </cell>
          <cell r="AC37">
            <v>1.0499999999999998</v>
          </cell>
          <cell r="AD37">
            <v>12.600000000000001</v>
          </cell>
          <cell r="AF37">
            <v>1.5749999999999997</v>
          </cell>
          <cell r="AG37">
            <v>1.5749999999999997</v>
          </cell>
          <cell r="AH37">
            <v>1.5749999999999997</v>
          </cell>
          <cell r="AI37">
            <v>1.5749999999999997</v>
          </cell>
          <cell r="AJ37">
            <v>1.5749999999999997</v>
          </cell>
          <cell r="AK37">
            <v>1.5749999999999997</v>
          </cell>
          <cell r="AL37">
            <v>1.5749999999999997</v>
          </cell>
          <cell r="AM37">
            <v>1.5749999999999997</v>
          </cell>
          <cell r="AN37">
            <v>1.5749999999999997</v>
          </cell>
          <cell r="AO37">
            <v>1.5749999999999997</v>
          </cell>
          <cell r="AP37">
            <v>1.5749999999999997</v>
          </cell>
          <cell r="AQ37">
            <v>1.5749999999999997</v>
          </cell>
          <cell r="AR37">
            <v>18.899999999999995</v>
          </cell>
        </row>
        <row r="38">
          <cell r="B38" t="str">
            <v>Electricity</v>
          </cell>
          <cell r="C38">
            <v>0</v>
          </cell>
          <cell r="D38">
            <v>1</v>
          </cell>
          <cell r="E38">
            <v>1</v>
          </cell>
          <cell r="F38">
            <v>1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1</v>
          </cell>
          <cell r="L38">
            <v>1</v>
          </cell>
          <cell r="M38">
            <v>1</v>
          </cell>
          <cell r="N38">
            <v>1</v>
          </cell>
          <cell r="O38">
            <v>1</v>
          </cell>
          <cell r="P38">
            <v>12</v>
          </cell>
          <cell r="R38">
            <v>1.3</v>
          </cell>
          <cell r="S38">
            <v>1.3</v>
          </cell>
          <cell r="T38">
            <v>1.3</v>
          </cell>
          <cell r="U38">
            <v>1.3</v>
          </cell>
          <cell r="V38">
            <v>1.3</v>
          </cell>
          <cell r="W38">
            <v>1.3</v>
          </cell>
          <cell r="X38">
            <v>1.3</v>
          </cell>
          <cell r="Y38">
            <v>1.3</v>
          </cell>
          <cell r="Z38">
            <v>1.3</v>
          </cell>
          <cell r="AA38">
            <v>1.3</v>
          </cell>
          <cell r="AB38">
            <v>1.3</v>
          </cell>
          <cell r="AC38">
            <v>1.3</v>
          </cell>
          <cell r="AD38">
            <v>15.600000000000003</v>
          </cell>
          <cell r="AF38">
            <v>2</v>
          </cell>
          <cell r="AG38">
            <v>2</v>
          </cell>
          <cell r="AH38">
            <v>2</v>
          </cell>
          <cell r="AI38">
            <v>2</v>
          </cell>
          <cell r="AJ38">
            <v>2</v>
          </cell>
          <cell r="AK38">
            <v>2</v>
          </cell>
          <cell r="AL38">
            <v>2</v>
          </cell>
          <cell r="AM38">
            <v>2</v>
          </cell>
          <cell r="AN38">
            <v>2</v>
          </cell>
          <cell r="AO38">
            <v>2</v>
          </cell>
          <cell r="AP38">
            <v>2</v>
          </cell>
          <cell r="AQ38">
            <v>2</v>
          </cell>
          <cell r="AR38">
            <v>24</v>
          </cell>
        </row>
        <row r="39">
          <cell r="B39" t="str">
            <v>IT</v>
          </cell>
          <cell r="C39">
            <v>0</v>
          </cell>
          <cell r="D39">
            <v>8.0782450000000008</v>
          </cell>
          <cell r="E39">
            <v>8.0782450000000008</v>
          </cell>
          <cell r="F39">
            <v>8.0782450000000008</v>
          </cell>
          <cell r="G39">
            <v>8.0782450000000008</v>
          </cell>
          <cell r="H39">
            <v>8.0782450000000008</v>
          </cell>
          <cell r="I39">
            <v>8.0782450000000008</v>
          </cell>
          <cell r="J39">
            <v>8.0782450000000008</v>
          </cell>
          <cell r="K39">
            <v>8.0782450000000008</v>
          </cell>
          <cell r="L39">
            <v>8.0782450000000008</v>
          </cell>
          <cell r="M39">
            <v>8.0782450000000008</v>
          </cell>
          <cell r="N39">
            <v>8.0782450000000008</v>
          </cell>
          <cell r="O39">
            <v>8.0782450000000008</v>
          </cell>
          <cell r="P39">
            <v>96.938939999999988</v>
          </cell>
          <cell r="R39">
            <v>11.424065850000002</v>
          </cell>
          <cell r="S39">
            <v>11.424065850000002</v>
          </cell>
          <cell r="T39">
            <v>11.424065850000002</v>
          </cell>
          <cell r="U39">
            <v>11.424065850000002</v>
          </cell>
          <cell r="V39">
            <v>11.424065850000002</v>
          </cell>
          <cell r="W39">
            <v>11.424065850000002</v>
          </cell>
          <cell r="X39">
            <v>11.424065850000002</v>
          </cell>
          <cell r="Y39">
            <v>11.424065850000002</v>
          </cell>
          <cell r="Z39">
            <v>11.424065850000002</v>
          </cell>
          <cell r="AA39">
            <v>11.424065850000002</v>
          </cell>
          <cell r="AB39">
            <v>11.424065850000002</v>
          </cell>
          <cell r="AC39">
            <v>11.424065850000002</v>
          </cell>
          <cell r="AD39">
            <v>137.08879020000003</v>
          </cell>
          <cell r="AE39">
            <v>0</v>
          </cell>
          <cell r="AF39">
            <v>16.214007580500002</v>
          </cell>
          <cell r="AG39">
            <v>16.214007580500002</v>
          </cell>
          <cell r="AH39">
            <v>16.214007580500002</v>
          </cell>
          <cell r="AI39">
            <v>16.214007580500002</v>
          </cell>
          <cell r="AJ39">
            <v>16.214007580500002</v>
          </cell>
          <cell r="AK39">
            <v>16.214007580500002</v>
          </cell>
          <cell r="AL39">
            <v>16.214007580500002</v>
          </cell>
          <cell r="AM39">
            <v>16.214007580500002</v>
          </cell>
          <cell r="AN39">
            <v>16.214007580500002</v>
          </cell>
          <cell r="AO39">
            <v>16.214007580500002</v>
          </cell>
          <cell r="AP39">
            <v>16.214007580500002</v>
          </cell>
          <cell r="AQ39">
            <v>16.214007580500002</v>
          </cell>
          <cell r="AR39">
            <v>194.56809096600009</v>
          </cell>
        </row>
        <row r="40">
          <cell r="B40" t="str">
            <v>Consultants</v>
          </cell>
          <cell r="C40">
            <v>0</v>
          </cell>
          <cell r="D40">
            <v>1</v>
          </cell>
          <cell r="E40">
            <v>10.5</v>
          </cell>
          <cell r="F40">
            <v>8</v>
          </cell>
          <cell r="G40">
            <v>6.5</v>
          </cell>
          <cell r="H40">
            <v>5</v>
          </cell>
          <cell r="I40">
            <v>5.5</v>
          </cell>
          <cell r="J40">
            <v>5</v>
          </cell>
          <cell r="K40">
            <v>6.5</v>
          </cell>
          <cell r="L40">
            <v>4</v>
          </cell>
          <cell r="M40">
            <v>2.5</v>
          </cell>
          <cell r="N40">
            <v>10</v>
          </cell>
          <cell r="O40">
            <v>14.5</v>
          </cell>
          <cell r="P40">
            <v>79</v>
          </cell>
          <cell r="Q40">
            <v>0</v>
          </cell>
          <cell r="R40">
            <v>9.5</v>
          </cell>
          <cell r="S40">
            <v>11.75</v>
          </cell>
          <cell r="T40">
            <v>16.5</v>
          </cell>
          <cell r="U40">
            <v>15.75</v>
          </cell>
          <cell r="V40">
            <v>13.5</v>
          </cell>
          <cell r="W40">
            <v>14.75</v>
          </cell>
          <cell r="X40">
            <v>13.5</v>
          </cell>
          <cell r="Y40">
            <v>15.75</v>
          </cell>
          <cell r="Z40">
            <v>12.5</v>
          </cell>
          <cell r="AA40">
            <v>11.75</v>
          </cell>
          <cell r="AB40">
            <v>13.5</v>
          </cell>
          <cell r="AC40">
            <v>18.75</v>
          </cell>
          <cell r="AD40">
            <v>167.5</v>
          </cell>
          <cell r="AE40">
            <v>0</v>
          </cell>
          <cell r="AF40">
            <v>11.25</v>
          </cell>
          <cell r="AG40">
            <v>14.625</v>
          </cell>
          <cell r="AH40">
            <v>18.25</v>
          </cell>
          <cell r="AI40">
            <v>18.625</v>
          </cell>
          <cell r="AJ40">
            <v>15.25</v>
          </cell>
          <cell r="AK40">
            <v>17.625</v>
          </cell>
          <cell r="AL40">
            <v>15.25</v>
          </cell>
          <cell r="AM40">
            <v>18.625</v>
          </cell>
          <cell r="AN40">
            <v>14.25</v>
          </cell>
          <cell r="AO40">
            <v>14.625</v>
          </cell>
          <cell r="AP40">
            <v>15.25</v>
          </cell>
          <cell r="AQ40">
            <v>21.625</v>
          </cell>
          <cell r="AR40">
            <v>195.25</v>
          </cell>
        </row>
        <row r="41">
          <cell r="B41" t="str">
            <v>Marketing &amp; Communication B2B</v>
          </cell>
          <cell r="C41">
            <v>0</v>
          </cell>
          <cell r="D41">
            <v>4</v>
          </cell>
          <cell r="E41">
            <v>4</v>
          </cell>
          <cell r="F41">
            <v>4</v>
          </cell>
          <cell r="G41">
            <v>4</v>
          </cell>
          <cell r="H41">
            <v>4</v>
          </cell>
          <cell r="I41">
            <v>4</v>
          </cell>
          <cell r="J41">
            <v>4</v>
          </cell>
          <cell r="K41">
            <v>4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48</v>
          </cell>
          <cell r="R41">
            <v>5</v>
          </cell>
          <cell r="S41">
            <v>5</v>
          </cell>
          <cell r="T41">
            <v>5</v>
          </cell>
          <cell r="U41">
            <v>5</v>
          </cell>
          <cell r="V41">
            <v>5</v>
          </cell>
          <cell r="W41">
            <v>5</v>
          </cell>
          <cell r="X41">
            <v>5</v>
          </cell>
          <cell r="Y41">
            <v>5</v>
          </cell>
          <cell r="Z41">
            <v>5</v>
          </cell>
          <cell r="AA41">
            <v>5</v>
          </cell>
          <cell r="AB41">
            <v>5</v>
          </cell>
          <cell r="AC41">
            <v>5</v>
          </cell>
          <cell r="AD41">
            <v>60</v>
          </cell>
          <cell r="AF41">
            <v>6</v>
          </cell>
          <cell r="AG41">
            <v>6</v>
          </cell>
          <cell r="AH41">
            <v>6</v>
          </cell>
          <cell r="AI41">
            <v>6</v>
          </cell>
          <cell r="AJ41">
            <v>6</v>
          </cell>
          <cell r="AK41">
            <v>6</v>
          </cell>
          <cell r="AL41">
            <v>6</v>
          </cell>
          <cell r="AM41">
            <v>6</v>
          </cell>
          <cell r="AN41">
            <v>6</v>
          </cell>
          <cell r="AO41">
            <v>6</v>
          </cell>
          <cell r="AP41">
            <v>6</v>
          </cell>
          <cell r="AQ41">
            <v>6</v>
          </cell>
          <cell r="AR41">
            <v>72</v>
          </cell>
        </row>
        <row r="42">
          <cell r="B42" t="str">
            <v>Travel &amp; Living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3</v>
          </cell>
          <cell r="M42">
            <v>6</v>
          </cell>
          <cell r="N42">
            <v>15</v>
          </cell>
          <cell r="O42">
            <v>17</v>
          </cell>
          <cell r="P42">
            <v>41</v>
          </cell>
          <cell r="R42">
            <v>0</v>
          </cell>
          <cell r="S42">
            <v>2</v>
          </cell>
          <cell r="T42">
            <v>0</v>
          </cell>
          <cell r="U42">
            <v>4</v>
          </cell>
          <cell r="V42">
            <v>2</v>
          </cell>
          <cell r="W42">
            <v>10</v>
          </cell>
          <cell r="X42">
            <v>2</v>
          </cell>
          <cell r="Y42">
            <v>0</v>
          </cell>
          <cell r="Z42">
            <v>2</v>
          </cell>
          <cell r="AA42">
            <v>2</v>
          </cell>
          <cell r="AB42">
            <v>2</v>
          </cell>
          <cell r="AC42">
            <v>7</v>
          </cell>
          <cell r="AD42">
            <v>33</v>
          </cell>
          <cell r="AF42">
            <v>2</v>
          </cell>
          <cell r="AG42">
            <v>2</v>
          </cell>
          <cell r="AH42">
            <v>2</v>
          </cell>
          <cell r="AI42">
            <v>2</v>
          </cell>
          <cell r="AJ42">
            <v>4</v>
          </cell>
          <cell r="AK42">
            <v>12</v>
          </cell>
          <cell r="AL42">
            <v>0</v>
          </cell>
          <cell r="AM42">
            <v>0</v>
          </cell>
          <cell r="AN42">
            <v>2</v>
          </cell>
          <cell r="AO42">
            <v>2</v>
          </cell>
          <cell r="AP42">
            <v>2</v>
          </cell>
          <cell r="AQ42">
            <v>2</v>
          </cell>
          <cell r="AR42">
            <v>32</v>
          </cell>
        </row>
        <row r="43">
          <cell r="B43" t="str">
            <v>Accounting</v>
          </cell>
          <cell r="C43">
            <v>0</v>
          </cell>
          <cell r="D43">
            <v>2</v>
          </cell>
          <cell r="E43">
            <v>2</v>
          </cell>
          <cell r="F43">
            <v>2</v>
          </cell>
          <cell r="G43">
            <v>2</v>
          </cell>
          <cell r="H43">
            <v>2</v>
          </cell>
          <cell r="I43">
            <v>2</v>
          </cell>
          <cell r="J43">
            <v>2</v>
          </cell>
          <cell r="K43">
            <v>2</v>
          </cell>
          <cell r="L43">
            <v>2</v>
          </cell>
          <cell r="M43">
            <v>2</v>
          </cell>
          <cell r="N43">
            <v>2</v>
          </cell>
          <cell r="O43">
            <v>2</v>
          </cell>
          <cell r="P43">
            <v>24</v>
          </cell>
          <cell r="R43">
            <v>4</v>
          </cell>
          <cell r="S43">
            <v>4</v>
          </cell>
          <cell r="T43">
            <v>4</v>
          </cell>
          <cell r="U43">
            <v>4</v>
          </cell>
          <cell r="V43">
            <v>4</v>
          </cell>
          <cell r="W43">
            <v>4</v>
          </cell>
          <cell r="X43">
            <v>4</v>
          </cell>
          <cell r="Y43">
            <v>4</v>
          </cell>
          <cell r="Z43">
            <v>4</v>
          </cell>
          <cell r="AA43">
            <v>4</v>
          </cell>
          <cell r="AB43">
            <v>4</v>
          </cell>
          <cell r="AC43">
            <v>4</v>
          </cell>
          <cell r="AD43">
            <v>48</v>
          </cell>
          <cell r="AF43">
            <v>5</v>
          </cell>
          <cell r="AG43">
            <v>5</v>
          </cell>
          <cell r="AH43">
            <v>5</v>
          </cell>
          <cell r="AI43">
            <v>5</v>
          </cell>
          <cell r="AJ43">
            <v>5</v>
          </cell>
          <cell r="AK43">
            <v>5</v>
          </cell>
          <cell r="AL43">
            <v>5</v>
          </cell>
          <cell r="AM43">
            <v>5</v>
          </cell>
          <cell r="AN43">
            <v>5</v>
          </cell>
          <cell r="AO43">
            <v>5</v>
          </cell>
          <cell r="AP43">
            <v>5</v>
          </cell>
          <cell r="AQ43">
            <v>5</v>
          </cell>
          <cell r="AR43">
            <v>60</v>
          </cell>
        </row>
        <row r="44">
          <cell r="B44" t="str">
            <v>Finance / Audit ( Yearly Audit)</v>
          </cell>
          <cell r="C44">
            <v>0</v>
          </cell>
          <cell r="D44">
            <v>1.0833333333333333</v>
          </cell>
          <cell r="E44">
            <v>1.0833333333333333</v>
          </cell>
          <cell r="F44">
            <v>1.0833333333333333</v>
          </cell>
          <cell r="G44">
            <v>1.0833333333333333</v>
          </cell>
          <cell r="H44">
            <v>1.0833333333333333</v>
          </cell>
          <cell r="I44">
            <v>1.0833333333333333</v>
          </cell>
          <cell r="J44">
            <v>1.0833333333333333</v>
          </cell>
          <cell r="K44">
            <v>1.0833333333333333</v>
          </cell>
          <cell r="L44">
            <v>1.0833333333333333</v>
          </cell>
          <cell r="M44">
            <v>1.0833333333333333</v>
          </cell>
          <cell r="N44">
            <v>1.0833333333333333</v>
          </cell>
          <cell r="O44">
            <v>1.0833333333333333</v>
          </cell>
          <cell r="P44">
            <v>13.000000000000002</v>
          </cell>
          <cell r="R44">
            <v>1.25</v>
          </cell>
          <cell r="S44">
            <v>1.25</v>
          </cell>
          <cell r="T44">
            <v>1.25</v>
          </cell>
          <cell r="U44">
            <v>1.25</v>
          </cell>
          <cell r="V44">
            <v>1.25</v>
          </cell>
          <cell r="W44">
            <v>1.25</v>
          </cell>
          <cell r="X44">
            <v>1.25</v>
          </cell>
          <cell r="Y44">
            <v>1.25</v>
          </cell>
          <cell r="Z44">
            <v>1.25</v>
          </cell>
          <cell r="AA44">
            <v>1.25</v>
          </cell>
          <cell r="AB44">
            <v>1.25</v>
          </cell>
          <cell r="AC44">
            <v>1.25</v>
          </cell>
          <cell r="AD44">
            <v>15</v>
          </cell>
          <cell r="AF44">
            <v>1.4166666666666667</v>
          </cell>
          <cell r="AG44">
            <v>1.4166666666666667</v>
          </cell>
          <cell r="AH44">
            <v>1.4166666666666667</v>
          </cell>
          <cell r="AI44">
            <v>1.4166666666666667</v>
          </cell>
          <cell r="AJ44">
            <v>1.4166666666666667</v>
          </cell>
          <cell r="AK44">
            <v>1.4166666666666667</v>
          </cell>
          <cell r="AL44">
            <v>1.4166666666666667</v>
          </cell>
          <cell r="AM44">
            <v>1.4166666666666667</v>
          </cell>
          <cell r="AN44">
            <v>1.4166666666666667</v>
          </cell>
          <cell r="AO44">
            <v>1.4166666666666667</v>
          </cell>
          <cell r="AP44">
            <v>1.4166666666666667</v>
          </cell>
          <cell r="AQ44">
            <v>1.4166666666666667</v>
          </cell>
          <cell r="AR44">
            <v>16.999999999999996</v>
          </cell>
        </row>
        <row r="45">
          <cell r="B45" t="str">
            <v>Recruitment Fees</v>
          </cell>
          <cell r="C45">
            <v>0</v>
          </cell>
          <cell r="D45">
            <v>0</v>
          </cell>
          <cell r="E45">
            <v>18</v>
          </cell>
          <cell r="F45">
            <v>6</v>
          </cell>
          <cell r="G45">
            <v>9.6000000000000014</v>
          </cell>
          <cell r="H45">
            <v>0</v>
          </cell>
          <cell r="I45">
            <v>16</v>
          </cell>
          <cell r="J45">
            <v>6</v>
          </cell>
          <cell r="K45">
            <v>0</v>
          </cell>
          <cell r="L45">
            <v>31.6</v>
          </cell>
          <cell r="M45">
            <v>14</v>
          </cell>
          <cell r="N45">
            <v>0</v>
          </cell>
          <cell r="O45">
            <v>6</v>
          </cell>
          <cell r="P45">
            <v>107.2</v>
          </cell>
          <cell r="Q45">
            <v>0</v>
          </cell>
          <cell r="R45">
            <v>36</v>
          </cell>
          <cell r="S45">
            <v>28</v>
          </cell>
          <cell r="T45">
            <v>7</v>
          </cell>
          <cell r="U45">
            <v>6</v>
          </cell>
          <cell r="V45">
            <v>0</v>
          </cell>
          <cell r="W45">
            <v>0</v>
          </cell>
          <cell r="X45">
            <v>20</v>
          </cell>
          <cell r="Y45">
            <v>0</v>
          </cell>
          <cell r="Z45">
            <v>8</v>
          </cell>
          <cell r="AA45">
            <v>6</v>
          </cell>
          <cell r="AB45">
            <v>0</v>
          </cell>
          <cell r="AC45">
            <v>12</v>
          </cell>
          <cell r="AD45">
            <v>123</v>
          </cell>
          <cell r="AE45">
            <v>0</v>
          </cell>
          <cell r="AF45">
            <v>0</v>
          </cell>
          <cell r="AG45">
            <v>6</v>
          </cell>
          <cell r="AH45">
            <v>16</v>
          </cell>
          <cell r="AI45">
            <v>0</v>
          </cell>
          <cell r="AJ45">
            <v>0</v>
          </cell>
          <cell r="AK45">
            <v>0</v>
          </cell>
          <cell r="AL45">
            <v>12</v>
          </cell>
          <cell r="AM45">
            <v>0</v>
          </cell>
          <cell r="AN45">
            <v>0</v>
          </cell>
          <cell r="AO45">
            <v>6</v>
          </cell>
          <cell r="AP45">
            <v>0</v>
          </cell>
          <cell r="AQ45">
            <v>6</v>
          </cell>
          <cell r="AR45">
            <v>46</v>
          </cell>
        </row>
        <row r="46">
          <cell r="B46" t="str">
            <v>Legal Fees</v>
          </cell>
          <cell r="C46">
            <v>0</v>
          </cell>
          <cell r="D46">
            <v>1</v>
          </cell>
          <cell r="E46">
            <v>1</v>
          </cell>
          <cell r="F46">
            <v>1</v>
          </cell>
          <cell r="G46">
            <v>1</v>
          </cell>
          <cell r="H46">
            <v>1</v>
          </cell>
          <cell r="I46">
            <v>25</v>
          </cell>
          <cell r="J46">
            <v>1</v>
          </cell>
          <cell r="K46">
            <v>1</v>
          </cell>
          <cell r="L46">
            <v>15</v>
          </cell>
          <cell r="M46">
            <v>15</v>
          </cell>
          <cell r="N46">
            <v>1</v>
          </cell>
          <cell r="O46">
            <v>1</v>
          </cell>
          <cell r="P46">
            <v>64</v>
          </cell>
          <cell r="R46">
            <v>1</v>
          </cell>
          <cell r="S46">
            <v>1</v>
          </cell>
          <cell r="T46">
            <v>1</v>
          </cell>
          <cell r="U46">
            <v>1</v>
          </cell>
          <cell r="V46">
            <v>1</v>
          </cell>
          <cell r="W46">
            <v>25</v>
          </cell>
          <cell r="X46">
            <v>1</v>
          </cell>
          <cell r="Y46">
            <v>1</v>
          </cell>
          <cell r="Z46">
            <v>15</v>
          </cell>
          <cell r="AA46">
            <v>15</v>
          </cell>
          <cell r="AB46">
            <v>1</v>
          </cell>
          <cell r="AC46">
            <v>1</v>
          </cell>
          <cell r="AD46">
            <v>64</v>
          </cell>
          <cell r="AF46">
            <v>1</v>
          </cell>
          <cell r="AG46">
            <v>1</v>
          </cell>
          <cell r="AH46">
            <v>1</v>
          </cell>
          <cell r="AI46">
            <v>1</v>
          </cell>
          <cell r="AJ46">
            <v>1</v>
          </cell>
          <cell r="AK46">
            <v>25</v>
          </cell>
          <cell r="AL46">
            <v>1</v>
          </cell>
          <cell r="AM46">
            <v>1</v>
          </cell>
          <cell r="AN46">
            <v>15</v>
          </cell>
          <cell r="AO46">
            <v>15</v>
          </cell>
          <cell r="AP46">
            <v>1</v>
          </cell>
          <cell r="AQ46">
            <v>1</v>
          </cell>
          <cell r="AR46">
            <v>64</v>
          </cell>
        </row>
        <row r="47">
          <cell r="B47" t="str">
            <v>Trademark &amp; Intellectual Property</v>
          </cell>
          <cell r="C47">
            <v>0</v>
          </cell>
          <cell r="D47">
            <v>0</v>
          </cell>
          <cell r="E47">
            <v>0</v>
          </cell>
          <cell r="F47">
            <v>10</v>
          </cell>
          <cell r="G47">
            <v>0</v>
          </cell>
          <cell r="H47">
            <v>0</v>
          </cell>
          <cell r="I47">
            <v>10</v>
          </cell>
          <cell r="J47">
            <v>0</v>
          </cell>
          <cell r="K47">
            <v>0</v>
          </cell>
          <cell r="L47">
            <v>10</v>
          </cell>
          <cell r="M47">
            <v>0</v>
          </cell>
          <cell r="N47">
            <v>0</v>
          </cell>
          <cell r="O47">
            <v>5</v>
          </cell>
          <cell r="P47">
            <v>35</v>
          </cell>
          <cell r="R47">
            <v>0</v>
          </cell>
          <cell r="S47">
            <v>0</v>
          </cell>
          <cell r="T47">
            <v>10</v>
          </cell>
          <cell r="U47">
            <v>0</v>
          </cell>
          <cell r="V47">
            <v>0</v>
          </cell>
          <cell r="W47">
            <v>10</v>
          </cell>
          <cell r="X47">
            <v>0</v>
          </cell>
          <cell r="Y47">
            <v>0</v>
          </cell>
          <cell r="Z47">
            <v>10</v>
          </cell>
          <cell r="AA47">
            <v>0</v>
          </cell>
          <cell r="AB47">
            <v>0</v>
          </cell>
          <cell r="AC47">
            <v>10</v>
          </cell>
          <cell r="AD47">
            <v>40</v>
          </cell>
          <cell r="AF47">
            <v>0</v>
          </cell>
          <cell r="AG47">
            <v>0</v>
          </cell>
          <cell r="AH47">
            <v>10</v>
          </cell>
          <cell r="AI47">
            <v>0</v>
          </cell>
          <cell r="AJ47">
            <v>0</v>
          </cell>
          <cell r="AK47">
            <v>10</v>
          </cell>
          <cell r="AL47">
            <v>0</v>
          </cell>
          <cell r="AM47">
            <v>0</v>
          </cell>
          <cell r="AN47">
            <v>10</v>
          </cell>
          <cell r="AO47">
            <v>0</v>
          </cell>
          <cell r="AP47">
            <v>0</v>
          </cell>
          <cell r="AQ47">
            <v>10</v>
          </cell>
          <cell r="AR47">
            <v>40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Direction et Administratif</v>
          </cell>
          <cell r="B2" t="str">
            <v>General</v>
          </cell>
        </row>
        <row r="3">
          <cell r="A3" t="str">
            <v>Eleveurs</v>
          </cell>
          <cell r="B3" t="str">
            <v>SB Last meter</v>
          </cell>
        </row>
        <row r="4">
          <cell r="A4" t="str">
            <v>Chasseurs</v>
          </cell>
          <cell r="B4" t="str">
            <v>SB TV</v>
          </cell>
        </row>
        <row r="5">
          <cell r="A5" t="str">
            <v>Développement</v>
          </cell>
          <cell r="B5" t="str">
            <v>SB Places</v>
          </cell>
        </row>
        <row r="6">
          <cell r="A6" t="str">
            <v>R&amp;D</v>
          </cell>
        </row>
        <row r="7">
          <cell r="A7" t="str">
            <v>BI</v>
          </cell>
        </row>
        <row r="8">
          <cell r="A8" t="str">
            <v>Marketing B2C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BURN LEKO"/>
      <sheetName val="FACTURES À PAYER"/>
    </sheetNames>
    <sheetDataSet>
      <sheetData sheetId="0"/>
      <sheetData sheetId="1">
        <row r="24">
          <cell r="D24">
            <v>111150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>
        <row r="43">
          <cell r="H43">
            <v>13810.652173913044</v>
          </cell>
          <cell r="J43">
            <v>142537.94927536233</v>
          </cell>
          <cell r="L43">
            <v>86400.050724637695</v>
          </cell>
          <cell r="N43">
            <v>128791.35507246378</v>
          </cell>
          <cell r="P43">
            <v>41911.217391304352</v>
          </cell>
          <cell r="R43">
            <v>85940.978260869568</v>
          </cell>
          <cell r="T43">
            <v>122387.18115942032</v>
          </cell>
          <cell r="V43">
            <v>72906.159420289856</v>
          </cell>
          <cell r="X43">
            <v>92570.811594202911</v>
          </cell>
          <cell r="Z43">
            <v>62111.456521739135</v>
          </cell>
          <cell r="AB43">
            <v>119999.99000000002</v>
          </cell>
        </row>
        <row r="44">
          <cell r="Y44">
            <v>5250.3305785123957</v>
          </cell>
          <cell r="AA44">
            <v>149268.87688069505</v>
          </cell>
          <cell r="AC44">
            <v>98538.766687857598</v>
          </cell>
          <cell r="AE44">
            <v>236280.00826446278</v>
          </cell>
          <cell r="AG44">
            <v>101135.58232676414</v>
          </cell>
          <cell r="AI44">
            <v>143290.00174825176</v>
          </cell>
          <cell r="AK44">
            <v>168144.58174825175</v>
          </cell>
          <cell r="AM44">
            <v>138769.22380165287</v>
          </cell>
          <cell r="AO44">
            <v>102951.4640813732</v>
          </cell>
        </row>
        <row r="45">
          <cell r="AL45">
            <v>0</v>
          </cell>
          <cell r="AN45">
            <v>0</v>
          </cell>
          <cell r="AP45">
            <v>0</v>
          </cell>
          <cell r="AR45">
            <v>0</v>
          </cell>
        </row>
        <row r="47">
          <cell r="AU47">
            <v>7138.089887640449</v>
          </cell>
          <cell r="AW47">
            <v>224397.31999423797</v>
          </cell>
          <cell r="AY47">
            <v>375326.94999999995</v>
          </cell>
          <cell r="BA47">
            <v>662413.46280898876</v>
          </cell>
          <cell r="BC47">
            <v>491200.09053010656</v>
          </cell>
          <cell r="BE47">
            <v>411641.79273408238</v>
          </cell>
          <cell r="BG47">
            <v>491452.77329588018</v>
          </cell>
          <cell r="BI47">
            <v>575745.8510486891</v>
          </cell>
          <cell r="BK47">
            <v>397717.02296168247</v>
          </cell>
          <cell r="BM47">
            <v>273112.69523480267</v>
          </cell>
          <cell r="BO47">
            <v>188646.08418611353</v>
          </cell>
          <cell r="BQ47">
            <v>82571.289999999994</v>
          </cell>
        </row>
        <row r="49">
          <cell r="H49">
            <v>189026.72131086959</v>
          </cell>
          <cell r="L49">
            <v>50869.235507246383</v>
          </cell>
          <cell r="R49">
            <v>318240.18416666676</v>
          </cell>
          <cell r="T49">
            <v>105678.19637681161</v>
          </cell>
          <cell r="X49">
            <v>22880.706521739132</v>
          </cell>
          <cell r="AB49">
            <v>224597.19137681162</v>
          </cell>
          <cell r="AD49">
            <v>348885.90681231889</v>
          </cell>
        </row>
        <row r="50">
          <cell r="Y50">
            <v>148671.74869531684</v>
          </cell>
          <cell r="AA50">
            <v>6142.8867768595037</v>
          </cell>
          <cell r="AC50">
            <v>174644.58595041322</v>
          </cell>
          <cell r="AE50">
            <v>115290.3570247934</v>
          </cell>
          <cell r="AG50">
            <v>276447.60966942151</v>
          </cell>
          <cell r="AI50">
            <v>118328.63132231406</v>
          </cell>
          <cell r="AK50">
            <v>167649.30204545456</v>
          </cell>
          <cell r="AM50">
            <v>196729.16064545457</v>
          </cell>
          <cell r="AO50">
            <v>162359.99184793388</v>
          </cell>
          <cell r="AQ50">
            <v>120453.21297520664</v>
          </cell>
        </row>
        <row r="51"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9993.3258426966277</v>
          </cell>
          <cell r="AX51">
            <v>287474.06799193315</v>
          </cell>
          <cell r="AZ51">
            <v>250074.41199999995</v>
          </cell>
          <cell r="BB51">
            <v>760453.94993258407</v>
          </cell>
          <cell r="BD51">
            <v>438855.22874214913</v>
          </cell>
          <cell r="BF51">
            <v>495326.03782771534</v>
          </cell>
          <cell r="BH51">
            <v>521995.91261423216</v>
          </cell>
          <cell r="BJ51">
            <v>569592.15746816469</v>
          </cell>
          <cell r="BL51">
            <v>415949.1321463554</v>
          </cell>
          <cell r="BN51">
            <v>203510.96532872372</v>
          </cell>
          <cell r="BP51">
            <v>27865.003860558914</v>
          </cell>
        </row>
        <row r="52">
          <cell r="AW52">
            <v>541779.66584999999</v>
          </cell>
          <cell r="AY52">
            <v>18677.525999999998</v>
          </cell>
          <cell r="BA52">
            <v>192768.32259999996</v>
          </cell>
          <cell r="BC52">
            <v>116847.42859999998</v>
          </cell>
          <cell r="BE52">
            <v>174177.42859999998</v>
          </cell>
          <cell r="BG52">
            <v>56680.730399999993</v>
          </cell>
          <cell r="BI52">
            <v>116226.579</v>
          </cell>
          <cell r="BK52">
            <v>165516.42379999999</v>
          </cell>
          <cell r="BM52">
            <v>98598.289999999979</v>
          </cell>
          <cell r="BO52">
            <v>125192.76559999998</v>
          </cell>
          <cell r="BQ52">
            <v>165367.65979999999</v>
          </cell>
          <cell r="BS52">
            <v>80919.864199999982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x"/>
      <sheetName val="2"/>
      <sheetName val="8"/>
      <sheetName val="10"/>
      <sheetName val="14"/>
      <sheetName val="15"/>
      <sheetName val="16"/>
      <sheetName val="invest"/>
      <sheetName val="18"/>
      <sheetName val="19"/>
      <sheetName val="emprunts"/>
      <sheetName val="ca"/>
      <sheetName val="charges externes"/>
      <sheetName val="impots"/>
      <sheetName val="salaires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7200</v>
          </cell>
          <cell r="C5">
            <v>7200</v>
          </cell>
          <cell r="D5">
            <v>7200</v>
          </cell>
        </row>
        <row r="6">
          <cell r="B6">
            <v>100</v>
          </cell>
          <cell r="C6">
            <v>100</v>
          </cell>
          <cell r="D6">
            <v>100</v>
          </cell>
        </row>
        <row r="7">
          <cell r="B7">
            <v>480</v>
          </cell>
          <cell r="C7">
            <v>480</v>
          </cell>
          <cell r="D7">
            <v>480</v>
          </cell>
        </row>
        <row r="8">
          <cell r="B8">
            <v>1800</v>
          </cell>
          <cell r="C8">
            <v>2500</v>
          </cell>
          <cell r="D8">
            <v>3000</v>
          </cell>
        </row>
        <row r="10">
          <cell r="B10">
            <v>0</v>
          </cell>
          <cell r="C10">
            <v>13500</v>
          </cell>
          <cell r="D10">
            <v>30000</v>
          </cell>
        </row>
        <row r="11">
          <cell r="B11">
            <v>16320</v>
          </cell>
          <cell r="C11">
            <v>16320</v>
          </cell>
          <cell r="D11">
            <v>16320</v>
          </cell>
        </row>
        <row r="12">
          <cell r="B12">
            <v>1200</v>
          </cell>
          <cell r="C12">
            <v>1200</v>
          </cell>
          <cell r="D12">
            <v>1200</v>
          </cell>
        </row>
        <row r="13">
          <cell r="B13">
            <v>2000</v>
          </cell>
          <cell r="C13">
            <v>2000</v>
          </cell>
          <cell r="D13">
            <v>2000</v>
          </cell>
        </row>
        <row r="14">
          <cell r="B14">
            <v>3300</v>
          </cell>
          <cell r="C14">
            <v>3300</v>
          </cell>
          <cell r="D14">
            <v>3300</v>
          </cell>
        </row>
        <row r="15">
          <cell r="B15">
            <v>9140</v>
          </cell>
          <cell r="C15">
            <v>9140</v>
          </cell>
          <cell r="D15">
            <v>9140</v>
          </cell>
        </row>
        <row r="16">
          <cell r="B16">
            <v>2000</v>
          </cell>
          <cell r="C16">
            <v>2000</v>
          </cell>
          <cell r="D16">
            <v>2000</v>
          </cell>
        </row>
        <row r="17">
          <cell r="B17">
            <v>4000</v>
          </cell>
          <cell r="C17">
            <v>4000</v>
          </cell>
          <cell r="D17">
            <v>4000</v>
          </cell>
        </row>
        <row r="18">
          <cell r="C18">
            <v>4000</v>
          </cell>
          <cell r="D18">
            <v>4000</v>
          </cell>
        </row>
        <row r="19">
          <cell r="B19">
            <v>26700</v>
          </cell>
          <cell r="C19">
            <v>12000</v>
          </cell>
          <cell r="D19">
            <v>12000</v>
          </cell>
        </row>
        <row r="20">
          <cell r="B20">
            <v>28350</v>
          </cell>
          <cell r="C20">
            <v>37800</v>
          </cell>
          <cell r="D20">
            <v>37800</v>
          </cell>
        </row>
        <row r="21">
          <cell r="B21">
            <v>39000</v>
          </cell>
          <cell r="C21">
            <v>39600</v>
          </cell>
          <cell r="D21">
            <v>39600</v>
          </cell>
        </row>
        <row r="22">
          <cell r="B22">
            <v>15000</v>
          </cell>
          <cell r="C22">
            <v>35000</v>
          </cell>
          <cell r="D22">
            <v>40000</v>
          </cell>
        </row>
        <row r="25">
          <cell r="B25">
            <v>5000</v>
          </cell>
          <cell r="C25">
            <v>24000</v>
          </cell>
          <cell r="D25">
            <v>24000</v>
          </cell>
        </row>
        <row r="26">
          <cell r="B26">
            <v>6720</v>
          </cell>
          <cell r="C26">
            <v>6720</v>
          </cell>
          <cell r="D26">
            <v>6720</v>
          </cell>
        </row>
        <row r="27">
          <cell r="B27">
            <v>5000</v>
          </cell>
          <cell r="C27">
            <v>25000</v>
          </cell>
          <cell r="D27">
            <v>35000</v>
          </cell>
        </row>
        <row r="28">
          <cell r="B28">
            <v>5000</v>
          </cell>
          <cell r="C28">
            <v>60000</v>
          </cell>
          <cell r="D28">
            <v>60000</v>
          </cell>
        </row>
        <row r="29">
          <cell r="B29">
            <v>0</v>
          </cell>
          <cell r="C29">
            <v>60000</v>
          </cell>
          <cell r="D29">
            <v>60000</v>
          </cell>
        </row>
        <row r="30">
          <cell r="B30">
            <v>0</v>
          </cell>
          <cell r="C30">
            <v>10000</v>
          </cell>
          <cell r="D30">
            <v>15000</v>
          </cell>
        </row>
        <row r="31">
          <cell r="B31">
            <v>2400</v>
          </cell>
          <cell r="C31">
            <v>2400</v>
          </cell>
          <cell r="D31">
            <v>2400</v>
          </cell>
        </row>
        <row r="32">
          <cell r="B32">
            <v>20000</v>
          </cell>
          <cell r="C32">
            <v>40000</v>
          </cell>
          <cell r="D32">
            <v>40000</v>
          </cell>
        </row>
        <row r="33">
          <cell r="B33">
            <v>3000</v>
          </cell>
          <cell r="C33">
            <v>7000</v>
          </cell>
          <cell r="D33">
            <v>10000</v>
          </cell>
        </row>
        <row r="34">
          <cell r="B34">
            <v>1730</v>
          </cell>
          <cell r="C34">
            <v>1730</v>
          </cell>
          <cell r="D34">
            <v>1730</v>
          </cell>
        </row>
        <row r="35">
          <cell r="B35">
            <v>2000</v>
          </cell>
          <cell r="C35">
            <v>2000</v>
          </cell>
          <cell r="D35">
            <v>2000</v>
          </cell>
        </row>
      </sheetData>
      <sheetData sheetId="13">
        <row r="5">
          <cell r="C5">
            <v>5595</v>
          </cell>
          <cell r="D5">
            <v>14191</v>
          </cell>
          <cell r="E5">
            <v>59745</v>
          </cell>
        </row>
      </sheetData>
      <sheetData sheetId="14">
        <row r="7">
          <cell r="C7">
            <v>22500</v>
          </cell>
          <cell r="D7">
            <v>30000</v>
          </cell>
          <cell r="E7">
            <v>33000</v>
          </cell>
        </row>
        <row r="9">
          <cell r="C9">
            <v>24420</v>
          </cell>
          <cell r="D9">
            <v>24420</v>
          </cell>
          <cell r="E9">
            <v>26862.000000000004</v>
          </cell>
        </row>
        <row r="10">
          <cell r="C10">
            <v>3180</v>
          </cell>
          <cell r="D10">
            <v>3180</v>
          </cell>
          <cell r="E10">
            <v>3180</v>
          </cell>
        </row>
        <row r="14">
          <cell r="C14">
            <v>19459.45945945946</v>
          </cell>
          <cell r="D14">
            <v>25945.945945945947</v>
          </cell>
          <cell r="E14">
            <v>28540.54054054054</v>
          </cell>
        </row>
        <row r="16">
          <cell r="C16">
            <v>21120</v>
          </cell>
          <cell r="D16">
            <v>8639.616</v>
          </cell>
          <cell r="E16">
            <v>10751.616000000007</v>
          </cell>
        </row>
        <row r="19">
          <cell r="C19">
            <v>160</v>
          </cell>
          <cell r="D19">
            <v>160</v>
          </cell>
          <cell r="E19">
            <v>160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F33"/>
  <sheetViews>
    <sheetView view="pageBreakPreview" topLeftCell="A14" zoomScale="112" zoomScaleNormal="160" zoomScaleSheetLayoutView="130" zoomScalePageLayoutView="160" workbookViewId="0">
      <selection activeCell="B39" sqref="B39"/>
    </sheetView>
  </sheetViews>
  <sheetFormatPr baseColWidth="10" defaultColWidth="9.140625" defaultRowHeight="12.75" x14ac:dyDescent="0.2"/>
  <cols>
    <col min="1" max="1" width="45.7109375" customWidth="1"/>
    <col min="2" max="4" width="15.7109375" customWidth="1"/>
  </cols>
  <sheetData>
    <row r="2" spans="1:6" ht="23.25" x14ac:dyDescent="0.2">
      <c r="A2" s="158" t="s">
        <v>0</v>
      </c>
    </row>
    <row r="4" spans="1:6" ht="15" x14ac:dyDescent="0.2">
      <c r="A4" s="62" t="s">
        <v>192</v>
      </c>
      <c r="B4" s="62">
        <v>2016</v>
      </c>
      <c r="C4" s="62">
        <v>2017</v>
      </c>
      <c r="D4" s="62">
        <v>2018</v>
      </c>
    </row>
    <row r="5" spans="1:6" x14ac:dyDescent="0.2">
      <c r="A5" s="159" t="s">
        <v>2</v>
      </c>
      <c r="B5" s="160">
        <f>+'cex détail'!B5</f>
        <v>663814.33736159431</v>
      </c>
      <c r="C5" s="160">
        <f>+'cex détail'!C5</f>
        <v>2083081.2916640379</v>
      </c>
      <c r="D5" s="161">
        <f>+'cex détail'!D5</f>
        <v>5833842.8782051131</v>
      </c>
    </row>
    <row r="6" spans="1:6" x14ac:dyDescent="0.2">
      <c r="A6" s="162" t="s">
        <v>3</v>
      </c>
      <c r="B6" s="163">
        <f>+'cex détail'!B6</f>
        <v>621779.38405797107</v>
      </c>
      <c r="C6" s="163">
        <f>+'cex détail'!C6</f>
        <v>1491217.2536540537</v>
      </c>
      <c r="D6" s="164">
        <f>+'cex détail'!D6</f>
        <v>4181363.4226822238</v>
      </c>
    </row>
    <row r="7" spans="1:6" x14ac:dyDescent="0.2">
      <c r="A7" s="152" t="s">
        <v>4</v>
      </c>
      <c r="B7" s="153">
        <f>+B5-B6</f>
        <v>42034.953303623246</v>
      </c>
      <c r="C7" s="153">
        <f>+C5-C6</f>
        <v>591864.03800998419</v>
      </c>
      <c r="D7" s="154">
        <f>+D5-D6</f>
        <v>1652479.4555228893</v>
      </c>
    </row>
    <row r="8" spans="1:6" x14ac:dyDescent="0.2">
      <c r="A8" s="149" t="s">
        <v>5</v>
      </c>
      <c r="B8" s="150">
        <f>+B9+B10</f>
        <v>177756.66666666666</v>
      </c>
      <c r="C8" s="150">
        <f>+C9+C10</f>
        <v>432851.62583328073</v>
      </c>
      <c r="D8" s="151">
        <f>+D9+D10</f>
        <v>547866.85756410228</v>
      </c>
    </row>
    <row r="9" spans="1:6" x14ac:dyDescent="0.2">
      <c r="A9" s="162" t="s">
        <v>6</v>
      </c>
      <c r="B9" s="163">
        <f>+'cex détail'!B10</f>
        <v>9580</v>
      </c>
      <c r="C9" s="163">
        <f>+'cex détail'!C10</f>
        <v>10280</v>
      </c>
      <c r="D9" s="164">
        <f>+'cex détail'!D10</f>
        <v>10780</v>
      </c>
    </row>
    <row r="10" spans="1:6" x14ac:dyDescent="0.2">
      <c r="A10" s="162" t="s">
        <v>7</v>
      </c>
      <c r="B10" s="163">
        <f>+'cex détail'!B17</f>
        <v>168176.66666666666</v>
      </c>
      <c r="C10" s="163">
        <f>+'cex détail'!C17</f>
        <v>422571.62583328073</v>
      </c>
      <c r="D10" s="164">
        <f>+'cex détail'!D17</f>
        <v>537086.85756410228</v>
      </c>
      <c r="F10" s="30"/>
    </row>
    <row r="11" spans="1:6" x14ac:dyDescent="0.2">
      <c r="A11" s="152" t="s">
        <v>8</v>
      </c>
      <c r="B11" s="153">
        <f>+B7-B8</f>
        <v>-135721.71336304341</v>
      </c>
      <c r="C11" s="153">
        <f>+C7-C8</f>
        <v>159012.41217670345</v>
      </c>
      <c r="D11" s="154">
        <f>+D7-D8</f>
        <v>1104612.5979587869</v>
      </c>
    </row>
    <row r="12" spans="1:6" x14ac:dyDescent="0.2">
      <c r="A12" s="162" t="s">
        <v>177</v>
      </c>
      <c r="B12" s="163">
        <f>+'cex détail'!B38</f>
        <v>0</v>
      </c>
      <c r="C12" s="163">
        <f>+'cex détail'!C38</f>
        <v>72791</v>
      </c>
      <c r="D12" s="164">
        <f>+'cex détail'!D38</f>
        <v>33497</v>
      </c>
    </row>
    <row r="13" spans="1:6" x14ac:dyDescent="0.2">
      <c r="A13" s="162" t="s">
        <v>159</v>
      </c>
      <c r="B13" s="163">
        <f>+'cex détail'!B39</f>
        <v>5595</v>
      </c>
      <c r="C13" s="163">
        <f>+'cex détail'!C39</f>
        <v>14191.000000000002</v>
      </c>
      <c r="D13" s="164">
        <f>+'cex détail'!D39</f>
        <v>59745</v>
      </c>
    </row>
    <row r="14" spans="1:6" x14ac:dyDescent="0.2">
      <c r="A14" s="162" t="s">
        <v>160</v>
      </c>
      <c r="B14" s="163">
        <f>+'cex détail'!B40</f>
        <v>123779.45945945947</v>
      </c>
      <c r="C14" s="163">
        <f>+'cex détail'!C40</f>
        <v>130145.56194594593</v>
      </c>
      <c r="D14" s="164">
        <f>+'cex détail'!D40</f>
        <v>140294.15654054057</v>
      </c>
    </row>
    <row r="15" spans="1:6" x14ac:dyDescent="0.2">
      <c r="A15" s="152" t="s">
        <v>11</v>
      </c>
      <c r="B15" s="153">
        <f>+B11-B13-B14+B12</f>
        <v>-265096.17282250291</v>
      </c>
      <c r="C15" s="153">
        <f>+C11-C13-C14+C12</f>
        <v>87466.850230757525</v>
      </c>
      <c r="D15" s="154">
        <f>+D11-D13-D14+D12</f>
        <v>938070.44141824637</v>
      </c>
    </row>
    <row r="16" spans="1:6" x14ac:dyDescent="0.2">
      <c r="A16" s="162" t="s">
        <v>164</v>
      </c>
      <c r="B16" s="163">
        <v>0</v>
      </c>
      <c r="C16" s="163">
        <v>0</v>
      </c>
      <c r="D16" s="164">
        <v>0</v>
      </c>
    </row>
    <row r="17" spans="1:4" x14ac:dyDescent="0.2">
      <c r="A17" s="162" t="s">
        <v>165</v>
      </c>
      <c r="B17" s="163">
        <v>0</v>
      </c>
      <c r="C17" s="163">
        <v>0</v>
      </c>
      <c r="D17" s="164">
        <v>0</v>
      </c>
    </row>
    <row r="18" spans="1:4" x14ac:dyDescent="0.2">
      <c r="A18" s="162" t="s">
        <v>166</v>
      </c>
      <c r="B18" s="163">
        <v>0</v>
      </c>
      <c r="C18" s="163">
        <v>0</v>
      </c>
      <c r="D18" s="164">
        <v>0</v>
      </c>
    </row>
    <row r="19" spans="1:4" x14ac:dyDescent="0.2">
      <c r="A19" s="162" t="s">
        <v>167</v>
      </c>
      <c r="B19" s="163">
        <f>+'cex détail'!B50</f>
        <v>5084.625</v>
      </c>
      <c r="C19" s="163">
        <f>+'cex détail'!C50</f>
        <v>18578.520833333336</v>
      </c>
      <c r="D19" s="164">
        <f>+'cex détail'!D50</f>
        <v>34553.020833333343</v>
      </c>
    </row>
    <row r="20" spans="1:4" x14ac:dyDescent="0.2">
      <c r="A20" s="162" t="s">
        <v>168</v>
      </c>
      <c r="B20" s="163">
        <v>0</v>
      </c>
      <c r="C20" s="163">
        <v>0</v>
      </c>
      <c r="D20" s="164">
        <v>0</v>
      </c>
    </row>
    <row r="21" spans="1:4" x14ac:dyDescent="0.2">
      <c r="A21" s="152" t="s">
        <v>12</v>
      </c>
      <c r="B21" s="153">
        <f>+B15-B19</f>
        <v>-270180.79782250291</v>
      </c>
      <c r="C21" s="153">
        <f>+C15-C19</f>
        <v>68888.329397424182</v>
      </c>
      <c r="D21" s="154">
        <f>+D15-D19</f>
        <v>903517.42058491299</v>
      </c>
    </row>
    <row r="22" spans="1:4" x14ac:dyDescent="0.2">
      <c r="A22" s="162" t="s">
        <v>169</v>
      </c>
      <c r="B22" s="163">
        <v>0</v>
      </c>
      <c r="C22" s="163">
        <v>0</v>
      </c>
      <c r="D22" s="164">
        <v>0</v>
      </c>
    </row>
    <row r="23" spans="1:4" x14ac:dyDescent="0.2">
      <c r="A23" s="162" t="s">
        <v>170</v>
      </c>
      <c r="B23" s="163">
        <v>0</v>
      </c>
      <c r="C23" s="163">
        <v>0</v>
      </c>
      <c r="D23" s="164">
        <v>0</v>
      </c>
    </row>
    <row r="24" spans="1:4" x14ac:dyDescent="0.2">
      <c r="A24" s="149" t="s">
        <v>171</v>
      </c>
      <c r="B24" s="150">
        <f>+B22-B23</f>
        <v>0</v>
      </c>
      <c r="C24" s="150">
        <f>+C22-C23</f>
        <v>0</v>
      </c>
      <c r="D24" s="151">
        <f>+D22-D23</f>
        <v>0</v>
      </c>
    </row>
    <row r="25" spans="1:4" x14ac:dyDescent="0.2">
      <c r="A25" s="152" t="s">
        <v>13</v>
      </c>
      <c r="B25" s="153">
        <f>+B21+B24</f>
        <v>-270180.79782250291</v>
      </c>
      <c r="C25" s="153">
        <f>+C21+C24</f>
        <v>68888.329397424182</v>
      </c>
      <c r="D25" s="154">
        <f>+D21+D24</f>
        <v>903517.42058491299</v>
      </c>
    </row>
    <row r="26" spans="1:4" x14ac:dyDescent="0.2">
      <c r="A26" s="162" t="s">
        <v>172</v>
      </c>
      <c r="B26" s="163"/>
      <c r="C26" s="163"/>
      <c r="D26" s="164"/>
    </row>
    <row r="27" spans="1:4" x14ac:dyDescent="0.2">
      <c r="A27" s="162" t="s">
        <v>173</v>
      </c>
      <c r="B27" s="163">
        <v>0</v>
      </c>
      <c r="C27" s="163">
        <v>0</v>
      </c>
      <c r="D27" s="164">
        <v>0</v>
      </c>
    </row>
    <row r="28" spans="1:4" x14ac:dyDescent="0.2">
      <c r="A28" s="149" t="s">
        <v>174</v>
      </c>
      <c r="B28" s="150"/>
      <c r="C28" s="150"/>
      <c r="D28" s="151"/>
    </row>
    <row r="29" spans="1:4" x14ac:dyDescent="0.2">
      <c r="A29" s="162" t="s">
        <v>175</v>
      </c>
      <c r="B29" s="163">
        <v>0</v>
      </c>
      <c r="C29" s="163">
        <v>0</v>
      </c>
      <c r="D29" s="164">
        <v>0</v>
      </c>
    </row>
    <row r="30" spans="1:4" x14ac:dyDescent="0.2">
      <c r="A30" s="162" t="s">
        <v>176</v>
      </c>
      <c r="B30" s="163">
        <v>0</v>
      </c>
      <c r="C30" s="163">
        <v>0</v>
      </c>
      <c r="D30" s="164">
        <v>0</v>
      </c>
    </row>
    <row r="31" spans="1:4" x14ac:dyDescent="0.2">
      <c r="A31" s="152" t="s">
        <v>14</v>
      </c>
      <c r="B31" s="153">
        <f>+B25</f>
        <v>-270180.79782250291</v>
      </c>
      <c r="C31" s="153">
        <f>+C25</f>
        <v>68888.329397424182</v>
      </c>
      <c r="D31" s="154">
        <f>+D25</f>
        <v>903517.42058491299</v>
      </c>
    </row>
    <row r="32" spans="1:4" ht="6.95" customHeight="1" x14ac:dyDescent="0.2">
      <c r="A32" s="169"/>
      <c r="B32" s="170"/>
      <c r="C32" s="170"/>
      <c r="D32" s="170"/>
    </row>
    <row r="33" spans="1:4" x14ac:dyDescent="0.2">
      <c r="A33" s="155" t="s">
        <v>15</v>
      </c>
      <c r="B33" s="156">
        <f>+B31+B19</f>
        <v>-265096.17282250291</v>
      </c>
      <c r="C33" s="156">
        <f>+C31+C19</f>
        <v>87466.850230757525</v>
      </c>
      <c r="D33" s="157">
        <f>+D31+D19</f>
        <v>938070.44141824637</v>
      </c>
    </row>
  </sheetData>
  <phoneticPr fontId="25" type="noConversion"/>
  <pageMargins left="0.7" right="0.7" top="0.75" bottom="0.75" header="0.3" footer="0.3"/>
  <pageSetup paperSize="9" scale="96" fitToHeight="0" orientation="portrait" horizontalDpi="4294953554" verticalDpi="18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9"/>
  <sheetViews>
    <sheetView topLeftCell="K1" zoomScale="75" zoomScaleNormal="75" workbookViewId="0">
      <selection activeCell="AD25" sqref="AD25"/>
    </sheetView>
  </sheetViews>
  <sheetFormatPr baseColWidth="10" defaultRowHeight="15" x14ac:dyDescent="0.25"/>
  <cols>
    <col min="1" max="1" width="21.28515625" style="273" customWidth="1"/>
    <col min="2" max="16384" width="11.42578125" style="273"/>
  </cols>
  <sheetData>
    <row r="2" spans="1:40" s="289" customFormat="1" ht="29.25" customHeight="1" x14ac:dyDescent="0.5">
      <c r="A2" s="290" t="s">
        <v>243</v>
      </c>
      <c r="B2" s="290"/>
    </row>
    <row r="3" spans="1:40" s="288" customFormat="1" ht="16.5" x14ac:dyDescent="0.3"/>
    <row r="5" spans="1:40" ht="16.5" x14ac:dyDescent="0.35">
      <c r="A5" s="287"/>
      <c r="B5" s="286">
        <v>42370</v>
      </c>
      <c r="C5" s="286">
        <v>42401</v>
      </c>
      <c r="D5" s="286">
        <v>42430</v>
      </c>
      <c r="E5" s="286">
        <v>42461</v>
      </c>
      <c r="F5" s="286">
        <v>42491</v>
      </c>
      <c r="G5" s="286">
        <v>42522</v>
      </c>
      <c r="H5" s="286">
        <v>42552</v>
      </c>
      <c r="I5" s="286">
        <v>42583</v>
      </c>
      <c r="J5" s="286">
        <v>42614</v>
      </c>
      <c r="K5" s="286">
        <v>42644</v>
      </c>
      <c r="L5" s="286">
        <v>42675</v>
      </c>
      <c r="M5" s="286">
        <v>42705</v>
      </c>
      <c r="N5" s="285">
        <v>42558</v>
      </c>
      <c r="O5" s="286">
        <v>42736</v>
      </c>
      <c r="P5" s="286">
        <v>42767</v>
      </c>
      <c r="Q5" s="286">
        <v>42795</v>
      </c>
      <c r="R5" s="286">
        <v>42826</v>
      </c>
      <c r="S5" s="286">
        <v>42856</v>
      </c>
      <c r="T5" s="286">
        <v>42887</v>
      </c>
      <c r="U5" s="286">
        <v>42917</v>
      </c>
      <c r="V5" s="286">
        <v>42948</v>
      </c>
      <c r="W5" s="286">
        <v>42979</v>
      </c>
      <c r="X5" s="286">
        <v>43009</v>
      </c>
      <c r="Y5" s="286">
        <v>43040</v>
      </c>
      <c r="Z5" s="286">
        <v>43070</v>
      </c>
      <c r="AA5" s="285">
        <v>2016</v>
      </c>
      <c r="AB5" s="286">
        <v>43101</v>
      </c>
      <c r="AC5" s="286">
        <v>43132</v>
      </c>
      <c r="AD5" s="286">
        <v>43160</v>
      </c>
      <c r="AE5" s="286">
        <v>43191</v>
      </c>
      <c r="AF5" s="286">
        <v>43221</v>
      </c>
      <c r="AG5" s="286">
        <v>43252</v>
      </c>
      <c r="AH5" s="286">
        <v>43282</v>
      </c>
      <c r="AI5" s="286">
        <v>43313</v>
      </c>
      <c r="AJ5" s="286">
        <v>43344</v>
      </c>
      <c r="AK5" s="286">
        <v>43374</v>
      </c>
      <c r="AL5" s="286">
        <v>43405</v>
      </c>
      <c r="AM5" s="286">
        <v>43435</v>
      </c>
      <c r="AN5" s="285" t="s">
        <v>60</v>
      </c>
    </row>
    <row r="6" spans="1:40" x14ac:dyDescent="0.25">
      <c r="N6" s="284"/>
      <c r="AA6" s="284"/>
      <c r="AN6" s="284"/>
    </row>
    <row r="7" spans="1:40" x14ac:dyDescent="0.25">
      <c r="A7" s="283"/>
      <c r="B7" s="281">
        <f t="shared" ref="B7:M7" si="0">1/12</f>
        <v>8.3333333333333329E-2</v>
      </c>
      <c r="C7" s="281">
        <f t="shared" si="0"/>
        <v>8.3333333333333329E-2</v>
      </c>
      <c r="D7" s="281">
        <f t="shared" si="0"/>
        <v>8.3333333333333329E-2</v>
      </c>
      <c r="E7" s="281">
        <f t="shared" si="0"/>
        <v>8.3333333333333329E-2</v>
      </c>
      <c r="F7" s="281">
        <f t="shared" si="0"/>
        <v>8.3333333333333329E-2</v>
      </c>
      <c r="G7" s="281">
        <f t="shared" si="0"/>
        <v>8.3333333333333329E-2</v>
      </c>
      <c r="H7" s="281">
        <f t="shared" si="0"/>
        <v>8.3333333333333329E-2</v>
      </c>
      <c r="I7" s="281">
        <f t="shared" si="0"/>
        <v>8.3333333333333329E-2</v>
      </c>
      <c r="J7" s="281">
        <f t="shared" si="0"/>
        <v>8.3333333333333329E-2</v>
      </c>
      <c r="K7" s="281">
        <f t="shared" si="0"/>
        <v>8.3333333333333329E-2</v>
      </c>
      <c r="L7" s="281">
        <f t="shared" si="0"/>
        <v>8.3333333333333329E-2</v>
      </c>
      <c r="M7" s="281">
        <f t="shared" si="0"/>
        <v>8.3333333333333329E-2</v>
      </c>
      <c r="N7" s="282">
        <f>SUM(B7:M7)</f>
        <v>1</v>
      </c>
      <c r="O7" s="281">
        <v>0</v>
      </c>
      <c r="P7" s="281">
        <v>0</v>
      </c>
      <c r="Q7" s="281">
        <f>1/12*2</f>
        <v>0.16666666666666666</v>
      </c>
      <c r="R7" s="281">
        <f>1/12</f>
        <v>8.3333333333333329E-2</v>
      </c>
      <c r="S7" s="281">
        <f>1/12*2</f>
        <v>0.16666666666666666</v>
      </c>
      <c r="T7" s="281">
        <f>1/12</f>
        <v>8.3333333333333329E-2</v>
      </c>
      <c r="U7" s="281">
        <f>1/12</f>
        <v>8.3333333333333329E-2</v>
      </c>
      <c r="V7" s="281">
        <f>1/12</f>
        <v>8.3333333333333329E-2</v>
      </c>
      <c r="W7" s="281">
        <f>1/12</f>
        <v>8.3333333333333329E-2</v>
      </c>
      <c r="X7" s="281">
        <f>1/12</f>
        <v>8.3333333333333329E-2</v>
      </c>
      <c r="Y7" s="281">
        <v>0.16</v>
      </c>
      <c r="Z7" s="281">
        <v>0</v>
      </c>
      <c r="AA7" s="282">
        <f>SUM(O7:Z7)</f>
        <v>0.9933333333333334</v>
      </c>
      <c r="AB7" s="281">
        <v>0</v>
      </c>
      <c r="AC7" s="281">
        <v>0.5</v>
      </c>
      <c r="AD7" s="281">
        <v>0.5</v>
      </c>
      <c r="AE7" s="281">
        <v>0</v>
      </c>
      <c r="AF7" s="281">
        <v>0</v>
      </c>
      <c r="AG7" s="281">
        <v>0</v>
      </c>
      <c r="AH7" s="281">
        <v>0</v>
      </c>
      <c r="AI7" s="281">
        <v>0</v>
      </c>
      <c r="AJ7" s="281">
        <v>0</v>
      </c>
      <c r="AK7" s="281">
        <v>0</v>
      </c>
      <c r="AL7" s="281">
        <v>0</v>
      </c>
      <c r="AM7" s="281">
        <v>0</v>
      </c>
      <c r="AN7" s="280">
        <f>SUM(AB7:AM7)</f>
        <v>1</v>
      </c>
    </row>
    <row r="8" spans="1:40" ht="15.75" thickBot="1" x14ac:dyDescent="0.3">
      <c r="A8" s="278" t="s">
        <v>109</v>
      </c>
      <c r="B8" s="274">
        <f t="shared" ref="B8:M8" si="1">SUM(B9:B10)</f>
        <v>0</v>
      </c>
      <c r="C8" s="274">
        <f t="shared" si="1"/>
        <v>0</v>
      </c>
      <c r="D8" s="274">
        <f t="shared" si="1"/>
        <v>0</v>
      </c>
      <c r="E8" s="274">
        <f t="shared" si="1"/>
        <v>3000</v>
      </c>
      <c r="F8" s="274">
        <f t="shared" si="1"/>
        <v>9532.0833333333339</v>
      </c>
      <c r="G8" s="274">
        <f t="shared" si="1"/>
        <v>9532.0833333333339</v>
      </c>
      <c r="H8" s="274">
        <f t="shared" si="1"/>
        <v>9532.0833333333339</v>
      </c>
      <c r="I8" s="274">
        <f t="shared" si="1"/>
        <v>9532.0833333333339</v>
      </c>
      <c r="J8" s="274">
        <f t="shared" si="1"/>
        <v>9532.0833333333339</v>
      </c>
      <c r="K8" s="274">
        <f t="shared" si="1"/>
        <v>9532.0833333333339</v>
      </c>
      <c r="L8" s="274">
        <f t="shared" si="1"/>
        <v>9532.0833333333339</v>
      </c>
      <c r="M8" s="274">
        <f t="shared" si="1"/>
        <v>9532.0833333333339</v>
      </c>
      <c r="N8" s="279">
        <f>SUM(B8:M8)</f>
        <v>79256.666666666672</v>
      </c>
      <c r="O8" s="274">
        <f t="shared" ref="O8:Z8" si="2">SUM(O9:O10)</f>
        <v>13312.083333333334</v>
      </c>
      <c r="P8" s="274">
        <f t="shared" si="2"/>
        <v>13312.083333333334</v>
      </c>
      <c r="Q8" s="274">
        <f t="shared" si="2"/>
        <v>13312.083333333334</v>
      </c>
      <c r="R8" s="274">
        <f t="shared" si="2"/>
        <v>13312.083333333334</v>
      </c>
      <c r="S8" s="274">
        <f t="shared" si="2"/>
        <v>13312.083333333334</v>
      </c>
      <c r="T8" s="274">
        <f t="shared" si="2"/>
        <v>13312.083333333334</v>
      </c>
      <c r="U8" s="274">
        <f t="shared" si="2"/>
        <v>13312.083333333334</v>
      </c>
      <c r="V8" s="274">
        <f t="shared" si="2"/>
        <v>13312.083333333334</v>
      </c>
      <c r="W8" s="274">
        <f t="shared" si="2"/>
        <v>13312.083333333334</v>
      </c>
      <c r="X8" s="274">
        <f t="shared" si="2"/>
        <v>13312.083333333334</v>
      </c>
      <c r="Y8" s="274">
        <f t="shared" si="2"/>
        <v>13312.083333333334</v>
      </c>
      <c r="Z8" s="274">
        <f t="shared" si="2"/>
        <v>13312.083333333334</v>
      </c>
      <c r="AA8" s="279">
        <f>SUM(O8:Z8)</f>
        <v>159745</v>
      </c>
      <c r="AB8" s="274">
        <f t="shared" ref="AB8:AM8" si="3">SUM(AB9:AB10)</f>
        <v>13312.083333333334</v>
      </c>
      <c r="AC8" s="274">
        <f t="shared" si="3"/>
        <v>13312.083333333334</v>
      </c>
      <c r="AD8" s="274">
        <f t="shared" si="3"/>
        <v>13312.083333333334</v>
      </c>
      <c r="AE8" s="274">
        <f t="shared" si="3"/>
        <v>13312.083333333334</v>
      </c>
      <c r="AF8" s="274">
        <f t="shared" si="3"/>
        <v>13312.083333333334</v>
      </c>
      <c r="AG8" s="274">
        <f t="shared" si="3"/>
        <v>13312.083333333334</v>
      </c>
      <c r="AH8" s="274">
        <f t="shared" si="3"/>
        <v>13312.083333333334</v>
      </c>
      <c r="AI8" s="274">
        <f t="shared" si="3"/>
        <v>13312.083333333334</v>
      </c>
      <c r="AJ8" s="274">
        <f t="shared" si="3"/>
        <v>13312.083333333334</v>
      </c>
      <c r="AK8" s="274">
        <f t="shared" si="3"/>
        <v>13312.083333333334</v>
      </c>
      <c r="AL8" s="274">
        <f t="shared" si="3"/>
        <v>13312.083333333334</v>
      </c>
      <c r="AM8" s="274">
        <f t="shared" si="3"/>
        <v>13312.083333333334</v>
      </c>
      <c r="AN8" s="279">
        <f>SUM(AB8:AM8)</f>
        <v>159745</v>
      </c>
    </row>
    <row r="9" spans="1:40" x14ac:dyDescent="0.25">
      <c r="A9" s="273" t="s">
        <v>242</v>
      </c>
      <c r="B9" s="276">
        <v>0</v>
      </c>
      <c r="C9" s="276">
        <v>0</v>
      </c>
      <c r="D9" s="276">
        <v>0</v>
      </c>
      <c r="E9" s="276">
        <v>0</v>
      </c>
      <c r="F9" s="276">
        <v>972.08333333333337</v>
      </c>
      <c r="G9" s="276">
        <v>972.08333333333337</v>
      </c>
      <c r="H9" s="276">
        <v>972.08333333333337</v>
      </c>
      <c r="I9" s="276">
        <v>972.08333333333337</v>
      </c>
      <c r="J9" s="276">
        <v>972.08333333333337</v>
      </c>
      <c r="K9" s="276">
        <v>972.08333333333337</v>
      </c>
      <c r="L9" s="276">
        <v>972.08333333333337</v>
      </c>
      <c r="M9" s="276">
        <v>972.08333333333337</v>
      </c>
      <c r="N9" s="279">
        <f>SUM(B9:M9)</f>
        <v>7776.6666666666661</v>
      </c>
      <c r="O9" s="276">
        <f>+M9</f>
        <v>972.08333333333337</v>
      </c>
      <c r="P9" s="276">
        <f t="shared" ref="P9:Z9" si="4">+O9</f>
        <v>972.08333333333337</v>
      </c>
      <c r="Q9" s="276">
        <f t="shared" si="4"/>
        <v>972.08333333333337</v>
      </c>
      <c r="R9" s="276">
        <f t="shared" si="4"/>
        <v>972.08333333333337</v>
      </c>
      <c r="S9" s="276">
        <f t="shared" si="4"/>
        <v>972.08333333333337</v>
      </c>
      <c r="T9" s="276">
        <f t="shared" si="4"/>
        <v>972.08333333333337</v>
      </c>
      <c r="U9" s="276">
        <f t="shared" si="4"/>
        <v>972.08333333333337</v>
      </c>
      <c r="V9" s="276">
        <f t="shared" si="4"/>
        <v>972.08333333333337</v>
      </c>
      <c r="W9" s="276">
        <f t="shared" si="4"/>
        <v>972.08333333333337</v>
      </c>
      <c r="X9" s="276">
        <f t="shared" si="4"/>
        <v>972.08333333333337</v>
      </c>
      <c r="Y9" s="276">
        <f t="shared" si="4"/>
        <v>972.08333333333337</v>
      </c>
      <c r="Z9" s="276">
        <f t="shared" si="4"/>
        <v>972.08333333333337</v>
      </c>
      <c r="AA9" s="279">
        <f>SUM(O9:Z9)</f>
        <v>11665.000000000002</v>
      </c>
      <c r="AB9" s="276">
        <f>+Z9</f>
        <v>972.08333333333337</v>
      </c>
      <c r="AC9" s="276">
        <f>+AB9</f>
        <v>972.08333333333337</v>
      </c>
      <c r="AD9" s="276">
        <f t="shared" ref="AD9:AM10" si="5">+AB9</f>
        <v>972.08333333333337</v>
      </c>
      <c r="AE9" s="276">
        <f t="shared" si="5"/>
        <v>972.08333333333337</v>
      </c>
      <c r="AF9" s="276">
        <f t="shared" si="5"/>
        <v>972.08333333333337</v>
      </c>
      <c r="AG9" s="276">
        <f t="shared" si="5"/>
        <v>972.08333333333337</v>
      </c>
      <c r="AH9" s="276">
        <f t="shared" si="5"/>
        <v>972.08333333333337</v>
      </c>
      <c r="AI9" s="276">
        <f t="shared" si="5"/>
        <v>972.08333333333337</v>
      </c>
      <c r="AJ9" s="276">
        <f t="shared" si="5"/>
        <v>972.08333333333337</v>
      </c>
      <c r="AK9" s="276">
        <f t="shared" si="5"/>
        <v>972.08333333333337</v>
      </c>
      <c r="AL9" s="276">
        <f t="shared" si="5"/>
        <v>972.08333333333337</v>
      </c>
      <c r="AM9" s="276">
        <f t="shared" si="5"/>
        <v>972.08333333333337</v>
      </c>
      <c r="AN9" s="279">
        <f>SUM(AB9:AM9)</f>
        <v>11665.000000000002</v>
      </c>
    </row>
    <row r="10" spans="1:40" x14ac:dyDescent="0.25">
      <c r="A10" s="273" t="s">
        <v>241</v>
      </c>
      <c r="B10" s="276"/>
      <c r="C10" s="276"/>
      <c r="D10" s="276"/>
      <c r="E10" s="276">
        <v>3000</v>
      </c>
      <c r="F10" s="276">
        <v>8560</v>
      </c>
      <c r="G10" s="276">
        <v>8560</v>
      </c>
      <c r="H10" s="276">
        <v>8560</v>
      </c>
      <c r="I10" s="276">
        <v>8560</v>
      </c>
      <c r="J10" s="276">
        <v>8560</v>
      </c>
      <c r="K10" s="276">
        <v>8560</v>
      </c>
      <c r="L10" s="276">
        <v>8560</v>
      </c>
      <c r="M10" s="276">
        <v>8560</v>
      </c>
      <c r="N10" s="279">
        <f>SUM(B10:M10)</f>
        <v>71480</v>
      </c>
      <c r="O10" s="276">
        <v>12340</v>
      </c>
      <c r="P10" s="276">
        <v>12340</v>
      </c>
      <c r="Q10" s="276">
        <v>12340</v>
      </c>
      <c r="R10" s="276">
        <v>12340</v>
      </c>
      <c r="S10" s="276">
        <v>12340</v>
      </c>
      <c r="T10" s="276">
        <v>12340</v>
      </c>
      <c r="U10" s="276">
        <v>12340</v>
      </c>
      <c r="V10" s="276">
        <v>12340</v>
      </c>
      <c r="W10" s="276">
        <v>12340</v>
      </c>
      <c r="X10" s="276">
        <v>12340</v>
      </c>
      <c r="Y10" s="276">
        <v>12340</v>
      </c>
      <c r="Z10" s="276">
        <v>12340</v>
      </c>
      <c r="AA10" s="279">
        <f>SUM(O10:Z10)</f>
        <v>148080</v>
      </c>
      <c r="AB10" s="276">
        <f>+Z10</f>
        <v>12340</v>
      </c>
      <c r="AC10" s="276">
        <f>+AB10</f>
        <v>12340</v>
      </c>
      <c r="AD10" s="276">
        <f t="shared" si="5"/>
        <v>12340</v>
      </c>
      <c r="AE10" s="276">
        <f t="shared" si="5"/>
        <v>12340</v>
      </c>
      <c r="AF10" s="276">
        <f t="shared" si="5"/>
        <v>12340</v>
      </c>
      <c r="AG10" s="276">
        <f t="shared" si="5"/>
        <v>12340</v>
      </c>
      <c r="AH10" s="276">
        <f t="shared" si="5"/>
        <v>12340</v>
      </c>
      <c r="AI10" s="276">
        <f t="shared" si="5"/>
        <v>12340</v>
      </c>
      <c r="AJ10" s="276">
        <f t="shared" si="5"/>
        <v>12340</v>
      </c>
      <c r="AK10" s="276">
        <f t="shared" si="5"/>
        <v>12340</v>
      </c>
      <c r="AL10" s="276">
        <f t="shared" si="5"/>
        <v>12340</v>
      </c>
      <c r="AM10" s="276">
        <f t="shared" si="5"/>
        <v>12340</v>
      </c>
      <c r="AN10" s="279">
        <f>SUM(AB10:AM10)</f>
        <v>148080</v>
      </c>
    </row>
    <row r="11" spans="1:40" x14ac:dyDescent="0.25">
      <c r="A11" s="273" t="s">
        <v>240</v>
      </c>
      <c r="B11" s="273">
        <v>20000</v>
      </c>
      <c r="N11" s="276"/>
      <c r="AA11" s="276"/>
      <c r="AN11" s="276"/>
    </row>
    <row r="12" spans="1:40" ht="15.75" thickBot="1" x14ac:dyDescent="0.3">
      <c r="A12" s="278" t="s">
        <v>200</v>
      </c>
      <c r="B12" s="274">
        <f t="shared" ref="B12:M12" si="6">SUM(B13:B48)</f>
        <v>166.66666666666666</v>
      </c>
      <c r="C12" s="274">
        <f t="shared" si="6"/>
        <v>166.66666666666666</v>
      </c>
      <c r="D12" s="274">
        <f t="shared" si="6"/>
        <v>166.66666666666666</v>
      </c>
      <c r="E12" s="274">
        <f t="shared" si="6"/>
        <v>191.66666666666666</v>
      </c>
      <c r="F12" s="274">
        <f t="shared" si="6"/>
        <v>271.10069444444446</v>
      </c>
      <c r="G12" s="274">
        <f t="shared" si="6"/>
        <v>350.53472222222223</v>
      </c>
      <c r="H12" s="274">
        <f t="shared" si="6"/>
        <v>429.96875</v>
      </c>
      <c r="I12" s="274">
        <f t="shared" si="6"/>
        <v>509.40277777777777</v>
      </c>
      <c r="J12" s="274">
        <f t="shared" si="6"/>
        <v>588.83680555555554</v>
      </c>
      <c r="K12" s="274">
        <f t="shared" si="6"/>
        <v>668.27083333333337</v>
      </c>
      <c r="L12" s="274">
        <f t="shared" si="6"/>
        <v>747.7048611111112</v>
      </c>
      <c r="M12" s="274">
        <f t="shared" si="6"/>
        <v>827.13888888888903</v>
      </c>
      <c r="N12" s="274">
        <f t="shared" ref="N12:N49" si="7">SUM(B12:M12)</f>
        <v>5084.625</v>
      </c>
      <c r="O12" s="274">
        <f t="shared" ref="O12:Z12" si="8">SUM(O13:O48)</f>
        <v>938.07291666666686</v>
      </c>
      <c r="P12" s="274">
        <f t="shared" si="8"/>
        <v>1049.0069444444446</v>
      </c>
      <c r="Q12" s="274">
        <f t="shared" si="8"/>
        <v>1159.9409722222224</v>
      </c>
      <c r="R12" s="274">
        <f t="shared" si="8"/>
        <v>1270.8750000000002</v>
      </c>
      <c r="S12" s="274">
        <f t="shared" si="8"/>
        <v>1381.8090277777781</v>
      </c>
      <c r="T12" s="274">
        <f t="shared" si="8"/>
        <v>1492.7430555555559</v>
      </c>
      <c r="U12" s="274">
        <f t="shared" si="8"/>
        <v>1603.6770833333337</v>
      </c>
      <c r="V12" s="274">
        <f t="shared" si="8"/>
        <v>1714.6111111111115</v>
      </c>
      <c r="W12" s="274">
        <f t="shared" si="8"/>
        <v>1825.5451388888894</v>
      </c>
      <c r="X12" s="274">
        <f t="shared" si="8"/>
        <v>1936.4791666666672</v>
      </c>
      <c r="Y12" s="274">
        <f t="shared" si="8"/>
        <v>2047.413194444445</v>
      </c>
      <c r="Z12" s="274">
        <f t="shared" si="8"/>
        <v>2158.3472222222226</v>
      </c>
      <c r="AA12" s="274">
        <f t="shared" ref="AA12:AA49" si="9">SUM(O12:Z12)</f>
        <v>18578.520833333336</v>
      </c>
      <c r="AB12" s="274">
        <f t="shared" ref="AB12:AM12" si="10">SUM(AB13:AB48)</f>
        <v>2269.2812500000005</v>
      </c>
      <c r="AC12" s="274">
        <f t="shared" si="10"/>
        <v>2380.2152777777783</v>
      </c>
      <c r="AD12" s="274">
        <f t="shared" si="10"/>
        <v>2491.1493055555561</v>
      </c>
      <c r="AE12" s="274">
        <f t="shared" si="10"/>
        <v>2602.0833333333339</v>
      </c>
      <c r="AF12" s="274">
        <f t="shared" si="10"/>
        <v>2713.0173611111118</v>
      </c>
      <c r="AG12" s="274">
        <f t="shared" si="10"/>
        <v>2823.9513888888896</v>
      </c>
      <c r="AH12" s="274">
        <f t="shared" si="10"/>
        <v>2934.8854166666674</v>
      </c>
      <c r="AI12" s="274">
        <f t="shared" si="10"/>
        <v>3045.8194444444453</v>
      </c>
      <c r="AJ12" s="274">
        <f t="shared" si="10"/>
        <v>3156.7534722222231</v>
      </c>
      <c r="AK12" s="274">
        <f t="shared" si="10"/>
        <v>3267.6875000000009</v>
      </c>
      <c r="AL12" s="274">
        <f t="shared" si="10"/>
        <v>3378.6215277777787</v>
      </c>
      <c r="AM12" s="274">
        <f t="shared" si="10"/>
        <v>3489.5555555555566</v>
      </c>
      <c r="AN12" s="274">
        <f t="shared" ref="AN12:AN49" si="11">SUM(AB12:AM12)</f>
        <v>34553.020833333343</v>
      </c>
    </row>
    <row r="13" spans="1:40" x14ac:dyDescent="0.25">
      <c r="A13" s="277">
        <v>42370</v>
      </c>
      <c r="B13" s="276">
        <f>+(+B11/10)/12</f>
        <v>166.66666666666666</v>
      </c>
      <c r="C13" s="276">
        <f t="shared" ref="C13:M13" si="12">+B13</f>
        <v>166.66666666666666</v>
      </c>
      <c r="D13" s="276">
        <f t="shared" si="12"/>
        <v>166.66666666666666</v>
      </c>
      <c r="E13" s="276">
        <f t="shared" si="12"/>
        <v>166.66666666666666</v>
      </c>
      <c r="F13" s="276">
        <f t="shared" si="12"/>
        <v>166.66666666666666</v>
      </c>
      <c r="G13" s="276">
        <f t="shared" si="12"/>
        <v>166.66666666666666</v>
      </c>
      <c r="H13" s="276">
        <f t="shared" si="12"/>
        <v>166.66666666666666</v>
      </c>
      <c r="I13" s="276">
        <f t="shared" si="12"/>
        <v>166.66666666666666</v>
      </c>
      <c r="J13" s="276">
        <f t="shared" si="12"/>
        <v>166.66666666666666</v>
      </c>
      <c r="K13" s="276">
        <f t="shared" si="12"/>
        <v>166.66666666666666</v>
      </c>
      <c r="L13" s="276">
        <f t="shared" si="12"/>
        <v>166.66666666666666</v>
      </c>
      <c r="M13" s="276">
        <f t="shared" si="12"/>
        <v>166.66666666666666</v>
      </c>
      <c r="N13" s="274">
        <f t="shared" si="7"/>
        <v>2000.0000000000002</v>
      </c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4">
        <f t="shared" si="9"/>
        <v>0</v>
      </c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4">
        <f t="shared" si="11"/>
        <v>0</v>
      </c>
    </row>
    <row r="14" spans="1:40" x14ac:dyDescent="0.25">
      <c r="A14" s="277">
        <v>42401</v>
      </c>
      <c r="B14" s="276"/>
      <c r="C14" s="276"/>
      <c r="D14" s="276"/>
      <c r="E14" s="276">
        <v>0</v>
      </c>
      <c r="F14" s="276">
        <v>0</v>
      </c>
      <c r="G14" s="276">
        <v>0</v>
      </c>
      <c r="H14" s="276">
        <v>0</v>
      </c>
      <c r="I14" s="276">
        <v>0</v>
      </c>
      <c r="J14" s="276">
        <v>0</v>
      </c>
      <c r="K14" s="276">
        <v>0</v>
      </c>
      <c r="L14" s="276">
        <v>0</v>
      </c>
      <c r="M14" s="276">
        <v>0</v>
      </c>
      <c r="N14" s="274">
        <f t="shared" si="7"/>
        <v>0</v>
      </c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4">
        <f t="shared" si="9"/>
        <v>0</v>
      </c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4">
        <f t="shared" si="11"/>
        <v>0</v>
      </c>
    </row>
    <row r="15" spans="1:40" x14ac:dyDescent="0.25">
      <c r="A15" s="277">
        <v>42430</v>
      </c>
      <c r="B15" s="276"/>
      <c r="C15" s="276"/>
      <c r="D15" s="276">
        <f t="shared" ref="D15:M15" si="13">+D14</f>
        <v>0</v>
      </c>
      <c r="E15" s="276">
        <f t="shared" si="13"/>
        <v>0</v>
      </c>
      <c r="F15" s="276">
        <f t="shared" si="13"/>
        <v>0</v>
      </c>
      <c r="G15" s="276">
        <f t="shared" si="13"/>
        <v>0</v>
      </c>
      <c r="H15" s="276">
        <f t="shared" si="13"/>
        <v>0</v>
      </c>
      <c r="I15" s="276">
        <f t="shared" si="13"/>
        <v>0</v>
      </c>
      <c r="J15" s="276">
        <f t="shared" si="13"/>
        <v>0</v>
      </c>
      <c r="K15" s="276">
        <f t="shared" si="13"/>
        <v>0</v>
      </c>
      <c r="L15" s="276">
        <f t="shared" si="13"/>
        <v>0</v>
      </c>
      <c r="M15" s="276">
        <f t="shared" si="13"/>
        <v>0</v>
      </c>
      <c r="N15" s="274">
        <f t="shared" si="7"/>
        <v>0</v>
      </c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4">
        <f t="shared" si="9"/>
        <v>0</v>
      </c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4">
        <f t="shared" si="11"/>
        <v>0</v>
      </c>
    </row>
    <row r="16" spans="1:40" x14ac:dyDescent="0.25">
      <c r="A16" s="277">
        <v>42461</v>
      </c>
      <c r="B16" s="276"/>
      <c r="C16" s="276"/>
      <c r="D16" s="276"/>
      <c r="E16" s="276">
        <f>(+E8/10)/12</f>
        <v>25</v>
      </c>
      <c r="F16" s="276">
        <f t="shared" ref="F16:M16" si="14">+E16</f>
        <v>25</v>
      </c>
      <c r="G16" s="276">
        <f t="shared" si="14"/>
        <v>25</v>
      </c>
      <c r="H16" s="276">
        <f t="shared" si="14"/>
        <v>25</v>
      </c>
      <c r="I16" s="276">
        <f t="shared" si="14"/>
        <v>25</v>
      </c>
      <c r="J16" s="276">
        <f t="shared" si="14"/>
        <v>25</v>
      </c>
      <c r="K16" s="276">
        <f t="shared" si="14"/>
        <v>25</v>
      </c>
      <c r="L16" s="276">
        <f t="shared" si="14"/>
        <v>25</v>
      </c>
      <c r="M16" s="276">
        <f t="shared" si="14"/>
        <v>25</v>
      </c>
      <c r="N16" s="274">
        <f t="shared" si="7"/>
        <v>225</v>
      </c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4">
        <f t="shared" si="9"/>
        <v>0</v>
      </c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4">
        <f t="shared" si="11"/>
        <v>0</v>
      </c>
    </row>
    <row r="17" spans="1:40" x14ac:dyDescent="0.25">
      <c r="A17" s="277">
        <v>42491</v>
      </c>
      <c r="B17" s="276"/>
      <c r="C17" s="276"/>
      <c r="D17" s="276"/>
      <c r="E17" s="276"/>
      <c r="F17" s="276">
        <f>(+F8/10)/12</f>
        <v>79.434027777777786</v>
      </c>
      <c r="G17" s="276">
        <f t="shared" ref="G17:M17" si="15">+F17</f>
        <v>79.434027777777786</v>
      </c>
      <c r="H17" s="276">
        <f t="shared" si="15"/>
        <v>79.434027777777786</v>
      </c>
      <c r="I17" s="276">
        <f t="shared" si="15"/>
        <v>79.434027777777786</v>
      </c>
      <c r="J17" s="276">
        <f t="shared" si="15"/>
        <v>79.434027777777786</v>
      </c>
      <c r="K17" s="276">
        <f t="shared" si="15"/>
        <v>79.434027777777786</v>
      </c>
      <c r="L17" s="276">
        <f t="shared" si="15"/>
        <v>79.434027777777786</v>
      </c>
      <c r="M17" s="276">
        <f t="shared" si="15"/>
        <v>79.434027777777786</v>
      </c>
      <c r="N17" s="274">
        <f t="shared" si="7"/>
        <v>635.47222222222229</v>
      </c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4">
        <f t="shared" si="9"/>
        <v>0</v>
      </c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4">
        <f t="shared" si="11"/>
        <v>0</v>
      </c>
    </row>
    <row r="18" spans="1:40" x14ac:dyDescent="0.25">
      <c r="A18" s="277">
        <v>42522</v>
      </c>
      <c r="E18" s="276"/>
      <c r="F18" s="276"/>
      <c r="G18" s="276">
        <f>(+G8/10)/12</f>
        <v>79.434027777777786</v>
      </c>
      <c r="H18" s="276">
        <f>+H17</f>
        <v>79.434027777777786</v>
      </c>
      <c r="I18" s="276">
        <f>+I17</f>
        <v>79.434027777777786</v>
      </c>
      <c r="J18" s="276">
        <f>+J17</f>
        <v>79.434027777777786</v>
      </c>
      <c r="K18" s="276">
        <f>+K17</f>
        <v>79.434027777777786</v>
      </c>
      <c r="L18" s="276">
        <f>+L17</f>
        <v>79.434027777777786</v>
      </c>
      <c r="M18" s="276">
        <f t="shared" ref="M18:M24" si="16">+L17</f>
        <v>79.434027777777786</v>
      </c>
      <c r="N18" s="274">
        <f t="shared" si="7"/>
        <v>556.03819444444446</v>
      </c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4">
        <f t="shared" si="9"/>
        <v>0</v>
      </c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4">
        <f t="shared" si="11"/>
        <v>0</v>
      </c>
    </row>
    <row r="19" spans="1:40" x14ac:dyDescent="0.25">
      <c r="A19" s="277">
        <v>42552</v>
      </c>
      <c r="E19" s="276"/>
      <c r="F19" s="276"/>
      <c r="G19" s="276"/>
      <c r="H19" s="276">
        <f>(+H8/10)/12</f>
        <v>79.434027777777786</v>
      </c>
      <c r="I19" s="276">
        <f>+I18</f>
        <v>79.434027777777786</v>
      </c>
      <c r="J19" s="276">
        <f>+J18</f>
        <v>79.434027777777786</v>
      </c>
      <c r="K19" s="276">
        <f>+K18</f>
        <v>79.434027777777786</v>
      </c>
      <c r="L19" s="276">
        <f>+L18</f>
        <v>79.434027777777786</v>
      </c>
      <c r="M19" s="276">
        <f t="shared" si="16"/>
        <v>79.434027777777786</v>
      </c>
      <c r="N19" s="274">
        <f t="shared" si="7"/>
        <v>476.60416666666669</v>
      </c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4">
        <f t="shared" si="9"/>
        <v>0</v>
      </c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4">
        <f t="shared" si="11"/>
        <v>0</v>
      </c>
    </row>
    <row r="20" spans="1:40" x14ac:dyDescent="0.25">
      <c r="A20" s="277">
        <v>42583</v>
      </c>
      <c r="E20" s="276"/>
      <c r="F20" s="276"/>
      <c r="G20" s="276"/>
      <c r="H20" s="276"/>
      <c r="I20" s="276">
        <f>(+I8/10)/12</f>
        <v>79.434027777777786</v>
      </c>
      <c r="J20" s="276">
        <f>+J19</f>
        <v>79.434027777777786</v>
      </c>
      <c r="K20" s="276">
        <f>+K19</f>
        <v>79.434027777777786</v>
      </c>
      <c r="L20" s="276">
        <f>+L19</f>
        <v>79.434027777777786</v>
      </c>
      <c r="M20" s="276">
        <f t="shared" si="16"/>
        <v>79.434027777777786</v>
      </c>
      <c r="N20" s="274">
        <f t="shared" si="7"/>
        <v>397.17013888888891</v>
      </c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4">
        <f t="shared" si="9"/>
        <v>0</v>
      </c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4">
        <f t="shared" si="11"/>
        <v>0</v>
      </c>
    </row>
    <row r="21" spans="1:40" x14ac:dyDescent="0.25">
      <c r="A21" s="277">
        <v>42614</v>
      </c>
      <c r="E21" s="276"/>
      <c r="F21" s="276"/>
      <c r="G21" s="276"/>
      <c r="H21" s="276"/>
      <c r="I21" s="276"/>
      <c r="J21" s="276">
        <f>+I20</f>
        <v>79.434027777777786</v>
      </c>
      <c r="K21" s="276">
        <f>+K20</f>
        <v>79.434027777777786</v>
      </c>
      <c r="L21" s="276">
        <f>+L20</f>
        <v>79.434027777777786</v>
      </c>
      <c r="M21" s="276">
        <f t="shared" si="16"/>
        <v>79.434027777777786</v>
      </c>
      <c r="N21" s="274">
        <f t="shared" si="7"/>
        <v>317.73611111111114</v>
      </c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4">
        <f t="shared" si="9"/>
        <v>0</v>
      </c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4">
        <f t="shared" si="11"/>
        <v>0</v>
      </c>
    </row>
    <row r="22" spans="1:40" x14ac:dyDescent="0.25">
      <c r="A22" s="277">
        <v>42644</v>
      </c>
      <c r="E22" s="276"/>
      <c r="F22" s="276"/>
      <c r="G22" s="276"/>
      <c r="H22" s="276"/>
      <c r="I22" s="276"/>
      <c r="J22" s="276"/>
      <c r="K22" s="276">
        <f>+J21</f>
        <v>79.434027777777786</v>
      </c>
      <c r="L22" s="276">
        <f>+L21</f>
        <v>79.434027777777786</v>
      </c>
      <c r="M22" s="276">
        <f t="shared" si="16"/>
        <v>79.434027777777786</v>
      </c>
      <c r="N22" s="274">
        <f t="shared" si="7"/>
        <v>238.30208333333337</v>
      </c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4">
        <f t="shared" si="9"/>
        <v>0</v>
      </c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4">
        <f t="shared" si="11"/>
        <v>0</v>
      </c>
    </row>
    <row r="23" spans="1:40" x14ac:dyDescent="0.25">
      <c r="A23" s="277">
        <v>42675</v>
      </c>
      <c r="E23" s="276"/>
      <c r="F23" s="276"/>
      <c r="G23" s="276"/>
      <c r="H23" s="276"/>
      <c r="I23" s="276"/>
      <c r="J23" s="276"/>
      <c r="K23" s="276"/>
      <c r="L23" s="276">
        <f>+K22</f>
        <v>79.434027777777786</v>
      </c>
      <c r="M23" s="276">
        <f t="shared" si="16"/>
        <v>79.434027777777786</v>
      </c>
      <c r="N23" s="274">
        <f t="shared" si="7"/>
        <v>158.86805555555557</v>
      </c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4">
        <f t="shared" si="9"/>
        <v>0</v>
      </c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4">
        <f t="shared" si="11"/>
        <v>0</v>
      </c>
    </row>
    <row r="24" spans="1:40" x14ac:dyDescent="0.25">
      <c r="A24" s="277">
        <v>42705</v>
      </c>
      <c r="E24" s="276"/>
      <c r="F24" s="276"/>
      <c r="G24" s="276"/>
      <c r="H24" s="276"/>
      <c r="I24" s="276"/>
      <c r="J24" s="276"/>
      <c r="K24" s="276"/>
      <c r="L24" s="276"/>
      <c r="M24" s="276">
        <f t="shared" si="16"/>
        <v>79.434027777777786</v>
      </c>
      <c r="N24" s="274">
        <f t="shared" si="7"/>
        <v>79.434027777777786</v>
      </c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4">
        <f t="shared" si="9"/>
        <v>0</v>
      </c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4">
        <f t="shared" si="11"/>
        <v>0</v>
      </c>
    </row>
    <row r="25" spans="1:40" x14ac:dyDescent="0.25">
      <c r="A25" s="277">
        <v>42736</v>
      </c>
      <c r="N25" s="274">
        <f t="shared" si="7"/>
        <v>0</v>
      </c>
      <c r="O25" s="276">
        <f>+M12+(O8/10)/12</f>
        <v>938.07291666666686</v>
      </c>
      <c r="P25" s="276">
        <f t="shared" ref="P25:Z25" si="17">+O25</f>
        <v>938.07291666666686</v>
      </c>
      <c r="Q25" s="276">
        <f t="shared" si="17"/>
        <v>938.07291666666686</v>
      </c>
      <c r="R25" s="276">
        <f t="shared" si="17"/>
        <v>938.07291666666686</v>
      </c>
      <c r="S25" s="276">
        <f t="shared" si="17"/>
        <v>938.07291666666686</v>
      </c>
      <c r="T25" s="276">
        <f t="shared" si="17"/>
        <v>938.07291666666686</v>
      </c>
      <c r="U25" s="276">
        <f t="shared" si="17"/>
        <v>938.07291666666686</v>
      </c>
      <c r="V25" s="276">
        <f t="shared" si="17"/>
        <v>938.07291666666686</v>
      </c>
      <c r="W25" s="276">
        <f t="shared" si="17"/>
        <v>938.07291666666686</v>
      </c>
      <c r="X25" s="276">
        <f t="shared" si="17"/>
        <v>938.07291666666686</v>
      </c>
      <c r="Y25" s="276">
        <f t="shared" si="17"/>
        <v>938.07291666666686</v>
      </c>
      <c r="Z25" s="276">
        <f t="shared" si="17"/>
        <v>938.07291666666686</v>
      </c>
      <c r="AA25" s="274">
        <f t="shared" si="9"/>
        <v>11256.875</v>
      </c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4">
        <f t="shared" si="11"/>
        <v>0</v>
      </c>
    </row>
    <row r="26" spans="1:40" x14ac:dyDescent="0.25">
      <c r="A26" s="277">
        <v>42767</v>
      </c>
      <c r="N26" s="274">
        <f t="shared" si="7"/>
        <v>0</v>
      </c>
      <c r="P26" s="276">
        <f>+(+P$8/10)/12</f>
        <v>110.93402777777779</v>
      </c>
      <c r="Q26" s="276">
        <f t="shared" ref="Q26:Z26" si="18">+P26</f>
        <v>110.93402777777779</v>
      </c>
      <c r="R26" s="276">
        <f t="shared" si="18"/>
        <v>110.93402777777779</v>
      </c>
      <c r="S26" s="276">
        <f t="shared" si="18"/>
        <v>110.93402777777779</v>
      </c>
      <c r="T26" s="276">
        <f t="shared" si="18"/>
        <v>110.93402777777779</v>
      </c>
      <c r="U26" s="276">
        <f t="shared" si="18"/>
        <v>110.93402777777779</v>
      </c>
      <c r="V26" s="276">
        <f t="shared" si="18"/>
        <v>110.93402777777779</v>
      </c>
      <c r="W26" s="276">
        <f t="shared" si="18"/>
        <v>110.93402777777779</v>
      </c>
      <c r="X26" s="276">
        <f t="shared" si="18"/>
        <v>110.93402777777779</v>
      </c>
      <c r="Y26" s="276">
        <f t="shared" si="18"/>
        <v>110.93402777777779</v>
      </c>
      <c r="Z26" s="276">
        <f t="shared" si="18"/>
        <v>110.93402777777779</v>
      </c>
      <c r="AA26" s="274">
        <f t="shared" si="9"/>
        <v>1220.2743055555559</v>
      </c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4">
        <f t="shared" si="11"/>
        <v>0</v>
      </c>
    </row>
    <row r="27" spans="1:40" x14ac:dyDescent="0.25">
      <c r="A27" s="277">
        <v>42795</v>
      </c>
      <c r="N27" s="274">
        <f t="shared" si="7"/>
        <v>0</v>
      </c>
      <c r="Q27" s="276">
        <f>+(+Q$8/10)/12</f>
        <v>110.93402777777779</v>
      </c>
      <c r="R27" s="276">
        <f t="shared" ref="R27:Z28" si="19">+Q26</f>
        <v>110.93402777777779</v>
      </c>
      <c r="S27" s="276">
        <f t="shared" si="19"/>
        <v>110.93402777777779</v>
      </c>
      <c r="T27" s="276">
        <f t="shared" si="19"/>
        <v>110.93402777777779</v>
      </c>
      <c r="U27" s="276">
        <f t="shared" si="19"/>
        <v>110.93402777777779</v>
      </c>
      <c r="V27" s="276">
        <f t="shared" si="19"/>
        <v>110.93402777777779</v>
      </c>
      <c r="W27" s="276">
        <f t="shared" si="19"/>
        <v>110.93402777777779</v>
      </c>
      <c r="X27" s="276">
        <f t="shared" si="19"/>
        <v>110.93402777777779</v>
      </c>
      <c r="Y27" s="276">
        <f t="shared" si="19"/>
        <v>110.93402777777779</v>
      </c>
      <c r="Z27" s="276">
        <f t="shared" si="19"/>
        <v>110.93402777777779</v>
      </c>
      <c r="AA27" s="274">
        <f t="shared" si="9"/>
        <v>1109.3402777777781</v>
      </c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4">
        <f t="shared" si="11"/>
        <v>0</v>
      </c>
    </row>
    <row r="28" spans="1:40" x14ac:dyDescent="0.25">
      <c r="A28" s="277">
        <v>42826</v>
      </c>
      <c r="N28" s="274">
        <f t="shared" si="7"/>
        <v>0</v>
      </c>
      <c r="R28" s="276">
        <f t="shared" si="19"/>
        <v>110.93402777777779</v>
      </c>
      <c r="S28" s="276">
        <f t="shared" si="19"/>
        <v>110.93402777777779</v>
      </c>
      <c r="T28" s="276">
        <f t="shared" si="19"/>
        <v>110.93402777777779</v>
      </c>
      <c r="U28" s="276">
        <f t="shared" si="19"/>
        <v>110.93402777777779</v>
      </c>
      <c r="V28" s="276">
        <f t="shared" si="19"/>
        <v>110.93402777777779</v>
      </c>
      <c r="W28" s="276">
        <f t="shared" si="19"/>
        <v>110.93402777777779</v>
      </c>
      <c r="X28" s="276">
        <f t="shared" si="19"/>
        <v>110.93402777777779</v>
      </c>
      <c r="Y28" s="276">
        <f t="shared" si="19"/>
        <v>110.93402777777779</v>
      </c>
      <c r="Z28" s="276">
        <f t="shared" si="19"/>
        <v>110.93402777777779</v>
      </c>
      <c r="AA28" s="274">
        <f t="shared" si="9"/>
        <v>998.40625000000023</v>
      </c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4">
        <f t="shared" si="11"/>
        <v>0</v>
      </c>
    </row>
    <row r="29" spans="1:40" x14ac:dyDescent="0.25">
      <c r="A29" s="277">
        <v>42856</v>
      </c>
      <c r="N29" s="274">
        <f t="shared" si="7"/>
        <v>0</v>
      </c>
      <c r="S29" s="276">
        <f>+(+S$8/10)/12</f>
        <v>110.93402777777779</v>
      </c>
      <c r="T29" s="276">
        <f t="shared" ref="T29:Z29" si="20">+S28</f>
        <v>110.93402777777779</v>
      </c>
      <c r="U29" s="276">
        <f t="shared" si="20"/>
        <v>110.93402777777779</v>
      </c>
      <c r="V29" s="276">
        <f t="shared" si="20"/>
        <v>110.93402777777779</v>
      </c>
      <c r="W29" s="276">
        <f t="shared" si="20"/>
        <v>110.93402777777779</v>
      </c>
      <c r="X29" s="276">
        <f t="shared" si="20"/>
        <v>110.93402777777779</v>
      </c>
      <c r="Y29" s="276">
        <f t="shared" si="20"/>
        <v>110.93402777777779</v>
      </c>
      <c r="Z29" s="276">
        <f t="shared" si="20"/>
        <v>110.93402777777779</v>
      </c>
      <c r="AA29" s="274">
        <f t="shared" si="9"/>
        <v>887.4722222222224</v>
      </c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4">
        <f t="shared" si="11"/>
        <v>0</v>
      </c>
    </row>
    <row r="30" spans="1:40" x14ac:dyDescent="0.25">
      <c r="A30" s="277">
        <v>42887</v>
      </c>
      <c r="N30" s="274">
        <f t="shared" si="7"/>
        <v>0</v>
      </c>
      <c r="T30" s="276">
        <f>+(+T$8/10)/12</f>
        <v>110.93402777777779</v>
      </c>
      <c r="U30" s="276">
        <f t="shared" ref="U30:Z30" si="21">+T30</f>
        <v>110.93402777777779</v>
      </c>
      <c r="V30" s="276">
        <f t="shared" si="21"/>
        <v>110.93402777777779</v>
      </c>
      <c r="W30" s="276">
        <f t="shared" si="21"/>
        <v>110.93402777777779</v>
      </c>
      <c r="X30" s="276">
        <f t="shared" si="21"/>
        <v>110.93402777777779</v>
      </c>
      <c r="Y30" s="276">
        <f t="shared" si="21"/>
        <v>110.93402777777779</v>
      </c>
      <c r="Z30" s="276">
        <f t="shared" si="21"/>
        <v>110.93402777777779</v>
      </c>
      <c r="AA30" s="274">
        <f t="shared" si="9"/>
        <v>776.53819444444457</v>
      </c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4">
        <f t="shared" si="11"/>
        <v>0</v>
      </c>
    </row>
    <row r="31" spans="1:40" x14ac:dyDescent="0.25">
      <c r="A31" s="277">
        <v>42917</v>
      </c>
      <c r="N31" s="274">
        <f t="shared" si="7"/>
        <v>0</v>
      </c>
      <c r="U31" s="276">
        <f>+(+U$8/10)/12</f>
        <v>110.93402777777779</v>
      </c>
      <c r="V31" s="276">
        <f>+U31</f>
        <v>110.93402777777779</v>
      </c>
      <c r="W31" s="276">
        <f>+V31</f>
        <v>110.93402777777779</v>
      </c>
      <c r="X31" s="276">
        <f>+W31</f>
        <v>110.93402777777779</v>
      </c>
      <c r="Y31" s="276">
        <f>+X31</f>
        <v>110.93402777777779</v>
      </c>
      <c r="Z31" s="276">
        <f>+Y31</f>
        <v>110.93402777777779</v>
      </c>
      <c r="AA31" s="274">
        <f t="shared" si="9"/>
        <v>665.60416666666674</v>
      </c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4">
        <f t="shared" si="11"/>
        <v>0</v>
      </c>
    </row>
    <row r="32" spans="1:40" x14ac:dyDescent="0.25">
      <c r="A32" s="277">
        <v>42948</v>
      </c>
      <c r="N32" s="274">
        <f t="shared" si="7"/>
        <v>0</v>
      </c>
      <c r="V32" s="276">
        <f>+(+V$8/10)/12</f>
        <v>110.93402777777779</v>
      </c>
      <c r="W32" s="276">
        <f>+V32</f>
        <v>110.93402777777779</v>
      </c>
      <c r="X32" s="276">
        <f>+W32</f>
        <v>110.93402777777779</v>
      </c>
      <c r="Y32" s="276">
        <f>+X32</f>
        <v>110.93402777777779</v>
      </c>
      <c r="Z32" s="276">
        <f>+Y32</f>
        <v>110.93402777777779</v>
      </c>
      <c r="AA32" s="274">
        <f t="shared" si="9"/>
        <v>554.67013888888891</v>
      </c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4">
        <f t="shared" si="11"/>
        <v>0</v>
      </c>
    </row>
    <row r="33" spans="1:40" x14ac:dyDescent="0.25">
      <c r="A33" s="277">
        <v>42979</v>
      </c>
      <c r="N33" s="274">
        <f t="shared" si="7"/>
        <v>0</v>
      </c>
      <c r="W33" s="276">
        <f>+(+W$8/10)/12</f>
        <v>110.93402777777779</v>
      </c>
      <c r="X33" s="276">
        <f>+W33</f>
        <v>110.93402777777779</v>
      </c>
      <c r="Y33" s="276">
        <f>+X33</f>
        <v>110.93402777777779</v>
      </c>
      <c r="Z33" s="276">
        <f>+Y33</f>
        <v>110.93402777777779</v>
      </c>
      <c r="AA33" s="274">
        <f t="shared" si="9"/>
        <v>443.73611111111114</v>
      </c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4">
        <f t="shared" si="11"/>
        <v>0</v>
      </c>
    </row>
    <row r="34" spans="1:40" x14ac:dyDescent="0.25">
      <c r="A34" s="277">
        <v>43009</v>
      </c>
      <c r="N34" s="274">
        <f t="shared" si="7"/>
        <v>0</v>
      </c>
      <c r="X34" s="276">
        <f>+(+X$8/10)/12</f>
        <v>110.93402777777779</v>
      </c>
      <c r="Y34" s="276">
        <f>+X34</f>
        <v>110.93402777777779</v>
      </c>
      <c r="Z34" s="276">
        <f>+Y34</f>
        <v>110.93402777777779</v>
      </c>
      <c r="AA34" s="274">
        <f t="shared" si="9"/>
        <v>332.80208333333337</v>
      </c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4">
        <f t="shared" si="11"/>
        <v>0</v>
      </c>
    </row>
    <row r="35" spans="1:40" x14ac:dyDescent="0.25">
      <c r="A35" s="277">
        <v>43040</v>
      </c>
      <c r="N35" s="274">
        <f t="shared" si="7"/>
        <v>0</v>
      </c>
      <c r="Y35" s="276">
        <f>+(+Y$8/10)/12</f>
        <v>110.93402777777779</v>
      </c>
      <c r="Z35" s="276">
        <f>+Y35</f>
        <v>110.93402777777779</v>
      </c>
      <c r="AA35" s="274">
        <f t="shared" si="9"/>
        <v>221.86805555555557</v>
      </c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4">
        <f t="shared" si="11"/>
        <v>0</v>
      </c>
    </row>
    <row r="36" spans="1:40" x14ac:dyDescent="0.25">
      <c r="A36" s="277">
        <v>43070</v>
      </c>
      <c r="N36" s="274">
        <f t="shared" si="7"/>
        <v>0</v>
      </c>
      <c r="Z36" s="276">
        <f>+(+Z$8/10)/12</f>
        <v>110.93402777777779</v>
      </c>
      <c r="AA36" s="274">
        <f t="shared" si="9"/>
        <v>110.93402777777779</v>
      </c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274">
        <f t="shared" si="11"/>
        <v>0</v>
      </c>
    </row>
    <row r="37" spans="1:40" x14ac:dyDescent="0.25">
      <c r="A37" s="277">
        <v>43101</v>
      </c>
      <c r="N37" s="274">
        <f t="shared" si="7"/>
        <v>0</v>
      </c>
      <c r="AA37" s="274">
        <f t="shared" si="9"/>
        <v>0</v>
      </c>
      <c r="AB37" s="276">
        <f t="shared" ref="AB37:AM37" si="22">+$Z$12+(AB8/10)/12</f>
        <v>2269.2812500000005</v>
      </c>
      <c r="AC37" s="276">
        <f t="shared" si="22"/>
        <v>2269.2812500000005</v>
      </c>
      <c r="AD37" s="276">
        <f t="shared" si="22"/>
        <v>2269.2812500000005</v>
      </c>
      <c r="AE37" s="276">
        <f t="shared" si="22"/>
        <v>2269.2812500000005</v>
      </c>
      <c r="AF37" s="276">
        <f t="shared" si="22"/>
        <v>2269.2812500000005</v>
      </c>
      <c r="AG37" s="276">
        <f t="shared" si="22"/>
        <v>2269.2812500000005</v>
      </c>
      <c r="AH37" s="276">
        <f t="shared" si="22"/>
        <v>2269.2812500000005</v>
      </c>
      <c r="AI37" s="276">
        <f t="shared" si="22"/>
        <v>2269.2812500000005</v>
      </c>
      <c r="AJ37" s="276">
        <f t="shared" si="22"/>
        <v>2269.2812500000005</v>
      </c>
      <c r="AK37" s="276">
        <f t="shared" si="22"/>
        <v>2269.2812500000005</v>
      </c>
      <c r="AL37" s="276">
        <f t="shared" si="22"/>
        <v>2269.2812500000005</v>
      </c>
      <c r="AM37" s="276">
        <f t="shared" si="22"/>
        <v>2269.2812500000005</v>
      </c>
      <c r="AN37" s="274">
        <f t="shared" si="11"/>
        <v>27231.375000000004</v>
      </c>
    </row>
    <row r="38" spans="1:40" x14ac:dyDescent="0.25">
      <c r="A38" s="277">
        <v>43132</v>
      </c>
      <c r="N38" s="274">
        <f t="shared" si="7"/>
        <v>0</v>
      </c>
      <c r="AA38" s="274">
        <f t="shared" si="9"/>
        <v>0</v>
      </c>
      <c r="AC38" s="276">
        <f>+(AC$8/10)/12</f>
        <v>110.93402777777779</v>
      </c>
      <c r="AD38" s="276">
        <f t="shared" ref="AD38:AM38" si="23">+AC38</f>
        <v>110.93402777777779</v>
      </c>
      <c r="AE38" s="276">
        <f t="shared" si="23"/>
        <v>110.93402777777779</v>
      </c>
      <c r="AF38" s="276">
        <f t="shared" si="23"/>
        <v>110.93402777777779</v>
      </c>
      <c r="AG38" s="276">
        <f t="shared" si="23"/>
        <v>110.93402777777779</v>
      </c>
      <c r="AH38" s="276">
        <f t="shared" si="23"/>
        <v>110.93402777777779</v>
      </c>
      <c r="AI38" s="276">
        <f t="shared" si="23"/>
        <v>110.93402777777779</v>
      </c>
      <c r="AJ38" s="276">
        <f t="shared" si="23"/>
        <v>110.93402777777779</v>
      </c>
      <c r="AK38" s="276">
        <f t="shared" si="23"/>
        <v>110.93402777777779</v>
      </c>
      <c r="AL38" s="276">
        <f t="shared" si="23"/>
        <v>110.93402777777779</v>
      </c>
      <c r="AM38" s="276">
        <f t="shared" si="23"/>
        <v>110.93402777777779</v>
      </c>
      <c r="AN38" s="274">
        <f t="shared" si="11"/>
        <v>1220.2743055555559</v>
      </c>
    </row>
    <row r="39" spans="1:40" x14ac:dyDescent="0.25">
      <c r="A39" s="277">
        <v>43160</v>
      </c>
      <c r="N39" s="274">
        <f t="shared" si="7"/>
        <v>0</v>
      </c>
      <c r="AA39" s="274">
        <f t="shared" si="9"/>
        <v>0</v>
      </c>
      <c r="AD39" s="276">
        <f>+(AD$8/10)/12</f>
        <v>110.93402777777779</v>
      </c>
      <c r="AE39" s="276">
        <f t="shared" ref="AE39:AM39" si="24">+AD39</f>
        <v>110.93402777777779</v>
      </c>
      <c r="AF39" s="276">
        <f t="shared" si="24"/>
        <v>110.93402777777779</v>
      </c>
      <c r="AG39" s="276">
        <f t="shared" si="24"/>
        <v>110.93402777777779</v>
      </c>
      <c r="AH39" s="276">
        <f t="shared" si="24"/>
        <v>110.93402777777779</v>
      </c>
      <c r="AI39" s="276">
        <f t="shared" si="24"/>
        <v>110.93402777777779</v>
      </c>
      <c r="AJ39" s="276">
        <f t="shared" si="24"/>
        <v>110.93402777777779</v>
      </c>
      <c r="AK39" s="276">
        <f t="shared" si="24"/>
        <v>110.93402777777779</v>
      </c>
      <c r="AL39" s="276">
        <f t="shared" si="24"/>
        <v>110.93402777777779</v>
      </c>
      <c r="AM39" s="276">
        <f t="shared" si="24"/>
        <v>110.93402777777779</v>
      </c>
      <c r="AN39" s="274">
        <f t="shared" si="11"/>
        <v>1109.3402777777781</v>
      </c>
    </row>
    <row r="40" spans="1:40" x14ac:dyDescent="0.25">
      <c r="A40" s="277">
        <v>43191</v>
      </c>
      <c r="N40" s="274">
        <f t="shared" si="7"/>
        <v>0</v>
      </c>
      <c r="AA40" s="274">
        <f t="shared" si="9"/>
        <v>0</v>
      </c>
      <c r="AE40" s="276">
        <f>+(AE$8/10)/12</f>
        <v>110.93402777777779</v>
      </c>
      <c r="AF40" s="276">
        <f t="shared" ref="AF40:AM40" si="25">+AE40</f>
        <v>110.93402777777779</v>
      </c>
      <c r="AG40" s="276">
        <f t="shared" si="25"/>
        <v>110.93402777777779</v>
      </c>
      <c r="AH40" s="276">
        <f t="shared" si="25"/>
        <v>110.93402777777779</v>
      </c>
      <c r="AI40" s="276">
        <f t="shared" si="25"/>
        <v>110.93402777777779</v>
      </c>
      <c r="AJ40" s="276">
        <f t="shared" si="25"/>
        <v>110.93402777777779</v>
      </c>
      <c r="AK40" s="276">
        <f t="shared" si="25"/>
        <v>110.93402777777779</v>
      </c>
      <c r="AL40" s="276">
        <f t="shared" si="25"/>
        <v>110.93402777777779</v>
      </c>
      <c r="AM40" s="276">
        <f t="shared" si="25"/>
        <v>110.93402777777779</v>
      </c>
      <c r="AN40" s="274">
        <f t="shared" si="11"/>
        <v>998.40625000000023</v>
      </c>
    </row>
    <row r="41" spans="1:40" x14ac:dyDescent="0.25">
      <c r="A41" s="277">
        <v>43221</v>
      </c>
      <c r="N41" s="274">
        <f t="shared" si="7"/>
        <v>0</v>
      </c>
      <c r="AA41" s="274">
        <f t="shared" si="9"/>
        <v>0</v>
      </c>
      <c r="AF41" s="276">
        <f>+(AF$8/10)/12</f>
        <v>110.93402777777779</v>
      </c>
      <c r="AG41" s="276">
        <f t="shared" ref="AG41:AM41" si="26">+AF41</f>
        <v>110.93402777777779</v>
      </c>
      <c r="AH41" s="276">
        <f t="shared" si="26"/>
        <v>110.93402777777779</v>
      </c>
      <c r="AI41" s="276">
        <f t="shared" si="26"/>
        <v>110.93402777777779</v>
      </c>
      <c r="AJ41" s="276">
        <f t="shared" si="26"/>
        <v>110.93402777777779</v>
      </c>
      <c r="AK41" s="276">
        <f t="shared" si="26"/>
        <v>110.93402777777779</v>
      </c>
      <c r="AL41" s="276">
        <f t="shared" si="26"/>
        <v>110.93402777777779</v>
      </c>
      <c r="AM41" s="276">
        <f t="shared" si="26"/>
        <v>110.93402777777779</v>
      </c>
      <c r="AN41" s="274">
        <f t="shared" si="11"/>
        <v>887.4722222222224</v>
      </c>
    </row>
    <row r="42" spans="1:40" x14ac:dyDescent="0.25">
      <c r="A42" s="277">
        <v>43252</v>
      </c>
      <c r="N42" s="274">
        <f t="shared" si="7"/>
        <v>0</v>
      </c>
      <c r="AA42" s="274">
        <f t="shared" si="9"/>
        <v>0</v>
      </c>
      <c r="AG42" s="276">
        <f>+(AG$8/10)/12</f>
        <v>110.93402777777779</v>
      </c>
      <c r="AH42" s="276">
        <f t="shared" ref="AH42:AM42" si="27">+AG42</f>
        <v>110.93402777777779</v>
      </c>
      <c r="AI42" s="276">
        <f t="shared" si="27"/>
        <v>110.93402777777779</v>
      </c>
      <c r="AJ42" s="276">
        <f t="shared" si="27"/>
        <v>110.93402777777779</v>
      </c>
      <c r="AK42" s="276">
        <f t="shared" si="27"/>
        <v>110.93402777777779</v>
      </c>
      <c r="AL42" s="276">
        <f t="shared" si="27"/>
        <v>110.93402777777779</v>
      </c>
      <c r="AM42" s="276">
        <f t="shared" si="27"/>
        <v>110.93402777777779</v>
      </c>
      <c r="AN42" s="274">
        <f t="shared" si="11"/>
        <v>776.53819444444457</v>
      </c>
    </row>
    <row r="43" spans="1:40" x14ac:dyDescent="0.25">
      <c r="A43" s="277">
        <v>43282</v>
      </c>
      <c r="N43" s="274">
        <f t="shared" si="7"/>
        <v>0</v>
      </c>
      <c r="AA43" s="274">
        <f t="shared" si="9"/>
        <v>0</v>
      </c>
      <c r="AH43" s="276">
        <f>+(AH$8/10)/12</f>
        <v>110.93402777777779</v>
      </c>
      <c r="AI43" s="276">
        <f>+AH43</f>
        <v>110.93402777777779</v>
      </c>
      <c r="AJ43" s="276">
        <f>+AI43</f>
        <v>110.93402777777779</v>
      </c>
      <c r="AK43" s="276">
        <f>+AJ43</f>
        <v>110.93402777777779</v>
      </c>
      <c r="AL43" s="276">
        <f>+AK43</f>
        <v>110.93402777777779</v>
      </c>
      <c r="AM43" s="276">
        <f>+AL43</f>
        <v>110.93402777777779</v>
      </c>
      <c r="AN43" s="274">
        <f t="shared" si="11"/>
        <v>665.60416666666674</v>
      </c>
    </row>
    <row r="44" spans="1:40" x14ac:dyDescent="0.25">
      <c r="A44" s="277">
        <v>43313</v>
      </c>
      <c r="N44" s="274">
        <f t="shared" si="7"/>
        <v>0</v>
      </c>
      <c r="AA44" s="274">
        <f t="shared" si="9"/>
        <v>0</v>
      </c>
      <c r="AI44" s="276">
        <f>+(AI$8/10)/12</f>
        <v>110.93402777777779</v>
      </c>
      <c r="AJ44" s="276">
        <f>+AI44</f>
        <v>110.93402777777779</v>
      </c>
      <c r="AK44" s="276">
        <f>+AJ44</f>
        <v>110.93402777777779</v>
      </c>
      <c r="AL44" s="276">
        <f>+AK44</f>
        <v>110.93402777777779</v>
      </c>
      <c r="AM44" s="276">
        <f>+AL44</f>
        <v>110.93402777777779</v>
      </c>
      <c r="AN44" s="274">
        <f t="shared" si="11"/>
        <v>554.67013888888891</v>
      </c>
    </row>
    <row r="45" spans="1:40" x14ac:dyDescent="0.25">
      <c r="A45" s="277">
        <v>43344</v>
      </c>
      <c r="N45" s="274">
        <f t="shared" si="7"/>
        <v>0</v>
      </c>
      <c r="AA45" s="274">
        <f t="shared" si="9"/>
        <v>0</v>
      </c>
      <c r="AJ45" s="276">
        <f>+(AJ$8/10)/12</f>
        <v>110.93402777777779</v>
      </c>
      <c r="AK45" s="276">
        <f>+AJ45</f>
        <v>110.93402777777779</v>
      </c>
      <c r="AL45" s="276">
        <f>+AK45</f>
        <v>110.93402777777779</v>
      </c>
      <c r="AM45" s="276">
        <f>+AL45</f>
        <v>110.93402777777779</v>
      </c>
      <c r="AN45" s="274">
        <f t="shared" si="11"/>
        <v>443.73611111111114</v>
      </c>
    </row>
    <row r="46" spans="1:40" x14ac:dyDescent="0.25">
      <c r="A46" s="277">
        <v>43374</v>
      </c>
      <c r="N46" s="274">
        <f t="shared" si="7"/>
        <v>0</v>
      </c>
      <c r="AA46" s="274">
        <f t="shared" si="9"/>
        <v>0</v>
      </c>
      <c r="AK46" s="276">
        <f>+(AK$8/10)/12</f>
        <v>110.93402777777779</v>
      </c>
      <c r="AL46" s="276">
        <f>+AK46</f>
        <v>110.93402777777779</v>
      </c>
      <c r="AM46" s="276">
        <f>+AL46</f>
        <v>110.93402777777779</v>
      </c>
      <c r="AN46" s="274">
        <f t="shared" si="11"/>
        <v>332.80208333333337</v>
      </c>
    </row>
    <row r="47" spans="1:40" x14ac:dyDescent="0.25">
      <c r="A47" s="277">
        <v>43405</v>
      </c>
      <c r="N47" s="274">
        <f t="shared" si="7"/>
        <v>0</v>
      </c>
      <c r="AA47" s="274">
        <f t="shared" si="9"/>
        <v>0</v>
      </c>
      <c r="AL47" s="276">
        <f>+(AL$8/10)/12</f>
        <v>110.93402777777779</v>
      </c>
      <c r="AM47" s="276">
        <f>+AL47</f>
        <v>110.93402777777779</v>
      </c>
      <c r="AN47" s="274">
        <f t="shared" si="11"/>
        <v>221.86805555555557</v>
      </c>
    </row>
    <row r="48" spans="1:40" x14ac:dyDescent="0.25">
      <c r="A48" s="277">
        <v>43435</v>
      </c>
      <c r="N48" s="274">
        <f t="shared" si="7"/>
        <v>0</v>
      </c>
      <c r="AA48" s="274">
        <f t="shared" si="9"/>
        <v>0</v>
      </c>
      <c r="AM48" s="276">
        <f>+(AM$8/10)/12</f>
        <v>110.93402777777779</v>
      </c>
      <c r="AN48" s="274">
        <f t="shared" si="11"/>
        <v>110.93402777777779</v>
      </c>
    </row>
    <row r="49" spans="1:40" x14ac:dyDescent="0.25">
      <c r="A49" s="275" t="s">
        <v>239</v>
      </c>
      <c r="B49" s="274">
        <f t="shared" ref="B49:M49" si="28">SUM(B13:B48)</f>
        <v>166.66666666666666</v>
      </c>
      <c r="C49" s="274">
        <f t="shared" si="28"/>
        <v>166.66666666666666</v>
      </c>
      <c r="D49" s="274">
        <f t="shared" si="28"/>
        <v>166.66666666666666</v>
      </c>
      <c r="E49" s="274">
        <f t="shared" si="28"/>
        <v>191.66666666666666</v>
      </c>
      <c r="F49" s="274">
        <f t="shared" si="28"/>
        <v>271.10069444444446</v>
      </c>
      <c r="G49" s="274">
        <f t="shared" si="28"/>
        <v>350.53472222222223</v>
      </c>
      <c r="H49" s="274">
        <f t="shared" si="28"/>
        <v>429.96875</v>
      </c>
      <c r="I49" s="274">
        <f t="shared" si="28"/>
        <v>509.40277777777777</v>
      </c>
      <c r="J49" s="274">
        <f t="shared" si="28"/>
        <v>588.83680555555554</v>
      </c>
      <c r="K49" s="274">
        <f t="shared" si="28"/>
        <v>668.27083333333337</v>
      </c>
      <c r="L49" s="274">
        <f t="shared" si="28"/>
        <v>747.7048611111112</v>
      </c>
      <c r="M49" s="274">
        <f t="shared" si="28"/>
        <v>827.13888888888903</v>
      </c>
      <c r="N49" s="274">
        <f t="shared" si="7"/>
        <v>5084.625</v>
      </c>
      <c r="O49" s="274">
        <f t="shared" ref="O49:Z49" si="29">SUM(O13:O48)</f>
        <v>938.07291666666686</v>
      </c>
      <c r="P49" s="274">
        <f t="shared" si="29"/>
        <v>1049.0069444444446</v>
      </c>
      <c r="Q49" s="274">
        <f t="shared" si="29"/>
        <v>1159.9409722222224</v>
      </c>
      <c r="R49" s="274">
        <f t="shared" si="29"/>
        <v>1270.8750000000002</v>
      </c>
      <c r="S49" s="274">
        <f t="shared" si="29"/>
        <v>1381.8090277777781</v>
      </c>
      <c r="T49" s="274">
        <f t="shared" si="29"/>
        <v>1492.7430555555559</v>
      </c>
      <c r="U49" s="274">
        <f t="shared" si="29"/>
        <v>1603.6770833333337</v>
      </c>
      <c r="V49" s="274">
        <f t="shared" si="29"/>
        <v>1714.6111111111115</v>
      </c>
      <c r="W49" s="274">
        <f t="shared" si="29"/>
        <v>1825.5451388888894</v>
      </c>
      <c r="X49" s="274">
        <f t="shared" si="29"/>
        <v>1936.4791666666672</v>
      </c>
      <c r="Y49" s="274">
        <f t="shared" si="29"/>
        <v>2047.413194444445</v>
      </c>
      <c r="Z49" s="274">
        <f t="shared" si="29"/>
        <v>2158.3472222222226</v>
      </c>
      <c r="AA49" s="274">
        <f t="shared" si="9"/>
        <v>18578.520833333336</v>
      </c>
      <c r="AB49" s="274">
        <f t="shared" ref="AB49:AM49" si="30">SUM(AB13:AB48)</f>
        <v>2269.2812500000005</v>
      </c>
      <c r="AC49" s="274">
        <f t="shared" si="30"/>
        <v>2380.2152777777783</v>
      </c>
      <c r="AD49" s="274">
        <f t="shared" si="30"/>
        <v>2491.1493055555561</v>
      </c>
      <c r="AE49" s="274">
        <f t="shared" si="30"/>
        <v>2602.0833333333339</v>
      </c>
      <c r="AF49" s="274">
        <f t="shared" si="30"/>
        <v>2713.0173611111118</v>
      </c>
      <c r="AG49" s="274">
        <f t="shared" si="30"/>
        <v>2823.9513888888896</v>
      </c>
      <c r="AH49" s="274">
        <f t="shared" si="30"/>
        <v>2934.8854166666674</v>
      </c>
      <c r="AI49" s="274">
        <f t="shared" si="30"/>
        <v>3045.8194444444453</v>
      </c>
      <c r="AJ49" s="274">
        <f t="shared" si="30"/>
        <v>3156.7534722222231</v>
      </c>
      <c r="AK49" s="274">
        <f t="shared" si="30"/>
        <v>3267.6875000000009</v>
      </c>
      <c r="AL49" s="274">
        <f t="shared" si="30"/>
        <v>3378.6215277777787</v>
      </c>
      <c r="AM49" s="274">
        <f t="shared" si="30"/>
        <v>3489.5555555555566</v>
      </c>
      <c r="AN49" s="274">
        <f t="shared" si="11"/>
        <v>34553.020833333343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D10"/>
  <sheetViews>
    <sheetView view="pageBreakPreview" zoomScale="130" zoomScaleSheetLayoutView="130" workbookViewId="0">
      <selection activeCell="B5" sqref="B5"/>
    </sheetView>
  </sheetViews>
  <sheetFormatPr baseColWidth="10" defaultColWidth="9.140625" defaultRowHeight="12.75" x14ac:dyDescent="0.2"/>
  <cols>
    <col min="1" max="1" width="45.7109375" customWidth="1"/>
    <col min="2" max="4" width="15.7109375" customWidth="1"/>
  </cols>
  <sheetData>
    <row r="2" spans="1:4" ht="15" x14ac:dyDescent="0.2">
      <c r="A2" s="47" t="s">
        <v>9</v>
      </c>
      <c r="B2" s="2"/>
      <c r="C2" s="1"/>
      <c r="D2" s="1"/>
    </row>
    <row r="4" spans="1:4" x14ac:dyDescent="0.2">
      <c r="A4" s="29" t="s">
        <v>1</v>
      </c>
      <c r="B4" s="29">
        <v>2016</v>
      </c>
      <c r="C4" s="29" t="s">
        <v>147</v>
      </c>
      <c r="D4" s="29" t="s">
        <v>148</v>
      </c>
    </row>
    <row r="5" spans="1:4" x14ac:dyDescent="0.2">
      <c r="A5" s="45" t="s">
        <v>9</v>
      </c>
      <c r="B5" s="46">
        <f>+B6+B7+B8+B9</f>
        <v>5595</v>
      </c>
      <c r="C5" s="46">
        <f>+C6+C7+C8+C9</f>
        <v>14191</v>
      </c>
      <c r="D5" s="46">
        <f>+D6+D7+D8+D9</f>
        <v>59745</v>
      </c>
    </row>
    <row r="6" spans="1:4" x14ac:dyDescent="0.2">
      <c r="A6" s="63" t="s">
        <v>149</v>
      </c>
      <c r="B6" s="112">
        <v>1158</v>
      </c>
      <c r="C6" s="112">
        <v>2522</v>
      </c>
      <c r="D6" s="112">
        <v>7023</v>
      </c>
    </row>
    <row r="7" spans="1:4" x14ac:dyDescent="0.2">
      <c r="A7" s="63" t="s">
        <v>150</v>
      </c>
      <c r="B7" s="112">
        <v>937</v>
      </c>
      <c r="C7" s="112">
        <v>3894</v>
      </c>
      <c r="D7" s="112">
        <v>10845</v>
      </c>
    </row>
    <row r="8" spans="1:4" x14ac:dyDescent="0.2">
      <c r="A8" s="63" t="s">
        <v>151</v>
      </c>
      <c r="B8" s="112">
        <v>0</v>
      </c>
      <c r="C8" s="112">
        <v>3775</v>
      </c>
      <c r="D8" s="112">
        <v>36877</v>
      </c>
    </row>
    <row r="9" spans="1:4" x14ac:dyDescent="0.2">
      <c r="A9" s="66" t="s">
        <v>152</v>
      </c>
      <c r="B9" s="113">
        <v>3500</v>
      </c>
      <c r="C9" s="113">
        <v>4000</v>
      </c>
      <c r="D9" s="113">
        <v>5000</v>
      </c>
    </row>
    <row r="10" spans="1:4" x14ac:dyDescent="0.2">
      <c r="A10" s="27"/>
      <c r="B10" s="28"/>
      <c r="C10" s="28"/>
      <c r="D10" s="28"/>
    </row>
  </sheetData>
  <phoneticPr fontId="25" type="noConversion"/>
  <pageMargins left="0.78740157499999996" right="0.78740157499999996" top="0.984251969" bottom="0.984251969" header="0" footer="0"/>
  <pageSetup paperSize="9" scale="94" orientation="portrait" horizontalDpi="4294953554" verticalDpi="1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D64"/>
  <sheetViews>
    <sheetView view="pageBreakPreview" topLeftCell="A49" zoomScaleNormal="85" zoomScaleSheetLayoutView="100" zoomScalePageLayoutView="85" workbookViewId="0">
      <selection activeCell="B77" sqref="B77"/>
    </sheetView>
  </sheetViews>
  <sheetFormatPr baseColWidth="10" defaultColWidth="9.140625" defaultRowHeight="12.75" x14ac:dyDescent="0.2"/>
  <cols>
    <col min="1" max="1" width="45.7109375" customWidth="1"/>
    <col min="2" max="4" width="15.7109375" customWidth="1"/>
  </cols>
  <sheetData>
    <row r="2" spans="1:4" ht="23.25" x14ac:dyDescent="0.2">
      <c r="A2" s="195" t="s">
        <v>16</v>
      </c>
    </row>
    <row r="4" spans="1:4" ht="15" x14ac:dyDescent="0.2">
      <c r="A4" s="174" t="s">
        <v>192</v>
      </c>
      <c r="B4" s="174">
        <v>2016</v>
      </c>
      <c r="C4" s="174">
        <v>2017</v>
      </c>
      <c r="D4" s="174">
        <v>2018</v>
      </c>
    </row>
    <row r="5" spans="1:4" x14ac:dyDescent="0.2">
      <c r="A5" s="159" t="s">
        <v>191</v>
      </c>
      <c r="B5" s="293">
        <f>+'Cpte Résultat'!O15</f>
        <v>663814.33736159431</v>
      </c>
      <c r="C5" s="293">
        <f>+'Cpte Résultat'!AB15-'Cpte Résultat'!AB18</f>
        <v>2083081.2916640379</v>
      </c>
      <c r="D5" s="293">
        <f>+'Cpte Résultat'!AO15-'Cpte Résultat'!AO18</f>
        <v>5833842.8782051131</v>
      </c>
    </row>
    <row r="6" spans="1:4" x14ac:dyDescent="0.2">
      <c r="A6" s="162" t="s">
        <v>3</v>
      </c>
      <c r="B6" s="294">
        <f>+'Cpte Résultat'!O20</f>
        <v>621779.38405797107</v>
      </c>
      <c r="C6" s="294">
        <f>+'Cpte Résultat'!AB20</f>
        <v>1491217.2536540537</v>
      </c>
      <c r="D6" s="294">
        <f>+'Cpte Résultat'!AO20</f>
        <v>4181363.4226822238</v>
      </c>
    </row>
    <row r="7" spans="1:4" x14ac:dyDescent="0.2">
      <c r="A7" s="184" t="s">
        <v>4</v>
      </c>
      <c r="B7" s="299">
        <f>+B5-B6</f>
        <v>42034.953303623246</v>
      </c>
      <c r="C7" s="299">
        <f>+C5-C6</f>
        <v>591864.03800998419</v>
      </c>
      <c r="D7" s="300">
        <f>+D5-D6</f>
        <v>1652479.4555228893</v>
      </c>
    </row>
    <row r="8" spans="1:4" x14ac:dyDescent="0.2">
      <c r="A8" s="171"/>
      <c r="B8" s="322">
        <f>+B7/B5</f>
        <v>6.3323358562419663E-2</v>
      </c>
      <c r="C8" s="323">
        <f>+C7/C5</f>
        <v>0.28412911218514308</v>
      </c>
      <c r="D8" s="324">
        <f>+D7/D5</f>
        <v>0.28325744968148753</v>
      </c>
    </row>
    <row r="9" spans="1:4" x14ac:dyDescent="0.2">
      <c r="A9" s="175" t="s">
        <v>5</v>
      </c>
      <c r="B9" s="301">
        <f>+B10+B17</f>
        <v>177756.66666666666</v>
      </c>
      <c r="C9" s="301">
        <f t="shared" ref="C9:D9" si="0">+C10+C17</f>
        <v>432851.62583328073</v>
      </c>
      <c r="D9" s="301">
        <f t="shared" si="0"/>
        <v>547866.85756410228</v>
      </c>
    </row>
    <row r="10" spans="1:4" x14ac:dyDescent="0.2">
      <c r="A10" s="175" t="s">
        <v>6</v>
      </c>
      <c r="B10" s="302">
        <f>SUM(B11:B16)</f>
        <v>9580</v>
      </c>
      <c r="C10" s="296">
        <f>SUM(C11:C16)</f>
        <v>10280</v>
      </c>
      <c r="D10" s="297">
        <f>SUM(D11:D16)</f>
        <v>10780</v>
      </c>
    </row>
    <row r="11" spans="1:4" x14ac:dyDescent="0.2">
      <c r="A11" s="179" t="s">
        <v>17</v>
      </c>
      <c r="B11" s="180"/>
      <c r="C11" s="181"/>
      <c r="D11" s="182"/>
    </row>
    <row r="12" spans="1:4" x14ac:dyDescent="0.2">
      <c r="A12" s="179" t="s">
        <v>18</v>
      </c>
      <c r="B12" s="180"/>
      <c r="C12" s="181"/>
      <c r="D12" s="182"/>
    </row>
    <row r="13" spans="1:4" x14ac:dyDescent="0.2">
      <c r="A13" s="179" t="s">
        <v>19</v>
      </c>
      <c r="B13" s="295">
        <f>+'Cpte Résultat'!O47</f>
        <v>7200</v>
      </c>
      <c r="C13" s="295">
        <f>+'Cpte Résultat'!AB47</f>
        <v>7200</v>
      </c>
      <c r="D13" s="295">
        <f>+'Cpte Résultat'!AO47</f>
        <v>7200</v>
      </c>
    </row>
    <row r="14" spans="1:4" x14ac:dyDescent="0.2">
      <c r="A14" s="179" t="s">
        <v>20</v>
      </c>
      <c r="B14" s="295">
        <f>+'Cpte Résultat'!O48</f>
        <v>99.999999999999986</v>
      </c>
      <c r="C14" s="295">
        <f>+'Cpte Résultat'!AB48</f>
        <v>99.999999999999986</v>
      </c>
      <c r="D14" s="295">
        <f>+'Cpte Résultat'!AO48</f>
        <v>99.999999999999986</v>
      </c>
    </row>
    <row r="15" spans="1:4" x14ac:dyDescent="0.2">
      <c r="A15" s="179" t="s">
        <v>21</v>
      </c>
      <c r="B15" s="295">
        <f>+'Cpte Résultat'!O49</f>
        <v>480</v>
      </c>
      <c r="C15" s="295">
        <f>+'Cpte Résultat'!AB49</f>
        <v>480</v>
      </c>
      <c r="D15" s="295">
        <f>+'Cpte Résultat'!AO49</f>
        <v>480</v>
      </c>
    </row>
    <row r="16" spans="1:4" x14ac:dyDescent="0.2">
      <c r="A16" s="179" t="s">
        <v>22</v>
      </c>
      <c r="B16" s="295">
        <f>+'Cpte Résultat'!O50</f>
        <v>1800</v>
      </c>
      <c r="C16" s="295">
        <f>+'Cpte Résultat'!AB50</f>
        <v>2500</v>
      </c>
      <c r="D16" s="295">
        <f>+'Cpte Résultat'!AO50</f>
        <v>3000</v>
      </c>
    </row>
    <row r="17" spans="1:4" x14ac:dyDescent="0.2">
      <c r="A17" s="175" t="s">
        <v>7</v>
      </c>
      <c r="B17" s="302">
        <f>SUM(B18:B36)</f>
        <v>168176.66666666666</v>
      </c>
      <c r="C17" s="296">
        <f>SUM(C18:C36)</f>
        <v>422571.62583328073</v>
      </c>
      <c r="D17" s="297">
        <f>SUM(D18:D36)</f>
        <v>537086.85756410228</v>
      </c>
    </row>
    <row r="18" spans="1:4" x14ac:dyDescent="0.2">
      <c r="A18" s="178" t="s">
        <v>185</v>
      </c>
      <c r="B18" s="298">
        <f>+'Cpte Résultat'!O21</f>
        <v>16800</v>
      </c>
      <c r="C18" s="298">
        <f>+'Cpte Résultat'!AB21</f>
        <v>76661.625833280763</v>
      </c>
      <c r="D18" s="298">
        <f>+'Cpte Résultat'!AO21</f>
        <v>156676.85756410228</v>
      </c>
    </row>
    <row r="19" spans="1:4" x14ac:dyDescent="0.2">
      <c r="A19" s="179" t="s">
        <v>23</v>
      </c>
      <c r="B19" s="295">
        <f>+'Cpte Résultat'!O51+'Cpte Résultat'!O53</f>
        <v>1200</v>
      </c>
      <c r="C19" s="295">
        <f>+'Cpte Résultat'!AB51+'Cpte Résultat'!AB53</f>
        <v>14700</v>
      </c>
      <c r="D19" s="295">
        <f>+'Cpte Résultat'!AO51+'Cpte Résultat'!AO53</f>
        <v>31200</v>
      </c>
    </row>
    <row r="20" spans="1:4" x14ac:dyDescent="0.2">
      <c r="A20" s="179" t="s">
        <v>24</v>
      </c>
      <c r="B20" s="295">
        <f>+'Cpte Résultat'!O54</f>
        <v>2000.0000000000002</v>
      </c>
      <c r="C20" s="295">
        <f>+'Cpte Résultat'!AB54</f>
        <v>2000.0000000000002</v>
      </c>
      <c r="D20" s="295">
        <f>+'Cpte Résultat'!AO54</f>
        <v>2000.0000000000002</v>
      </c>
    </row>
    <row r="21" spans="1:4" x14ac:dyDescent="0.2">
      <c r="A21" s="179" t="s">
        <v>25</v>
      </c>
      <c r="B21" s="295">
        <f>+'Cpte Résultat'!O55</f>
        <v>3300</v>
      </c>
      <c r="C21" s="295">
        <f>+'Cpte Résultat'!AB55</f>
        <v>3300</v>
      </c>
      <c r="D21" s="295">
        <f>+'Cpte Résultat'!AO55</f>
        <v>3300</v>
      </c>
    </row>
    <row r="22" spans="1:4" x14ac:dyDescent="0.2">
      <c r="A22" s="179" t="s">
        <v>26</v>
      </c>
      <c r="B22" s="295">
        <f>+'Cpte Résultat'!O56</f>
        <v>9140</v>
      </c>
      <c r="C22" s="295">
        <f>+'Cpte Résultat'!AB56</f>
        <v>9140</v>
      </c>
      <c r="D22" s="295">
        <f>+'Cpte Résultat'!AO56</f>
        <v>9140</v>
      </c>
    </row>
    <row r="23" spans="1:4" x14ac:dyDescent="0.2">
      <c r="A23" s="179" t="s">
        <v>27</v>
      </c>
      <c r="B23" s="295">
        <f>+'Cpte Résultat'!O57</f>
        <v>1666.6666666666667</v>
      </c>
      <c r="C23" s="295">
        <f>+'Cpte Résultat'!AB57</f>
        <v>2000.0000000000002</v>
      </c>
      <c r="D23" s="295">
        <f>+'Cpte Résultat'!AO57</f>
        <v>2000.0000000000002</v>
      </c>
    </row>
    <row r="24" spans="1:4" x14ac:dyDescent="0.2">
      <c r="A24" s="179" t="s">
        <v>244</v>
      </c>
      <c r="B24" s="295">
        <f>+'Cpte Résultat'!O52</f>
        <v>16320</v>
      </c>
      <c r="C24" s="295">
        <f>+'Cpte Résultat'!AB52</f>
        <v>16320</v>
      </c>
      <c r="D24" s="295">
        <f>+'Cpte Résultat'!AO52</f>
        <v>16320</v>
      </c>
    </row>
    <row r="25" spans="1:4" x14ac:dyDescent="0.2">
      <c r="A25" s="179" t="s">
        <v>28</v>
      </c>
      <c r="B25" s="295">
        <f>+'Cpte Résultat'!O58</f>
        <v>3333.3333333333335</v>
      </c>
      <c r="C25" s="295">
        <f>+'Cpte Résultat'!AB58</f>
        <v>4000.0000000000005</v>
      </c>
      <c r="D25" s="295">
        <f>+'Cpte Résultat'!AO58</f>
        <v>4000.0000000000005</v>
      </c>
    </row>
    <row r="26" spans="1:4" x14ac:dyDescent="0.2">
      <c r="A26" s="179" t="s">
        <v>29</v>
      </c>
      <c r="B26" s="295">
        <f>+'Cpte Résultat'!O59</f>
        <v>0</v>
      </c>
      <c r="C26" s="295">
        <f>+'Cpte Résultat'!AB59</f>
        <v>4000.0000000000005</v>
      </c>
      <c r="D26" s="295">
        <f>+'Cpte Résultat'!AO59</f>
        <v>4000.0000000000005</v>
      </c>
    </row>
    <row r="27" spans="1:4" x14ac:dyDescent="0.2">
      <c r="A27" s="179" t="s">
        <v>30</v>
      </c>
      <c r="B27" s="295">
        <f>+'Cpte Résultat'!O60</f>
        <v>26700</v>
      </c>
      <c r="C27" s="295">
        <f>+'Cpte Résultat'!AB60</f>
        <v>12000</v>
      </c>
      <c r="D27" s="295">
        <f>+'Cpte Résultat'!AO60</f>
        <v>12000</v>
      </c>
    </row>
    <row r="28" spans="1:4" x14ac:dyDescent="0.2">
      <c r="A28" s="183" t="s">
        <v>31</v>
      </c>
      <c r="B28" s="295">
        <f>+'Cpte Résultat'!O62</f>
        <v>39000</v>
      </c>
      <c r="C28" s="295">
        <f>+'Cpte Résultat'!AB62</f>
        <v>39600</v>
      </c>
      <c r="D28" s="295">
        <f>+'Cpte Résultat'!AO62</f>
        <v>39600</v>
      </c>
    </row>
    <row r="29" spans="1:4" x14ac:dyDescent="0.2">
      <c r="A29" s="179" t="s">
        <v>32</v>
      </c>
      <c r="B29" s="295">
        <f>+'Cpte Résultat'!O24</f>
        <v>5000</v>
      </c>
      <c r="C29" s="295">
        <f>+'Cpte Résultat'!AB24</f>
        <v>24000</v>
      </c>
      <c r="D29" s="295">
        <f>+'Cpte Résultat'!AO24</f>
        <v>24000</v>
      </c>
    </row>
    <row r="30" spans="1:4" x14ac:dyDescent="0.2">
      <c r="A30" s="179" t="s">
        <v>33</v>
      </c>
      <c r="B30" s="295">
        <f>+'Cpte Résultat'!O25</f>
        <v>6720</v>
      </c>
      <c r="C30" s="295">
        <f>+'Cpte Résultat'!AB25</f>
        <v>6720</v>
      </c>
      <c r="D30" s="295">
        <f>+'Cpte Résultat'!AO25</f>
        <v>6720</v>
      </c>
    </row>
    <row r="31" spans="1:4" x14ac:dyDescent="0.2">
      <c r="A31" s="179" t="s">
        <v>34</v>
      </c>
      <c r="B31" s="295">
        <f>+'Cpte Résultat'!O26</f>
        <v>5000</v>
      </c>
      <c r="C31" s="295">
        <f>+'Cpte Résultat'!AB26</f>
        <v>24999.999999999996</v>
      </c>
      <c r="D31" s="295">
        <f>+'Cpte Résultat'!AO26</f>
        <v>35000.000000000007</v>
      </c>
    </row>
    <row r="32" spans="1:4" x14ac:dyDescent="0.2">
      <c r="A32" s="179" t="s">
        <v>35</v>
      </c>
      <c r="B32" s="295">
        <f>+'Cpte Résultat'!O27+'Cpte Résultat'!O28+'Cpte Résultat'!O29+'Cpte Résultat'!O30</f>
        <v>6100</v>
      </c>
      <c r="C32" s="295">
        <f>+'Cpte Résultat'!AB27+'Cpte Résultat'!AB28+'Cpte Résultat'!AB29+'Cpte Résultat'!AB30</f>
        <v>132400</v>
      </c>
      <c r="D32" s="295">
        <f>+'Cpte Résultat'!AO27+'Cpte Résultat'!AO28+'Cpte Résultat'!AO29+'Cpte Résultat'!AO30</f>
        <v>137400</v>
      </c>
    </row>
    <row r="33" spans="1:4" x14ac:dyDescent="0.2">
      <c r="A33" s="179" t="s">
        <v>36</v>
      </c>
      <c r="B33" s="295">
        <f>+'Cpte Résultat'!O63</f>
        <v>20000</v>
      </c>
      <c r="C33" s="295">
        <f>+'Cpte Résultat'!AB63</f>
        <v>40000</v>
      </c>
      <c r="D33" s="295">
        <f>+'Cpte Résultat'!AO63</f>
        <v>40000</v>
      </c>
    </row>
    <row r="34" spans="1:4" x14ac:dyDescent="0.2">
      <c r="A34" s="179" t="s">
        <v>37</v>
      </c>
      <c r="B34" s="295">
        <f>+'Cpte Résultat'!O64</f>
        <v>2500</v>
      </c>
      <c r="C34" s="295">
        <f>+'Cpte Résultat'!AB64</f>
        <v>6999.9999999999991</v>
      </c>
      <c r="D34" s="295">
        <f>+'Cpte Résultat'!AO64</f>
        <v>10000</v>
      </c>
    </row>
    <row r="35" spans="1:4" x14ac:dyDescent="0.2">
      <c r="A35" s="179" t="s">
        <v>38</v>
      </c>
      <c r="B35" s="295">
        <f>+'Cpte Résultat'!O65</f>
        <v>1730.0000000000002</v>
      </c>
      <c r="C35" s="295">
        <f>+'Cpte Résultat'!AB65</f>
        <v>1730.0000000000002</v>
      </c>
      <c r="D35" s="295">
        <f>+'Cpte Résultat'!AO65</f>
        <v>1730.0000000000002</v>
      </c>
    </row>
    <row r="36" spans="1:4" x14ac:dyDescent="0.2">
      <c r="A36" s="179" t="s">
        <v>39</v>
      </c>
      <c r="B36" s="295">
        <f>+'Cpte Résultat'!O66</f>
        <v>1666.6666666666667</v>
      </c>
      <c r="C36" s="295">
        <f>+'Cpte Résultat'!AB66</f>
        <v>2000.0000000000002</v>
      </c>
      <c r="D36" s="295">
        <f>+'Cpte Résultat'!AO66</f>
        <v>2000.0000000000002</v>
      </c>
    </row>
    <row r="37" spans="1:4" x14ac:dyDescent="0.2">
      <c r="A37" s="184" t="s">
        <v>8</v>
      </c>
      <c r="B37" s="299">
        <f>+B7-B9</f>
        <v>-135721.71336304341</v>
      </c>
      <c r="C37" s="299">
        <f>+C7-C9</f>
        <v>159012.41217670345</v>
      </c>
      <c r="D37" s="300">
        <f>+D7-D9</f>
        <v>1104612.5979587869</v>
      </c>
    </row>
    <row r="38" spans="1:4" x14ac:dyDescent="0.2">
      <c r="A38" s="177" t="s">
        <v>158</v>
      </c>
      <c r="B38" s="303">
        <f>+'financ global '!C10</f>
        <v>0</v>
      </c>
      <c r="C38" s="291">
        <f>+'financ global '!D10</f>
        <v>72791</v>
      </c>
      <c r="D38" s="292">
        <f>+'financ global '!E10</f>
        <v>33497</v>
      </c>
    </row>
    <row r="39" spans="1:4" x14ac:dyDescent="0.2">
      <c r="A39" s="177" t="s">
        <v>159</v>
      </c>
      <c r="B39" s="265">
        <f>+'Cpte Résultat'!O67</f>
        <v>5595</v>
      </c>
      <c r="C39" s="294">
        <f>+'Cpte Résultat'!AB67</f>
        <v>14191.000000000002</v>
      </c>
      <c r="D39" s="304">
        <f>+'Cpte Résultat'!AO67</f>
        <v>59745</v>
      </c>
    </row>
    <row r="40" spans="1:4" x14ac:dyDescent="0.2">
      <c r="A40" s="177" t="s">
        <v>160</v>
      </c>
      <c r="B40" s="265">
        <f>SUM(B41:B45)</f>
        <v>123779.45945945947</v>
      </c>
      <c r="C40" s="294">
        <f>SUM(C41:C45)</f>
        <v>130145.56194594593</v>
      </c>
      <c r="D40" s="294">
        <f>SUM(D41:D45)</f>
        <v>140294.15654054057</v>
      </c>
    </row>
    <row r="41" spans="1:4" x14ac:dyDescent="0.2">
      <c r="A41" s="177" t="s">
        <v>245</v>
      </c>
      <c r="B41" s="265">
        <f>+'Cpte Résultat'!O36</f>
        <v>50100</v>
      </c>
      <c r="C41" s="294">
        <f>+'Cpte Résultat'!AB36</f>
        <v>57600</v>
      </c>
      <c r="D41" s="305">
        <f>+'Cpte Résultat'!AO36</f>
        <v>63042</v>
      </c>
    </row>
    <row r="42" spans="1:4" x14ac:dyDescent="0.2">
      <c r="A42" s="177" t="s">
        <v>161</v>
      </c>
      <c r="B42" s="265">
        <f>+'Cpte Résultat'!O39+'Cpte Résultat'!O40+'Cpte Résultat'!O41+'Cpte Résultat'!O42+'Cpte Résultat'!O43</f>
        <v>42179.45945945946</v>
      </c>
      <c r="C42" s="294">
        <f>+'Cpte Résultat'!AB39+'Cpte Résultat'!AB43+'Cpte Résultat'!AB42</f>
        <v>34745.561945945934</v>
      </c>
      <c r="D42" s="305">
        <f>+'Cpte Résultat'!AO39+'Cpte Résultat'!AO40+'Cpte Résultat'!AO41+'Cpte Résultat'!AO42+'Cpte Résultat'!AO43</f>
        <v>39452.156540540556</v>
      </c>
    </row>
    <row r="43" spans="1:4" x14ac:dyDescent="0.2">
      <c r="A43" s="177" t="s">
        <v>162</v>
      </c>
      <c r="B43" s="265">
        <v>0</v>
      </c>
      <c r="C43" s="294">
        <v>0</v>
      </c>
      <c r="D43" s="304">
        <v>0</v>
      </c>
    </row>
    <row r="44" spans="1:4" x14ac:dyDescent="0.2">
      <c r="A44" s="177" t="s">
        <v>163</v>
      </c>
      <c r="B44" s="265">
        <v>0</v>
      </c>
      <c r="C44" s="294">
        <v>0</v>
      </c>
      <c r="D44" s="304">
        <v>0</v>
      </c>
    </row>
    <row r="45" spans="1:4" x14ac:dyDescent="0.2">
      <c r="A45" s="177" t="s">
        <v>190</v>
      </c>
      <c r="B45" s="266">
        <f>+'Cpte Résultat'!O61</f>
        <v>31500</v>
      </c>
      <c r="C45" s="306">
        <f>+'Cpte Résultat'!AB61</f>
        <v>37800</v>
      </c>
      <c r="D45" s="307">
        <f>+'Cpte Résultat'!AO61</f>
        <v>37800</v>
      </c>
    </row>
    <row r="46" spans="1:4" x14ac:dyDescent="0.2">
      <c r="A46" s="184" t="s">
        <v>11</v>
      </c>
      <c r="B46" s="299">
        <f>+B37+B38-B39-B40</f>
        <v>-265096.17282250291</v>
      </c>
      <c r="C46" s="299">
        <f>+C37+C38-C39-C40</f>
        <v>87466.850230757525</v>
      </c>
      <c r="D46" s="300">
        <f>+D37+D38-D39-D40</f>
        <v>938070.44141824637</v>
      </c>
    </row>
    <row r="47" spans="1:4" x14ac:dyDescent="0.2">
      <c r="A47" s="162" t="s">
        <v>164</v>
      </c>
      <c r="B47" s="308">
        <v>0</v>
      </c>
      <c r="C47" s="308">
        <v>0</v>
      </c>
      <c r="D47" s="308">
        <v>0</v>
      </c>
    </row>
    <row r="48" spans="1:4" x14ac:dyDescent="0.2">
      <c r="A48" s="162" t="s">
        <v>165</v>
      </c>
      <c r="B48" s="308">
        <v>0</v>
      </c>
      <c r="C48" s="308">
        <v>0</v>
      </c>
      <c r="D48" s="308">
        <v>0</v>
      </c>
    </row>
    <row r="49" spans="1:4" x14ac:dyDescent="0.2">
      <c r="A49" s="162" t="s">
        <v>166</v>
      </c>
      <c r="B49" s="308">
        <v>0</v>
      </c>
      <c r="C49" s="308">
        <v>0</v>
      </c>
      <c r="D49" s="308">
        <v>0</v>
      </c>
    </row>
    <row r="50" spans="1:4" x14ac:dyDescent="0.2">
      <c r="A50" s="162" t="s">
        <v>167</v>
      </c>
      <c r="B50" s="309">
        <f>+'Cpte Résultat'!O79</f>
        <v>5084.625</v>
      </c>
      <c r="C50" s="309">
        <f>+'Cpte Résultat'!AB79</f>
        <v>18578.520833333336</v>
      </c>
      <c r="D50" s="309">
        <f>+'Cpte Résultat'!AO79</f>
        <v>34553.020833333343</v>
      </c>
    </row>
    <row r="51" spans="1:4" x14ac:dyDescent="0.2">
      <c r="A51" s="162" t="s">
        <v>168</v>
      </c>
      <c r="B51" s="308">
        <v>0</v>
      </c>
      <c r="C51" s="308">
        <v>0</v>
      </c>
      <c r="D51" s="308">
        <v>0</v>
      </c>
    </row>
    <row r="52" spans="1:4" x14ac:dyDescent="0.2">
      <c r="A52" s="184" t="s">
        <v>12</v>
      </c>
      <c r="B52" s="310">
        <f>+B46-B50</f>
        <v>-270180.79782250291</v>
      </c>
      <c r="C52" s="299">
        <f>+C46-C50</f>
        <v>68888.329397424182</v>
      </c>
      <c r="D52" s="300">
        <f>+D46-D50</f>
        <v>903517.42058491299</v>
      </c>
    </row>
    <row r="53" spans="1:4" x14ac:dyDescent="0.2">
      <c r="A53" s="162" t="s">
        <v>169</v>
      </c>
      <c r="B53" s="308">
        <v>0</v>
      </c>
      <c r="C53" s="308">
        <v>0</v>
      </c>
      <c r="D53" s="308">
        <v>0</v>
      </c>
    </row>
    <row r="54" spans="1:4" x14ac:dyDescent="0.2">
      <c r="A54" s="162" t="s">
        <v>170</v>
      </c>
      <c r="B54" s="308"/>
      <c r="C54" s="308"/>
      <c r="D54" s="308"/>
    </row>
    <row r="55" spans="1:4" x14ac:dyDescent="0.2">
      <c r="A55" s="149" t="s">
        <v>171</v>
      </c>
      <c r="B55" s="311">
        <f>SUM(B53:B54)</f>
        <v>0</v>
      </c>
      <c r="C55" s="311">
        <f>SUM(C53:C54)</f>
        <v>0</v>
      </c>
      <c r="D55" s="311">
        <f>SUM(D53:D54)</f>
        <v>0</v>
      </c>
    </row>
    <row r="56" spans="1:4" x14ac:dyDescent="0.2">
      <c r="A56" s="184" t="s">
        <v>13</v>
      </c>
      <c r="B56" s="299">
        <f>+B52+B55</f>
        <v>-270180.79782250291</v>
      </c>
      <c r="C56" s="299">
        <f>+C52+C55</f>
        <v>68888.329397424182</v>
      </c>
      <c r="D56" s="300">
        <f>+D52+D55</f>
        <v>903517.42058491299</v>
      </c>
    </row>
    <row r="57" spans="1:4" x14ac:dyDescent="0.2">
      <c r="A57" s="162" t="s">
        <v>172</v>
      </c>
      <c r="B57" s="308"/>
      <c r="C57" s="308"/>
      <c r="D57" s="308"/>
    </row>
    <row r="58" spans="1:4" x14ac:dyDescent="0.2">
      <c r="A58" s="162" t="s">
        <v>173</v>
      </c>
      <c r="B58" s="308">
        <v>0</v>
      </c>
      <c r="C58" s="308">
        <v>0</v>
      </c>
      <c r="D58" s="308">
        <v>0</v>
      </c>
    </row>
    <row r="59" spans="1:4" x14ac:dyDescent="0.2">
      <c r="A59" s="149" t="s">
        <v>174</v>
      </c>
      <c r="B59" s="312"/>
      <c r="C59" s="312"/>
      <c r="D59" s="312"/>
    </row>
    <row r="60" spans="1:4" x14ac:dyDescent="0.2">
      <c r="A60" s="193" t="s">
        <v>175</v>
      </c>
      <c r="B60" s="313">
        <v>0</v>
      </c>
      <c r="C60" s="313">
        <v>0</v>
      </c>
      <c r="D60" s="313">
        <v>0</v>
      </c>
    </row>
    <row r="61" spans="1:4" x14ac:dyDescent="0.2">
      <c r="A61" s="162" t="s">
        <v>176</v>
      </c>
      <c r="B61" s="308">
        <v>0</v>
      </c>
      <c r="C61" s="308">
        <v>0</v>
      </c>
      <c r="D61" s="308">
        <v>0</v>
      </c>
    </row>
    <row r="62" spans="1:4" ht="15" x14ac:dyDescent="0.2">
      <c r="A62" s="187" t="s">
        <v>14</v>
      </c>
      <c r="B62" s="314">
        <f>+B56+B59+B60+B61</f>
        <v>-270180.79782250291</v>
      </c>
      <c r="C62" s="315">
        <f>+C56+C59+C60+C61</f>
        <v>68888.329397424182</v>
      </c>
      <c r="D62" s="316">
        <f>+D56+D59+D60+D61</f>
        <v>903517.42058491299</v>
      </c>
    </row>
    <row r="63" spans="1:4" s="73" customFormat="1" ht="5.0999999999999996" customHeight="1" x14ac:dyDescent="0.2">
      <c r="A63" s="186"/>
      <c r="B63" s="317"/>
      <c r="C63" s="317"/>
      <c r="D63" s="318"/>
    </row>
    <row r="64" spans="1:4" ht="15" x14ac:dyDescent="0.2">
      <c r="A64" s="185" t="s">
        <v>15</v>
      </c>
      <c r="B64" s="319">
        <f>+B62+B50</f>
        <v>-265096.17282250291</v>
      </c>
      <c r="C64" s="320">
        <f>+C62+C50</f>
        <v>87466.850230757525</v>
      </c>
      <c r="D64" s="321">
        <f>+D62+D50</f>
        <v>938070.44141824637</v>
      </c>
    </row>
  </sheetData>
  <phoneticPr fontId="25" type="noConversion"/>
  <pageMargins left="0.78740157499999996" right="0.78740157499999996" top="0.984251969" bottom="0.984251969" header="0" footer="0"/>
  <pageSetup paperSize="9" scale="94" fitToHeight="0" orientation="portrait" horizontalDpi="4294953554" verticalDpi="18" r:id="rId1"/>
  <headerFooter alignWithMargins="0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F26"/>
  <sheetViews>
    <sheetView view="pageBreakPreview" zoomScale="90" zoomScaleSheetLayoutView="90" workbookViewId="0">
      <selection activeCell="A34" sqref="A34"/>
    </sheetView>
  </sheetViews>
  <sheetFormatPr baseColWidth="10" defaultColWidth="9.140625" defaultRowHeight="12.75" x14ac:dyDescent="0.2"/>
  <cols>
    <col min="1" max="1" width="45.7109375" customWidth="1"/>
    <col min="2" max="2" width="15.28515625" customWidth="1"/>
    <col min="3" max="5" width="15.7109375" customWidth="1"/>
  </cols>
  <sheetData>
    <row r="2" spans="1:6" ht="18" x14ac:dyDescent="0.25">
      <c r="A2" s="109" t="s">
        <v>237</v>
      </c>
      <c r="B2" s="109"/>
      <c r="C2" s="7"/>
      <c r="D2" s="8"/>
      <c r="E2" s="8"/>
    </row>
    <row r="4" spans="1:6" ht="15" x14ac:dyDescent="0.2">
      <c r="A4" s="69" t="s">
        <v>1</v>
      </c>
      <c r="B4" s="62">
        <v>2015</v>
      </c>
      <c r="C4" s="62">
        <v>2016</v>
      </c>
      <c r="D4" s="62">
        <v>2017</v>
      </c>
      <c r="E4" s="62">
        <v>2018</v>
      </c>
    </row>
    <row r="5" spans="1:6" x14ac:dyDescent="0.2">
      <c r="A5" s="31" t="s">
        <v>128</v>
      </c>
      <c r="B5" s="262">
        <f>+B6+B10+B8-B9</f>
        <v>157900</v>
      </c>
      <c r="C5" s="32">
        <f>+C6+C10</f>
        <v>381150</v>
      </c>
      <c r="D5" s="33">
        <f>+D6+D10</f>
        <v>72791</v>
      </c>
      <c r="E5" s="34">
        <f>+E6+E10</f>
        <v>33497</v>
      </c>
      <c r="F5" s="34">
        <f>SUM(B5:E5)</f>
        <v>645338</v>
      </c>
    </row>
    <row r="6" spans="1:6" x14ac:dyDescent="0.2">
      <c r="A6" s="75" t="s">
        <v>40</v>
      </c>
      <c r="B6" s="263">
        <f>+B7</f>
        <v>117900</v>
      </c>
      <c r="C6" s="35">
        <f>+C7</f>
        <v>381150</v>
      </c>
      <c r="D6" s="36">
        <f>+D7</f>
        <v>0</v>
      </c>
      <c r="E6" s="37">
        <f>+E7</f>
        <v>0</v>
      </c>
    </row>
    <row r="7" spans="1:6" x14ac:dyDescent="0.2">
      <c r="A7" s="91" t="s">
        <v>129</v>
      </c>
      <c r="B7" s="261">
        <f>+ 85800+32100</f>
        <v>117900</v>
      </c>
      <c r="C7" s="92">
        <f>270000+'[2]FACTURES À PAYER'!$D$24</f>
        <v>381150</v>
      </c>
      <c r="D7" s="64">
        <v>0</v>
      </c>
      <c r="E7" s="65">
        <v>0</v>
      </c>
    </row>
    <row r="8" spans="1:6" x14ac:dyDescent="0.2">
      <c r="A8" s="75" t="s">
        <v>130</v>
      </c>
      <c r="B8" s="260" t="s">
        <v>233</v>
      </c>
      <c r="C8" s="35">
        <v>0</v>
      </c>
      <c r="D8" s="36">
        <v>0</v>
      </c>
      <c r="E8" s="37">
        <v>0</v>
      </c>
    </row>
    <row r="9" spans="1:6" x14ac:dyDescent="0.2">
      <c r="A9" s="75" t="s">
        <v>131</v>
      </c>
      <c r="B9" s="260" t="s">
        <v>236</v>
      </c>
      <c r="C9" s="35">
        <v>0</v>
      </c>
      <c r="D9" s="36">
        <v>0</v>
      </c>
      <c r="E9" s="37">
        <v>0</v>
      </c>
    </row>
    <row r="10" spans="1:6" x14ac:dyDescent="0.2">
      <c r="A10" s="75" t="s">
        <v>234</v>
      </c>
      <c r="B10" s="260" t="s">
        <v>232</v>
      </c>
      <c r="C10" s="35"/>
      <c r="D10" s="36">
        <v>72791</v>
      </c>
      <c r="E10" s="37">
        <v>33497</v>
      </c>
    </row>
    <row r="11" spans="1:6" x14ac:dyDescent="0.2">
      <c r="A11" s="91" t="s">
        <v>132</v>
      </c>
      <c r="B11" s="91"/>
      <c r="C11" s="92"/>
      <c r="D11" s="64">
        <v>0</v>
      </c>
      <c r="E11" s="65">
        <v>0</v>
      </c>
    </row>
    <row r="12" spans="1:6" x14ac:dyDescent="0.2">
      <c r="A12" s="41" t="s">
        <v>68</v>
      </c>
      <c r="B12" s="41"/>
      <c r="C12" s="42">
        <f>+C13</f>
        <v>187302</v>
      </c>
      <c r="D12" s="42">
        <f t="shared" ref="D12:E12" si="0">+D13</f>
        <v>22381</v>
      </c>
      <c r="E12" s="42">
        <f t="shared" si="0"/>
        <v>7460</v>
      </c>
      <c r="F12" s="42">
        <f>SUM(B12:E12)</f>
        <v>217143</v>
      </c>
    </row>
    <row r="13" spans="1:6" x14ac:dyDescent="0.2">
      <c r="A13" s="91" t="s">
        <v>133</v>
      </c>
      <c r="B13" s="91"/>
      <c r="C13" s="92">
        <f>+emprunts!B6+emprunts!B11</f>
        <v>187302</v>
      </c>
      <c r="D13" s="92">
        <f>+emprunts!C6+emprunts!C11</f>
        <v>22381</v>
      </c>
      <c r="E13" s="92">
        <f>+emprunts!D6+emprunts!D11</f>
        <v>7460</v>
      </c>
    </row>
    <row r="14" spans="1:6" x14ac:dyDescent="0.2">
      <c r="A14" s="41" t="s">
        <v>134</v>
      </c>
      <c r="B14" s="41"/>
      <c r="C14" s="42">
        <v>0</v>
      </c>
      <c r="D14" s="43">
        <v>0</v>
      </c>
      <c r="E14" s="44">
        <v>0</v>
      </c>
    </row>
    <row r="15" spans="1:6" x14ac:dyDescent="0.2">
      <c r="A15" s="75" t="s">
        <v>48</v>
      </c>
      <c r="B15" s="75"/>
      <c r="C15" s="35">
        <v>0</v>
      </c>
      <c r="D15" s="36">
        <v>0</v>
      </c>
      <c r="E15" s="37">
        <v>0</v>
      </c>
    </row>
    <row r="16" spans="1:6" x14ac:dyDescent="0.2">
      <c r="A16" s="75" t="s">
        <v>49</v>
      </c>
      <c r="B16" s="75"/>
      <c r="C16" s="35">
        <v>0</v>
      </c>
      <c r="D16" s="36">
        <v>0</v>
      </c>
      <c r="E16" s="37">
        <v>0</v>
      </c>
    </row>
    <row r="17" spans="1:6" x14ac:dyDescent="0.2">
      <c r="A17" s="75" t="s">
        <v>50</v>
      </c>
      <c r="B17" s="75"/>
      <c r="C17" s="35">
        <v>0</v>
      </c>
      <c r="D17" s="36">
        <v>0</v>
      </c>
      <c r="E17" s="37">
        <v>0</v>
      </c>
    </row>
    <row r="18" spans="1:6" x14ac:dyDescent="0.2">
      <c r="A18" s="75" t="s">
        <v>135</v>
      </c>
      <c r="B18" s="75"/>
      <c r="C18" s="35">
        <v>0</v>
      </c>
      <c r="D18" s="36">
        <v>0</v>
      </c>
      <c r="E18" s="37">
        <v>0</v>
      </c>
    </row>
    <row r="19" spans="1:6" x14ac:dyDescent="0.2">
      <c r="A19" s="94" t="s">
        <v>136</v>
      </c>
      <c r="B19" s="264">
        <f>+B5+B12</f>
        <v>157900</v>
      </c>
      <c r="C19" s="74">
        <f>+C5+C12</f>
        <v>568452</v>
      </c>
      <c r="D19" s="70">
        <f>+D5+D12</f>
        <v>95172</v>
      </c>
      <c r="E19" s="71">
        <f>+E5+E12</f>
        <v>40957</v>
      </c>
      <c r="F19" s="71">
        <f>SUM(B19:E19)</f>
        <v>862481</v>
      </c>
    </row>
    <row r="20" spans="1:6" s="73" customFormat="1" ht="5.0999999999999996" customHeight="1" x14ac:dyDescent="0.2">
      <c r="A20" s="102"/>
      <c r="B20" s="102"/>
      <c r="C20" s="76"/>
      <c r="D20" s="76"/>
      <c r="E20" s="77"/>
    </row>
    <row r="21" spans="1:6" x14ac:dyDescent="0.2">
      <c r="A21" s="50" t="s">
        <v>184</v>
      </c>
      <c r="B21" s="32">
        <f>+B22+B24+B23+B25</f>
        <v>40000</v>
      </c>
      <c r="C21" s="32"/>
      <c r="D21" s="33"/>
      <c r="E21" s="34"/>
    </row>
    <row r="22" spans="1:6" x14ac:dyDescent="0.2">
      <c r="A22" s="91" t="s">
        <v>137</v>
      </c>
      <c r="B22" s="91"/>
      <c r="C22" s="92">
        <v>0</v>
      </c>
      <c r="D22" s="64">
        <v>0</v>
      </c>
      <c r="E22" s="65">
        <v>0</v>
      </c>
    </row>
    <row r="23" spans="1:6" x14ac:dyDescent="0.2">
      <c r="A23" s="91" t="s">
        <v>138</v>
      </c>
      <c r="B23" s="91"/>
      <c r="C23" s="92"/>
      <c r="D23" s="64"/>
      <c r="E23" s="65"/>
    </row>
    <row r="24" spans="1:6" x14ac:dyDescent="0.2">
      <c r="A24" s="91" t="s">
        <v>238</v>
      </c>
      <c r="B24" s="92">
        <v>40000</v>
      </c>
      <c r="C24" s="92"/>
      <c r="D24" s="64"/>
      <c r="E24" s="65"/>
    </row>
    <row r="25" spans="1:6" x14ac:dyDescent="0.2">
      <c r="A25" s="107"/>
      <c r="B25" s="107"/>
      <c r="C25" s="108"/>
      <c r="D25" s="67"/>
      <c r="E25" s="68"/>
    </row>
    <row r="26" spans="1:6" s="73" customFormat="1" ht="5.0999999999999996" customHeight="1" x14ac:dyDescent="0.2">
      <c r="A26" s="103"/>
      <c r="B26" s="259"/>
      <c r="C26" s="105"/>
      <c r="D26" s="105"/>
      <c r="E26" s="106"/>
    </row>
  </sheetData>
  <phoneticPr fontId="25" type="noConversion"/>
  <pageMargins left="0.77" right="0.78740157499999996" top="0.984251969" bottom="0.984251969" header="0" footer="0"/>
  <pageSetup paperSize="9" scale="74" orientation="portrait" horizontalDpi="4294953554" verticalDpi="18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D42"/>
  <sheetViews>
    <sheetView view="pageBreakPreview" zoomScaleSheetLayoutView="145" workbookViewId="0">
      <selection activeCell="G19" sqref="G19"/>
    </sheetView>
  </sheetViews>
  <sheetFormatPr baseColWidth="10" defaultColWidth="9.140625" defaultRowHeight="12.75" x14ac:dyDescent="0.2"/>
  <cols>
    <col min="1" max="1" width="45.7109375" customWidth="1"/>
    <col min="2" max="4" width="15.7109375" customWidth="1"/>
  </cols>
  <sheetData>
    <row r="2" spans="1:4" ht="23.25" x14ac:dyDescent="0.2">
      <c r="A2" s="195" t="s">
        <v>231</v>
      </c>
      <c r="B2" s="3"/>
      <c r="C2" s="4"/>
      <c r="D2" s="4"/>
    </row>
    <row r="4" spans="1:4" ht="15" x14ac:dyDescent="0.2">
      <c r="A4" s="207" t="s">
        <v>192</v>
      </c>
      <c r="B4" s="206">
        <v>2016</v>
      </c>
      <c r="C4" s="206">
        <v>2017</v>
      </c>
      <c r="D4" s="206">
        <v>2018</v>
      </c>
    </row>
    <row r="5" spans="1:4" ht="15" x14ac:dyDescent="0.2">
      <c r="A5" s="208" t="s">
        <v>180</v>
      </c>
      <c r="B5" s="196"/>
      <c r="C5" s="197"/>
      <c r="D5" s="198"/>
    </row>
    <row r="6" spans="1:4" x14ac:dyDescent="0.2">
      <c r="A6" s="269" t="s">
        <v>235</v>
      </c>
      <c r="B6" s="270">
        <f>963.12+59915.18-12000</f>
        <v>48878.3</v>
      </c>
      <c r="C6" s="146"/>
      <c r="D6" s="147"/>
    </row>
    <row r="7" spans="1:4" x14ac:dyDescent="0.2">
      <c r="A7" s="210" t="s">
        <v>128</v>
      </c>
      <c r="B7" s="192"/>
      <c r="C7" s="146"/>
      <c r="D7" s="147"/>
    </row>
    <row r="8" spans="1:4" x14ac:dyDescent="0.2">
      <c r="A8" s="162" t="s">
        <v>40</v>
      </c>
      <c r="B8" s="265">
        <f>+'financ global '!C6</f>
        <v>381150</v>
      </c>
      <c r="C8" s="163">
        <f>+'financ global '!D6</f>
        <v>0</v>
      </c>
      <c r="D8" s="164">
        <f>+'financ global '!E6</f>
        <v>0</v>
      </c>
    </row>
    <row r="9" spans="1:4" x14ac:dyDescent="0.2">
      <c r="A9" s="162" t="s">
        <v>41</v>
      </c>
      <c r="B9" s="265">
        <f>+'financ global '!B8-'financ global '!B9</f>
        <v>12000</v>
      </c>
      <c r="C9" s="163">
        <v>0</v>
      </c>
      <c r="D9" s="164">
        <v>0</v>
      </c>
    </row>
    <row r="10" spans="1:4" x14ac:dyDescent="0.2">
      <c r="A10" s="162" t="s">
        <v>42</v>
      </c>
      <c r="B10" s="266">
        <v>0</v>
      </c>
      <c r="C10" s="165">
        <f>+'financ global '!D10</f>
        <v>72791</v>
      </c>
      <c r="D10" s="165">
        <f>+'financ global '!E10</f>
        <v>33497</v>
      </c>
    </row>
    <row r="11" spans="1:4" x14ac:dyDescent="0.2">
      <c r="A11" s="149"/>
      <c r="B11" s="267">
        <f>+B8+B10</f>
        <v>381150</v>
      </c>
      <c r="C11" s="160">
        <f>+C8+C10</f>
        <v>72791</v>
      </c>
      <c r="D11" s="161">
        <f>+D8+D10</f>
        <v>33497</v>
      </c>
    </row>
    <row r="12" spans="1:4" x14ac:dyDescent="0.2">
      <c r="A12" s="210" t="s">
        <v>178</v>
      </c>
      <c r="B12" s="265"/>
      <c r="C12" s="163"/>
      <c r="D12" s="164"/>
    </row>
    <row r="13" spans="1:4" x14ac:dyDescent="0.2">
      <c r="A13" s="145" t="s">
        <v>43</v>
      </c>
      <c r="B13" s="265">
        <f>+'financ global '!C12</f>
        <v>187302</v>
      </c>
      <c r="C13" s="191">
        <f>+'financ global '!D12</f>
        <v>22381</v>
      </c>
      <c r="D13" s="191">
        <f>+'financ global '!E12</f>
        <v>7460</v>
      </c>
    </row>
    <row r="14" spans="1:4" x14ac:dyDescent="0.2">
      <c r="A14" s="145"/>
      <c r="B14" s="265"/>
      <c r="C14" s="163"/>
      <c r="D14" s="164"/>
    </row>
    <row r="15" spans="1:4" x14ac:dyDescent="0.2">
      <c r="A15" s="210" t="s">
        <v>179</v>
      </c>
      <c r="B15" s="265"/>
      <c r="C15" s="163"/>
      <c r="D15" s="164"/>
    </row>
    <row r="16" spans="1:4" x14ac:dyDescent="0.2">
      <c r="A16" s="162" t="s">
        <v>44</v>
      </c>
      <c r="B16" s="265">
        <v>0</v>
      </c>
      <c r="C16" s="163">
        <v>0</v>
      </c>
      <c r="D16" s="164">
        <v>0</v>
      </c>
    </row>
    <row r="17" spans="1:4" x14ac:dyDescent="0.2">
      <c r="A17" s="162" t="s">
        <v>45</v>
      </c>
      <c r="B17" s="265">
        <v>0</v>
      </c>
      <c r="C17" s="163">
        <v>0</v>
      </c>
      <c r="D17" s="164">
        <v>0</v>
      </c>
    </row>
    <row r="18" spans="1:4" x14ac:dyDescent="0.2">
      <c r="A18" s="162" t="s">
        <v>46</v>
      </c>
      <c r="B18" s="266">
        <v>0</v>
      </c>
      <c r="C18" s="165">
        <v>0</v>
      </c>
      <c r="D18" s="166">
        <v>0</v>
      </c>
    </row>
    <row r="19" spans="1:4" x14ac:dyDescent="0.2">
      <c r="A19" s="149"/>
      <c r="B19" s="267">
        <v>0</v>
      </c>
      <c r="C19" s="160">
        <v>0</v>
      </c>
      <c r="D19" s="161">
        <v>0</v>
      </c>
    </row>
    <row r="20" spans="1:4" x14ac:dyDescent="0.2">
      <c r="A20" s="149"/>
      <c r="B20" s="265"/>
      <c r="C20" s="163"/>
      <c r="D20" s="164"/>
    </row>
    <row r="21" spans="1:4" x14ac:dyDescent="0.2">
      <c r="A21" s="149" t="s">
        <v>15</v>
      </c>
      <c r="B21" s="268">
        <f>+cex!B33</f>
        <v>-265096.17282250291</v>
      </c>
      <c r="C21" s="167">
        <f>+cex!C33</f>
        <v>87466.850230757525</v>
      </c>
      <c r="D21" s="168">
        <f>+cex!D33</f>
        <v>938070.44141824637</v>
      </c>
    </row>
    <row r="22" spans="1:4" ht="15" x14ac:dyDescent="0.2">
      <c r="A22" s="205" t="s">
        <v>47</v>
      </c>
      <c r="B22" s="188">
        <f>+B21+B11+B13+B6</f>
        <v>352234.12717749708</v>
      </c>
      <c r="C22" s="189">
        <f>+C21+C11+C13</f>
        <v>182638.85023075753</v>
      </c>
      <c r="D22" s="190">
        <f>+D21+D11+D13</f>
        <v>979027.44141824637</v>
      </c>
    </row>
    <row r="23" spans="1:4" ht="5.0999999999999996" customHeight="1" x14ac:dyDescent="0.2">
      <c r="A23" s="203"/>
      <c r="B23" s="172"/>
      <c r="C23" s="172"/>
      <c r="D23" s="173"/>
    </row>
    <row r="24" spans="1:4" ht="15" x14ac:dyDescent="0.2">
      <c r="A24" s="209" t="s">
        <v>181</v>
      </c>
      <c r="B24" s="196"/>
      <c r="C24" s="197"/>
      <c r="D24" s="198"/>
    </row>
    <row r="25" spans="1:4" x14ac:dyDescent="0.2">
      <c r="A25" s="204"/>
      <c r="B25" s="199"/>
      <c r="C25" s="200"/>
      <c r="D25" s="201"/>
    </row>
    <row r="26" spans="1:4" x14ac:dyDescent="0.2">
      <c r="A26" s="202" t="s">
        <v>182</v>
      </c>
      <c r="B26" s="199"/>
      <c r="C26" s="200"/>
      <c r="D26" s="201"/>
    </row>
    <row r="27" spans="1:4" x14ac:dyDescent="0.2">
      <c r="A27" s="162" t="s">
        <v>48</v>
      </c>
      <c r="B27" s="191">
        <f>+invest!B5</f>
        <v>79256.666666666672</v>
      </c>
      <c r="C27" s="163">
        <f>+invest!C5</f>
        <v>159745</v>
      </c>
      <c r="D27" s="164">
        <f>+invest!D5</f>
        <v>159745</v>
      </c>
    </row>
    <row r="28" spans="1:4" x14ac:dyDescent="0.2">
      <c r="A28" s="162" t="s">
        <v>49</v>
      </c>
      <c r="B28" s="191">
        <f>+invest!B10</f>
        <v>0</v>
      </c>
      <c r="C28" s="163">
        <f>+invest!C10</f>
        <v>0</v>
      </c>
      <c r="D28" s="164">
        <f>+invest!D10</f>
        <v>0</v>
      </c>
    </row>
    <row r="29" spans="1:4" x14ac:dyDescent="0.2">
      <c r="A29" s="162" t="s">
        <v>50</v>
      </c>
      <c r="B29" s="194">
        <v>0</v>
      </c>
      <c r="C29" s="165">
        <v>0</v>
      </c>
      <c r="D29" s="166">
        <v>0</v>
      </c>
    </row>
    <row r="30" spans="1:4" x14ac:dyDescent="0.2">
      <c r="A30" s="149"/>
      <c r="B30" s="150">
        <f>+B27+B28+B29</f>
        <v>79256.666666666672</v>
      </c>
      <c r="C30" s="150">
        <f>+C27+C28+C29</f>
        <v>159745</v>
      </c>
      <c r="D30" s="151">
        <f>+D27+D28+D29</f>
        <v>159745</v>
      </c>
    </row>
    <row r="31" spans="1:4" x14ac:dyDescent="0.2">
      <c r="A31" s="149" t="s">
        <v>51</v>
      </c>
      <c r="B31" s="163">
        <v>0</v>
      </c>
      <c r="C31" s="163">
        <v>0</v>
      </c>
      <c r="D31" s="164">
        <v>0</v>
      </c>
    </row>
    <row r="32" spans="1:4" x14ac:dyDescent="0.2">
      <c r="A32" s="149"/>
      <c r="B32" s="163"/>
      <c r="C32" s="163"/>
      <c r="D32" s="164"/>
    </row>
    <row r="33" spans="1:4" x14ac:dyDescent="0.2">
      <c r="A33" s="210" t="s">
        <v>183</v>
      </c>
      <c r="B33" s="163"/>
      <c r="C33" s="163"/>
      <c r="D33" s="164"/>
    </row>
    <row r="34" spans="1:4" x14ac:dyDescent="0.2">
      <c r="A34" s="162" t="s">
        <v>52</v>
      </c>
      <c r="B34" s="163">
        <v>0</v>
      </c>
      <c r="C34" s="163">
        <v>0</v>
      </c>
      <c r="D34" s="164">
        <v>0</v>
      </c>
    </row>
    <row r="35" spans="1:4" x14ac:dyDescent="0.2">
      <c r="A35" s="162" t="s">
        <v>53</v>
      </c>
      <c r="B35" s="163">
        <v>0</v>
      </c>
      <c r="C35" s="163">
        <v>0</v>
      </c>
      <c r="D35" s="164">
        <v>0</v>
      </c>
    </row>
    <row r="36" spans="1:4" x14ac:dyDescent="0.2">
      <c r="A36" s="162" t="s">
        <v>54</v>
      </c>
      <c r="B36" s="165">
        <v>0</v>
      </c>
      <c r="C36" s="165">
        <v>0</v>
      </c>
      <c r="D36" s="166">
        <v>0</v>
      </c>
    </row>
    <row r="37" spans="1:4" x14ac:dyDescent="0.2">
      <c r="A37" s="149"/>
      <c r="B37" s="150">
        <f>+B34+B35+B36</f>
        <v>0</v>
      </c>
      <c r="C37" s="150">
        <f>+C34+C35+C36</f>
        <v>0</v>
      </c>
      <c r="D37" s="150">
        <f>+D34+D35+D36</f>
        <v>0</v>
      </c>
    </row>
    <row r="38" spans="1:4" x14ac:dyDescent="0.2">
      <c r="A38" s="149"/>
      <c r="B38" s="150"/>
      <c r="C38" s="150"/>
      <c r="D38" s="150"/>
    </row>
    <row r="39" spans="1:4" x14ac:dyDescent="0.2">
      <c r="A39" s="149" t="s">
        <v>55</v>
      </c>
      <c r="B39" s="150">
        <v>0</v>
      </c>
      <c r="C39" s="150">
        <v>0</v>
      </c>
      <c r="D39" s="150">
        <v>0</v>
      </c>
    </row>
    <row r="40" spans="1:4" ht="15" x14ac:dyDescent="0.2">
      <c r="A40" s="205" t="s">
        <v>56</v>
      </c>
      <c r="B40" s="188">
        <f>+B30+B37+B39</f>
        <v>79256.666666666672</v>
      </c>
      <c r="C40" s="189">
        <f>+C30+C37+C39</f>
        <v>159745</v>
      </c>
      <c r="D40" s="190">
        <f>+D30+D37+D39</f>
        <v>159745</v>
      </c>
    </row>
    <row r="41" spans="1:4" s="73" customFormat="1" ht="5.0999999999999996" customHeight="1" x14ac:dyDescent="0.2">
      <c r="A41" s="78"/>
      <c r="B41" s="76"/>
      <c r="C41" s="76"/>
      <c r="D41" s="76"/>
    </row>
    <row r="42" spans="1:4" ht="15" x14ac:dyDescent="0.2">
      <c r="A42" s="211" t="s">
        <v>57</v>
      </c>
      <c r="B42" s="188">
        <f>+B22-B40</f>
        <v>272977.46051083039</v>
      </c>
      <c r="C42" s="189">
        <f>+C22-C40</f>
        <v>22893.850230757525</v>
      </c>
      <c r="D42" s="190">
        <f>+D22-D40</f>
        <v>819282.44141824637</v>
      </c>
    </row>
  </sheetData>
  <phoneticPr fontId="25" type="noConversion"/>
  <pageMargins left="0.78740157499999996" right="0.78740157499999996" top="0.984251969" bottom="0.984251969" header="0" footer="0"/>
  <pageSetup paperSize="9" scale="94" orientation="portrait" horizontalDpi="4294953554" verticalDpi="18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D22"/>
  <sheetViews>
    <sheetView view="pageBreakPreview" topLeftCell="A8" zoomScale="130" zoomScaleSheetLayoutView="130" workbookViewId="0">
      <selection activeCell="C26" sqref="C26"/>
    </sheetView>
  </sheetViews>
  <sheetFormatPr baseColWidth="10" defaultColWidth="9.140625" defaultRowHeight="12.75" x14ac:dyDescent="0.2"/>
  <cols>
    <col min="1" max="1" width="45.7109375" customWidth="1"/>
    <col min="2" max="4" width="15.7109375" customWidth="1"/>
  </cols>
  <sheetData>
    <row r="2" spans="1:4" ht="20.25" x14ac:dyDescent="0.3">
      <c r="A2" s="61" t="s">
        <v>109</v>
      </c>
      <c r="B2" s="5"/>
      <c r="C2" s="6"/>
    </row>
    <row r="4" spans="1:4" ht="15" x14ac:dyDescent="0.2">
      <c r="A4" s="69" t="s">
        <v>1</v>
      </c>
      <c r="B4" s="62">
        <v>2016</v>
      </c>
      <c r="C4" s="62">
        <v>2017</v>
      </c>
      <c r="D4" s="62">
        <v>2018</v>
      </c>
    </row>
    <row r="5" spans="1:4" x14ac:dyDescent="0.2">
      <c r="A5" s="31" t="s">
        <v>110</v>
      </c>
      <c r="B5" s="32">
        <f>SUM(B7:B9)</f>
        <v>79256.666666666672</v>
      </c>
      <c r="C5" s="33">
        <f>SUM(C7:C9)</f>
        <v>159745</v>
      </c>
      <c r="D5" s="34">
        <f>SUM(D7:D9)</f>
        <v>159745</v>
      </c>
    </row>
    <row r="6" spans="1:4" x14ac:dyDescent="0.2">
      <c r="A6" s="91" t="s">
        <v>111</v>
      </c>
      <c r="B6" s="92">
        <v>0</v>
      </c>
      <c r="C6" s="64">
        <v>0</v>
      </c>
      <c r="D6" s="65">
        <v>0</v>
      </c>
    </row>
    <row r="7" spans="1:4" x14ac:dyDescent="0.2">
      <c r="A7" s="91" t="s">
        <v>112</v>
      </c>
      <c r="B7" s="92">
        <v>0</v>
      </c>
      <c r="C7" s="64">
        <v>0</v>
      </c>
      <c r="D7" s="65">
        <v>0</v>
      </c>
    </row>
    <row r="8" spans="1:4" x14ac:dyDescent="0.2">
      <c r="A8" s="91" t="s">
        <v>113</v>
      </c>
      <c r="B8" s="92">
        <f>+'Invest et amort'!$N$8</f>
        <v>79256.666666666672</v>
      </c>
      <c r="C8" s="64">
        <f>+'Invest et amort'!$AA$8</f>
        <v>159745</v>
      </c>
      <c r="D8" s="65">
        <f>+'Invest et amort'!$AN$8</f>
        <v>159745</v>
      </c>
    </row>
    <row r="9" spans="1:4" x14ac:dyDescent="0.2">
      <c r="A9" s="91" t="s">
        <v>114</v>
      </c>
      <c r="B9" s="92"/>
      <c r="C9" s="64"/>
      <c r="D9" s="65"/>
    </row>
    <row r="10" spans="1:4" x14ac:dyDescent="0.2">
      <c r="A10" s="41" t="s">
        <v>115</v>
      </c>
      <c r="B10" s="42">
        <f>+B11+B13+B15</f>
        <v>0</v>
      </c>
      <c r="C10" s="43">
        <f>+C11+C13+C15</f>
        <v>0</v>
      </c>
      <c r="D10" s="44">
        <f>+D11+D13+D15</f>
        <v>0</v>
      </c>
    </row>
    <row r="11" spans="1:4" x14ac:dyDescent="0.2">
      <c r="A11" s="93" t="s">
        <v>116</v>
      </c>
      <c r="B11" s="92"/>
      <c r="C11" s="64"/>
      <c r="D11" s="65"/>
    </row>
    <row r="12" spans="1:4" x14ac:dyDescent="0.2">
      <c r="A12" s="91" t="s">
        <v>117</v>
      </c>
      <c r="B12" s="92">
        <v>0</v>
      </c>
      <c r="C12" s="64">
        <v>0</v>
      </c>
      <c r="D12" s="65">
        <v>0</v>
      </c>
    </row>
    <row r="13" spans="1:4" x14ac:dyDescent="0.2">
      <c r="A13" s="93" t="s">
        <v>118</v>
      </c>
      <c r="B13" s="92">
        <f>+B14</f>
        <v>0</v>
      </c>
      <c r="C13" s="64">
        <f>+C14</f>
        <v>0</v>
      </c>
      <c r="D13" s="65">
        <f>+D14</f>
        <v>0</v>
      </c>
    </row>
    <row r="14" spans="1:4" x14ac:dyDescent="0.2">
      <c r="A14" s="91" t="s">
        <v>119</v>
      </c>
      <c r="B14" s="92"/>
      <c r="C14" s="64"/>
      <c r="D14" s="65"/>
    </row>
    <row r="15" spans="1:4" x14ac:dyDescent="0.2">
      <c r="A15" s="93" t="s">
        <v>120</v>
      </c>
      <c r="B15" s="92">
        <f>+B16+B17</f>
        <v>0</v>
      </c>
      <c r="C15" s="64">
        <f>+C16+C17</f>
        <v>0</v>
      </c>
      <c r="D15" s="65">
        <f>+D16+D17</f>
        <v>0</v>
      </c>
    </row>
    <row r="16" spans="1:4" x14ac:dyDescent="0.2">
      <c r="A16" s="91" t="s">
        <v>121</v>
      </c>
      <c r="B16" s="92">
        <v>0</v>
      </c>
      <c r="C16" s="64">
        <v>0</v>
      </c>
      <c r="D16" s="65">
        <v>0</v>
      </c>
    </row>
    <row r="17" spans="1:4" x14ac:dyDescent="0.2">
      <c r="A17" s="91" t="s">
        <v>122</v>
      </c>
      <c r="B17" s="92"/>
      <c r="C17" s="64"/>
      <c r="D17" s="65"/>
    </row>
    <row r="18" spans="1:4" x14ac:dyDescent="0.2">
      <c r="A18" s="41" t="s">
        <v>123</v>
      </c>
      <c r="B18" s="99">
        <v>0</v>
      </c>
      <c r="C18" s="100">
        <v>0</v>
      </c>
      <c r="D18" s="101">
        <v>0</v>
      </c>
    </row>
    <row r="19" spans="1:4" x14ac:dyDescent="0.2">
      <c r="A19" s="94" t="s">
        <v>124</v>
      </c>
      <c r="B19" s="74">
        <f>+B5+B10</f>
        <v>79256.666666666672</v>
      </c>
      <c r="C19" s="70">
        <f>+C5+C10</f>
        <v>159745</v>
      </c>
      <c r="D19" s="71">
        <f>+D5+D10</f>
        <v>159745</v>
      </c>
    </row>
    <row r="20" spans="1:4" x14ac:dyDescent="0.2">
      <c r="A20" s="72" t="s">
        <v>125</v>
      </c>
      <c r="B20" s="36">
        <v>20000</v>
      </c>
      <c r="C20" s="36">
        <f>+B20+C19</f>
        <v>179745</v>
      </c>
      <c r="D20" s="37">
        <f>+C20+D19</f>
        <v>339490</v>
      </c>
    </row>
    <row r="21" spans="1:4" x14ac:dyDescent="0.2">
      <c r="A21" s="75" t="s">
        <v>126</v>
      </c>
      <c r="B21" s="35">
        <v>0</v>
      </c>
      <c r="C21" s="36">
        <v>0</v>
      </c>
      <c r="D21" s="37">
        <v>0</v>
      </c>
    </row>
    <row r="22" spans="1:4" x14ac:dyDescent="0.2">
      <c r="A22" s="95" t="s">
        <v>127</v>
      </c>
      <c r="B22" s="96">
        <f>+B20</f>
        <v>20000</v>
      </c>
      <c r="C22" s="97">
        <f>+C20</f>
        <v>179745</v>
      </c>
      <c r="D22" s="98">
        <f>+D20</f>
        <v>339490</v>
      </c>
    </row>
  </sheetData>
  <phoneticPr fontId="25" type="noConversion"/>
  <pageMargins left="0.7" right="0.7" top="0.75" bottom="0.75" header="0.3" footer="0.3"/>
  <pageSetup paperSize="9" scale="96" fitToHeight="0" orientation="portrait" horizontalDpi="4294953554" verticalDpi="18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BA109"/>
  <sheetViews>
    <sheetView topLeftCell="AB3" zoomScale="70" zoomScaleNormal="70" zoomScaleSheetLayoutView="70" zoomScalePageLayoutView="70" workbookViewId="0">
      <selection activeCell="AL14" sqref="AL14"/>
    </sheetView>
  </sheetViews>
  <sheetFormatPr baseColWidth="10" defaultColWidth="9.140625" defaultRowHeight="12.75" x14ac:dyDescent="0.2"/>
  <cols>
    <col min="1" max="1" width="33.42578125" customWidth="1"/>
    <col min="2" max="2" width="8" customWidth="1"/>
    <col min="3" max="14" width="12.7109375" customWidth="1"/>
    <col min="15" max="15" width="15.7109375" style="125" customWidth="1"/>
    <col min="16" max="16" width="30.7109375" customWidth="1"/>
    <col min="17" max="17" width="3.42578125" customWidth="1"/>
    <col min="18" max="29" width="12.7109375" customWidth="1"/>
    <col min="30" max="30" width="15.7109375" style="125" customWidth="1"/>
    <col min="31" max="31" width="30.7109375" customWidth="1"/>
    <col min="32" max="32" width="1.5703125" customWidth="1"/>
    <col min="33" max="44" width="12.7109375" customWidth="1"/>
    <col min="45" max="45" width="15.7109375" style="125" customWidth="1"/>
  </cols>
  <sheetData>
    <row r="3" spans="1:53" ht="24" customHeight="1" thickBot="1" x14ac:dyDescent="0.55000000000000004">
      <c r="A3" s="61" t="s">
        <v>187</v>
      </c>
      <c r="B3" s="9"/>
      <c r="C3" s="10"/>
      <c r="D3" s="10"/>
      <c r="E3" s="16"/>
      <c r="F3" s="15"/>
      <c r="G3" s="15"/>
      <c r="H3" s="15"/>
      <c r="I3" s="10"/>
      <c r="J3" s="10"/>
      <c r="K3" s="10"/>
      <c r="L3" s="10"/>
      <c r="M3" s="10"/>
      <c r="N3" s="10"/>
      <c r="O3" s="134"/>
      <c r="P3" s="61" t="s">
        <v>188</v>
      </c>
      <c r="U3" s="15"/>
      <c r="AE3" s="61" t="s">
        <v>189</v>
      </c>
      <c r="AF3" s="9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34"/>
    </row>
    <row r="4" spans="1:53" ht="0.75" hidden="1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5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3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35"/>
    </row>
    <row r="5" spans="1:53" ht="3" hidden="1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6"/>
      <c r="P5" s="12"/>
      <c r="Q5" s="12"/>
      <c r="R5" s="12"/>
      <c r="S5" s="12"/>
      <c r="T5" s="12"/>
      <c r="U5" s="12"/>
      <c r="V5" s="12"/>
      <c r="W5" s="12"/>
      <c r="X5" s="12"/>
      <c r="Y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36"/>
    </row>
    <row r="6" spans="1:53" ht="13.5" hidden="1" thickBo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6"/>
      <c r="P6" s="12"/>
      <c r="Q6" s="12"/>
      <c r="R6" s="12"/>
      <c r="S6" s="12"/>
      <c r="T6" s="12"/>
      <c r="U6" s="12"/>
      <c r="V6" s="12"/>
      <c r="W6" s="12"/>
      <c r="X6" s="12"/>
      <c r="Y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36"/>
    </row>
    <row r="7" spans="1:53" ht="18.75" customHeight="1" thickBot="1" x14ac:dyDescent="0.35">
      <c r="A7" s="54"/>
      <c r="B7" s="55"/>
      <c r="C7" s="119">
        <v>42370</v>
      </c>
      <c r="D7" s="119">
        <v>42401</v>
      </c>
      <c r="E7" s="119">
        <v>42430</v>
      </c>
      <c r="F7" s="119">
        <v>42461</v>
      </c>
      <c r="G7" s="119">
        <v>42491</v>
      </c>
      <c r="H7" s="119">
        <v>42522</v>
      </c>
      <c r="I7" s="119">
        <v>42552</v>
      </c>
      <c r="J7" s="119">
        <v>42583</v>
      </c>
      <c r="K7" s="119">
        <v>42614</v>
      </c>
      <c r="L7" s="119">
        <v>42644</v>
      </c>
      <c r="M7" s="119">
        <v>42675</v>
      </c>
      <c r="N7" s="119">
        <v>42705</v>
      </c>
      <c r="O7" s="120" t="s">
        <v>58</v>
      </c>
      <c r="P7" s="121"/>
      <c r="Q7" s="122"/>
      <c r="R7" s="119">
        <v>42736</v>
      </c>
      <c r="S7" s="119">
        <v>42767</v>
      </c>
      <c r="T7" s="119">
        <v>42795</v>
      </c>
      <c r="U7" s="119">
        <v>42826</v>
      </c>
      <c r="V7" s="119">
        <v>42856</v>
      </c>
      <c r="W7" s="119">
        <v>42887</v>
      </c>
      <c r="X7" s="119">
        <v>42917</v>
      </c>
      <c r="Y7" s="119">
        <v>42948</v>
      </c>
      <c r="Z7" s="119">
        <v>42979</v>
      </c>
      <c r="AA7" s="119">
        <v>43009</v>
      </c>
      <c r="AB7" s="119">
        <v>43040</v>
      </c>
      <c r="AC7" s="119">
        <v>43070</v>
      </c>
      <c r="AD7" s="120" t="s">
        <v>59</v>
      </c>
      <c r="AE7" s="123"/>
      <c r="AF7" s="124"/>
      <c r="AG7" s="119">
        <v>43101</v>
      </c>
      <c r="AH7" s="119">
        <v>43132</v>
      </c>
      <c r="AI7" s="119">
        <v>43160</v>
      </c>
      <c r="AJ7" s="119">
        <v>43191</v>
      </c>
      <c r="AK7" s="119">
        <v>43221</v>
      </c>
      <c r="AL7" s="119">
        <v>43252</v>
      </c>
      <c r="AM7" s="119">
        <v>43282</v>
      </c>
      <c r="AN7" s="119">
        <v>43313</v>
      </c>
      <c r="AO7" s="119">
        <v>43344</v>
      </c>
      <c r="AP7" s="119">
        <v>43374</v>
      </c>
      <c r="AQ7" s="119">
        <v>43405</v>
      </c>
      <c r="AR7" s="119">
        <v>43435</v>
      </c>
      <c r="AS7" s="120" t="s">
        <v>60</v>
      </c>
      <c r="AT7" s="125"/>
      <c r="AU7" s="125"/>
      <c r="AV7" s="125"/>
      <c r="AW7" s="125"/>
      <c r="AX7" s="125"/>
      <c r="AY7" s="125"/>
      <c r="AZ7" s="125"/>
      <c r="BA7" s="125"/>
    </row>
    <row r="8" spans="1:53" ht="17.25" customHeight="1" thickBo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4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37"/>
    </row>
    <row r="9" spans="1:53" ht="15.75" thickBot="1" x14ac:dyDescent="0.3">
      <c r="A9" s="114" t="s">
        <v>61</v>
      </c>
      <c r="B9" s="79"/>
      <c r="C9" s="80">
        <f>SUM(C10:C16)</f>
        <v>0</v>
      </c>
      <c r="D9" s="80">
        <v>13000</v>
      </c>
      <c r="E9" s="80">
        <f t="shared" ref="E9:N9" si="0">SUM(E10:E16)</f>
        <v>111150</v>
      </c>
      <c r="F9" s="80">
        <f t="shared" si="0"/>
        <v>0</v>
      </c>
      <c r="G9" s="80">
        <f t="shared" si="0"/>
        <v>50000</v>
      </c>
      <c r="H9" s="80">
        <f t="shared" si="0"/>
        <v>276832.06557304354</v>
      </c>
      <c r="I9" s="80">
        <f t="shared" si="0"/>
        <v>0</v>
      </c>
      <c r="J9" s="80">
        <f t="shared" si="0"/>
        <v>61043.082608695659</v>
      </c>
      <c r="K9" s="80">
        <f t="shared" si="0"/>
        <v>150000</v>
      </c>
      <c r="L9" s="80">
        <f t="shared" si="0"/>
        <v>0</v>
      </c>
      <c r="M9" s="80">
        <f t="shared" si="0"/>
        <v>419190.22100000014</v>
      </c>
      <c r="N9" s="80">
        <f t="shared" si="0"/>
        <v>126813.83565217393</v>
      </c>
      <c r="O9" s="132">
        <f>SUM(C9:N9)</f>
        <v>1208029.2048339134</v>
      </c>
      <c r="P9" s="117" t="s">
        <v>61</v>
      </c>
      <c r="Q9" s="85"/>
      <c r="R9" s="83">
        <f t="shared" ref="R9:AC9" si="1">SUM(R10:R16)</f>
        <v>0</v>
      </c>
      <c r="S9" s="83">
        <f t="shared" si="1"/>
        <v>205862.94626046717</v>
      </c>
      <c r="T9" s="83">
        <f t="shared" si="1"/>
        <v>7371.4641322314046</v>
      </c>
      <c r="U9" s="83">
        <f t="shared" si="1"/>
        <v>479090.13279266981</v>
      </c>
      <c r="V9" s="83">
        <f t="shared" si="1"/>
        <v>557011.51660453482</v>
      </c>
      <c r="W9" s="83">
        <f t="shared" si="1"/>
        <v>404528.13160330581</v>
      </c>
      <c r="X9" s="83">
        <f t="shared" si="1"/>
        <v>141994.35758677687</v>
      </c>
      <c r="Y9" s="83">
        <f t="shared" si="1"/>
        <v>201179.16245454547</v>
      </c>
      <c r="Z9" s="83">
        <f t="shared" si="1"/>
        <v>236074.99277454548</v>
      </c>
      <c r="AA9" s="83">
        <f t="shared" si="1"/>
        <v>194831.99021752065</v>
      </c>
      <c r="AB9" s="83">
        <f t="shared" si="1"/>
        <v>144543.85557024798</v>
      </c>
      <c r="AC9" s="83">
        <f t="shared" si="1"/>
        <v>22381</v>
      </c>
      <c r="AD9" s="132">
        <f t="shared" ref="AD9:AD54" si="2">SUM(R9:AC9)</f>
        <v>2594869.5499968459</v>
      </c>
      <c r="AE9" s="117" t="s">
        <v>61</v>
      </c>
      <c r="AF9" s="85"/>
      <c r="AG9" s="86">
        <f t="shared" ref="AG9:AR9" si="3">SUM(AG10:AG16)</f>
        <v>0</v>
      </c>
      <c r="AH9" s="86">
        <f t="shared" si="3"/>
        <v>662127.59003123594</v>
      </c>
      <c r="AI9" s="86">
        <f t="shared" si="3"/>
        <v>367381.91279031977</v>
      </c>
      <c r="AJ9" s="86">
        <f t="shared" si="3"/>
        <v>531411.28151999996</v>
      </c>
      <c r="AK9" s="86">
        <f t="shared" si="3"/>
        <v>1052761.6542391009</v>
      </c>
      <c r="AL9" s="86">
        <f t="shared" si="3"/>
        <v>769136.18881057901</v>
      </c>
      <c r="AM9" s="86">
        <f t="shared" si="3"/>
        <v>662408.12187325838</v>
      </c>
      <c r="AN9" s="86">
        <f t="shared" si="3"/>
        <v>765866.98993707867</v>
      </c>
      <c r="AO9" s="86">
        <f t="shared" si="3"/>
        <v>882130.29752179759</v>
      </c>
      <c r="AP9" s="86">
        <f t="shared" si="3"/>
        <v>617456.90657562646</v>
      </c>
      <c r="AQ9" s="86">
        <f t="shared" si="3"/>
        <v>394444.47711446846</v>
      </c>
      <c r="AR9" s="87">
        <f t="shared" si="3"/>
        <v>239339.19639267068</v>
      </c>
      <c r="AS9" s="138">
        <f t="shared" ref="AS9:AS53" si="4">SUM(AG9:AR9)</f>
        <v>6944464.6168061355</v>
      </c>
    </row>
    <row r="10" spans="1:53" ht="15.75" thickBot="1" x14ac:dyDescent="0.3">
      <c r="A10" s="18" t="s">
        <v>62</v>
      </c>
      <c r="B10" s="19"/>
      <c r="C10" s="20">
        <v>0</v>
      </c>
      <c r="D10" s="20">
        <f>+'Cpte Résultat'!C16</f>
        <v>0</v>
      </c>
      <c r="E10" s="20">
        <f>+'Cpte Résultat'!D16</f>
        <v>0</v>
      </c>
      <c r="F10" s="20">
        <f>+'Cpte Résultat'!E16</f>
        <v>0</v>
      </c>
      <c r="G10" s="20">
        <f>+'Cpte Résultat'!F16</f>
        <v>0</v>
      </c>
      <c r="H10" s="20">
        <f>+'Cpte Résultat'!G16</f>
        <v>189026.72131086959</v>
      </c>
      <c r="I10" s="20">
        <f>+'Cpte Résultat'!H16</f>
        <v>0</v>
      </c>
      <c r="J10" s="20">
        <f>+'Cpte Résultat'!I16</f>
        <v>50869.235507246383</v>
      </c>
      <c r="K10" s="20">
        <f>+'Cpte Résultat'!J16</f>
        <v>0</v>
      </c>
      <c r="L10" s="20">
        <f>+'Cpte Résultat'!K16</f>
        <v>0</v>
      </c>
      <c r="M10" s="20">
        <f>+'Cpte Résultat'!L16</f>
        <v>318240.18416666676</v>
      </c>
      <c r="N10" s="20">
        <f>+'Cpte Résultat'!M16</f>
        <v>105678.19637681161</v>
      </c>
      <c r="O10" s="133">
        <f t="shared" ref="O10:O16" si="5">SUM(C10:N10)</f>
        <v>663814.33736159431</v>
      </c>
      <c r="P10" s="14" t="s">
        <v>62</v>
      </c>
      <c r="Q10" s="21"/>
      <c r="R10" s="22">
        <f>+'Cpte Résultat'!N16</f>
        <v>0</v>
      </c>
      <c r="S10" s="22">
        <f>+'Cpte Résultat'!P16</f>
        <v>171552.45521705598</v>
      </c>
      <c r="T10" s="22">
        <f>+'Cpte Résultat'!Q16</f>
        <v>6142.8867768595037</v>
      </c>
      <c r="U10" s="22">
        <f>+'Cpte Résultat'!R16</f>
        <v>399241.77732722485</v>
      </c>
      <c r="V10" s="22">
        <f>+'Cpte Résultat'!S16</f>
        <v>464176.26383711229</v>
      </c>
      <c r="W10" s="22">
        <f>+'Cpte Résultat'!T16</f>
        <v>276447.60966942151</v>
      </c>
      <c r="X10" s="22">
        <f>+'Cpte Résultat'!U16</f>
        <v>118328.63132231406</v>
      </c>
      <c r="Y10" s="22">
        <f>+'Cpte Résultat'!V16</f>
        <v>167649.30204545456</v>
      </c>
      <c r="Z10" s="22">
        <f>+'Cpte Résultat'!W16</f>
        <v>196729.16064545457</v>
      </c>
      <c r="AA10" s="22">
        <f>+'Cpte Résultat'!X16</f>
        <v>162359.99184793388</v>
      </c>
      <c r="AB10" s="22">
        <f>+'Cpte Résultat'!Y16</f>
        <v>120453.21297520664</v>
      </c>
      <c r="AC10" s="22">
        <f>+'Cpte Résultat'!Z16</f>
        <v>0</v>
      </c>
      <c r="AD10" s="133">
        <f t="shared" si="2"/>
        <v>2083081.2916640379</v>
      </c>
      <c r="AE10" s="14" t="s">
        <v>62</v>
      </c>
      <c r="AF10" s="21"/>
      <c r="AG10" s="22">
        <f>-'Cpte Résultat'!AA16</f>
        <v>0</v>
      </c>
      <c r="AH10" s="22">
        <f>+'Cpte Résultat'!AC16</f>
        <v>551772.99169269658</v>
      </c>
      <c r="AI10" s="22">
        <f>+'Cpte Résultat'!AD16</f>
        <v>306151.59399193316</v>
      </c>
      <c r="AJ10" s="22">
        <f>+'Cpte Résultat'!AE16</f>
        <v>442842.73459999991</v>
      </c>
      <c r="AK10" s="22">
        <f>+'Cpte Résultat'!AF16</f>
        <v>877301.37853258406</v>
      </c>
      <c r="AL10" s="22">
        <f>+'Cpte Résultat'!AG16</f>
        <v>613032.65734214918</v>
      </c>
      <c r="AM10" s="22">
        <f>+'Cpte Résultat'!AH16</f>
        <v>552006.76822771528</v>
      </c>
      <c r="AN10" s="22">
        <f>+'Cpte Résultat'!AI16</f>
        <v>638222.49161423219</v>
      </c>
      <c r="AO10" s="22">
        <f>+'Cpte Résultat'!AJ16</f>
        <v>735108.58126816468</v>
      </c>
      <c r="AP10" s="22">
        <f>+'Cpte Résultat'!AK16</f>
        <v>514547.42214635538</v>
      </c>
      <c r="AQ10" s="22">
        <f>+'Cpte Résultat'!AL16</f>
        <v>328703.7309287237</v>
      </c>
      <c r="AR10" s="22">
        <f>+'Cpte Résultat'!AM16</f>
        <v>193232.6636605589</v>
      </c>
      <c r="AS10" s="139">
        <f t="shared" si="4"/>
        <v>5752923.0140051134</v>
      </c>
    </row>
    <row r="11" spans="1:53" ht="15" x14ac:dyDescent="0.25">
      <c r="A11" s="14" t="s">
        <v>63</v>
      </c>
      <c r="B11" s="21"/>
      <c r="C11" s="22">
        <v>0</v>
      </c>
      <c r="D11" s="20">
        <f>+'Cpte Résultat'!C17</f>
        <v>0</v>
      </c>
      <c r="E11" s="20">
        <f>+'Cpte Résultat'!D17</f>
        <v>0</v>
      </c>
      <c r="F11" s="20">
        <f>+'Cpte Résultat'!E17</f>
        <v>0</v>
      </c>
      <c r="G11" s="20">
        <f>+'Cpte Résultat'!F17</f>
        <v>0</v>
      </c>
      <c r="H11" s="20">
        <f>+'Cpte Résultat'!G17</f>
        <v>0</v>
      </c>
      <c r="I11" s="20">
        <f>+'Cpte Résultat'!H17</f>
        <v>0</v>
      </c>
      <c r="J11" s="20">
        <f>+'Cpte Résultat'!I17</f>
        <v>0</v>
      </c>
      <c r="K11" s="20">
        <f>+'Cpte Résultat'!J17</f>
        <v>0</v>
      </c>
      <c r="L11" s="20">
        <f>+'Cpte Résultat'!K17</f>
        <v>0</v>
      </c>
      <c r="M11" s="20">
        <f>+'Cpte Résultat'!L17</f>
        <v>0</v>
      </c>
      <c r="N11" s="20">
        <f>+'Cpte Résultat'!M17</f>
        <v>0</v>
      </c>
      <c r="O11" s="133">
        <f t="shared" si="5"/>
        <v>0</v>
      </c>
      <c r="P11" s="14" t="s">
        <v>63</v>
      </c>
      <c r="Q11" s="21"/>
      <c r="R11" s="22">
        <f>+'Cpte Résultat'!N17</f>
        <v>0</v>
      </c>
      <c r="S11" s="22">
        <f>+'Cpte Résultat'!P17</f>
        <v>0</v>
      </c>
      <c r="T11" s="22">
        <f>+'Cpte Résultat'!Q17</f>
        <v>0</v>
      </c>
      <c r="U11" s="22">
        <f>+'Cpte Résultat'!R17</f>
        <v>0</v>
      </c>
      <c r="V11" s="22">
        <f>+'Cpte Résultat'!S17</f>
        <v>0</v>
      </c>
      <c r="W11" s="22">
        <f>+'Cpte Résultat'!T17</f>
        <v>0</v>
      </c>
      <c r="X11" s="22">
        <f>+'Cpte Résultat'!U17</f>
        <v>0</v>
      </c>
      <c r="Y11" s="22">
        <f>+'Cpte Résultat'!V17</f>
        <v>0</v>
      </c>
      <c r="Z11" s="22">
        <f>+'Cpte Résultat'!W17</f>
        <v>0</v>
      </c>
      <c r="AA11" s="22">
        <f>+'Cpte Résultat'!X17</f>
        <v>0</v>
      </c>
      <c r="AB11" s="22">
        <f>+'Cpte Résultat'!Y17</f>
        <v>0</v>
      </c>
      <c r="AC11" s="22">
        <f>+'Cpte Résultat'!Z17</f>
        <v>0</v>
      </c>
      <c r="AD11" s="133">
        <f t="shared" si="2"/>
        <v>0</v>
      </c>
      <c r="AE11" s="14" t="s">
        <v>63</v>
      </c>
      <c r="AF11" s="21"/>
      <c r="AG11" s="22">
        <f>-'Cpte Résultat'!AA17</f>
        <v>0</v>
      </c>
      <c r="AH11" s="22">
        <f>+'Cpte Résultat'!AC17</f>
        <v>0</v>
      </c>
      <c r="AI11" s="22">
        <f>+'Cpte Résultat'!AD17</f>
        <v>0</v>
      </c>
      <c r="AJ11" s="22">
        <f>+'Cpte Résultat'!AE17</f>
        <v>0</v>
      </c>
      <c r="AK11" s="22">
        <f>+'Cpte Résultat'!AF17</f>
        <v>0</v>
      </c>
      <c r="AL11" s="22">
        <f>+'Cpte Résultat'!AG17</f>
        <v>0</v>
      </c>
      <c r="AM11" s="22">
        <f>+'Cpte Résultat'!AH17</f>
        <v>0</v>
      </c>
      <c r="AN11" s="22">
        <f>+'Cpte Résultat'!AI17</f>
        <v>0</v>
      </c>
      <c r="AO11" s="22">
        <f>+'Cpte Résultat'!AJ17</f>
        <v>0</v>
      </c>
      <c r="AP11" s="22">
        <f>+'Cpte Résultat'!AK17</f>
        <v>0</v>
      </c>
      <c r="AQ11" s="22">
        <f>+'Cpte Résultat'!AL17</f>
        <v>0</v>
      </c>
      <c r="AR11" s="22">
        <f>+'Cpte Résultat'!AM17</f>
        <v>0</v>
      </c>
      <c r="AS11" s="139">
        <f t="shared" si="4"/>
        <v>0</v>
      </c>
    </row>
    <row r="12" spans="1:53" ht="15" x14ac:dyDescent="0.25">
      <c r="A12" s="23" t="s">
        <v>64</v>
      </c>
      <c r="B12" s="21"/>
      <c r="C12" s="22">
        <f>+(C10+C11)*20%</f>
        <v>0</v>
      </c>
      <c r="D12" s="22">
        <f t="shared" ref="D12:N12" si="6">+(D10+D11)*20%</f>
        <v>0</v>
      </c>
      <c r="E12" s="22">
        <f t="shared" si="6"/>
        <v>0</v>
      </c>
      <c r="F12" s="22">
        <f t="shared" si="6"/>
        <v>0</v>
      </c>
      <c r="G12" s="22">
        <f t="shared" si="6"/>
        <v>0</v>
      </c>
      <c r="H12" s="22">
        <f t="shared" si="6"/>
        <v>37805.344262173916</v>
      </c>
      <c r="I12" s="22">
        <f t="shared" si="6"/>
        <v>0</v>
      </c>
      <c r="J12" s="22">
        <f t="shared" si="6"/>
        <v>10173.847101449277</v>
      </c>
      <c r="K12" s="22">
        <f t="shared" si="6"/>
        <v>0</v>
      </c>
      <c r="L12" s="22">
        <f t="shared" si="6"/>
        <v>0</v>
      </c>
      <c r="M12" s="22">
        <f t="shared" si="6"/>
        <v>63648.036833333354</v>
      </c>
      <c r="N12" s="22">
        <f t="shared" si="6"/>
        <v>21135.639275362322</v>
      </c>
      <c r="O12" s="133">
        <f t="shared" si="5"/>
        <v>132762.86747231887</v>
      </c>
      <c r="P12" s="23" t="s">
        <v>64</v>
      </c>
      <c r="Q12" s="21"/>
      <c r="R12" s="22">
        <f t="shared" ref="R12" si="7">+(R10+R11)*20%</f>
        <v>0</v>
      </c>
      <c r="S12" s="22">
        <f t="shared" ref="S12" si="8">+(S10+S11)*20%</f>
        <v>34310.491043411195</v>
      </c>
      <c r="T12" s="22">
        <f t="shared" ref="T12" si="9">+(T10+T11)*20%</f>
        <v>1228.5773553719009</v>
      </c>
      <c r="U12" s="22">
        <f t="shared" ref="U12" si="10">+(U10+U11)*20%</f>
        <v>79848.355465444969</v>
      </c>
      <c r="V12" s="22">
        <f t="shared" ref="V12" si="11">+(V10+V11)*20%</f>
        <v>92835.252767422469</v>
      </c>
      <c r="W12" s="22">
        <f t="shared" ref="W12" si="12">+(W10+W11)*20%</f>
        <v>55289.521933884302</v>
      </c>
      <c r="X12" s="22">
        <f t="shared" ref="X12" si="13">+(X10+X11)*20%</f>
        <v>23665.726264462814</v>
      </c>
      <c r="Y12" s="22">
        <f t="shared" ref="Y12" si="14">+(Y10+Y11)*20%</f>
        <v>33529.860409090914</v>
      </c>
      <c r="Z12" s="22">
        <f t="shared" ref="Z12" si="15">+(Z10+Z11)*20%</f>
        <v>39345.832129090915</v>
      </c>
      <c r="AA12" s="22">
        <f t="shared" ref="AA12" si="16">+(AA10+AA11)*20%</f>
        <v>32471.998369586778</v>
      </c>
      <c r="AB12" s="22">
        <f t="shared" ref="AB12" si="17">+(AB10+AB11)*20%</f>
        <v>24090.642595041329</v>
      </c>
      <c r="AC12" s="22">
        <f t="shared" ref="AC12" si="18">+(AC10+AC11)*20%</f>
        <v>0</v>
      </c>
      <c r="AD12" s="133">
        <f t="shared" si="2"/>
        <v>416616.25833280757</v>
      </c>
      <c r="AE12" s="23" t="s">
        <v>64</v>
      </c>
      <c r="AF12" s="21"/>
      <c r="AG12" s="22">
        <v>0</v>
      </c>
      <c r="AH12" s="22">
        <f>+(AH10+AH11)*20%</f>
        <v>110354.59833853932</v>
      </c>
      <c r="AI12" s="22">
        <f t="shared" ref="AI12:AR12" si="19">+(AI10+AI11)*20%</f>
        <v>61230.318798386637</v>
      </c>
      <c r="AJ12" s="22">
        <f t="shared" si="19"/>
        <v>88568.546919999993</v>
      </c>
      <c r="AK12" s="22">
        <f t="shared" si="19"/>
        <v>175460.27570651681</v>
      </c>
      <c r="AL12" s="22">
        <f t="shared" si="19"/>
        <v>122606.53146842984</v>
      </c>
      <c r="AM12" s="22">
        <f t="shared" si="19"/>
        <v>110401.35364554306</v>
      </c>
      <c r="AN12" s="22">
        <f t="shared" si="19"/>
        <v>127644.49832284644</v>
      </c>
      <c r="AO12" s="22">
        <f t="shared" si="19"/>
        <v>147021.71625363294</v>
      </c>
      <c r="AP12" s="22">
        <f t="shared" si="19"/>
        <v>102909.48442927108</v>
      </c>
      <c r="AQ12" s="22">
        <f t="shared" si="19"/>
        <v>65740.746185744749</v>
      </c>
      <c r="AR12" s="22">
        <f t="shared" si="19"/>
        <v>38646.53273211178</v>
      </c>
      <c r="AS12" s="139">
        <f t="shared" si="4"/>
        <v>1150584.6028010228</v>
      </c>
    </row>
    <row r="13" spans="1:53" ht="15" x14ac:dyDescent="0.25">
      <c r="A13" s="115" t="s">
        <v>65</v>
      </c>
      <c r="B13" s="21"/>
      <c r="C13" s="22"/>
      <c r="D13" s="22"/>
      <c r="E13" s="22">
        <f>+'[2]FACTURES À PAYER'!$D$24</f>
        <v>111150</v>
      </c>
      <c r="F13" s="22"/>
      <c r="G13" s="22">
        <v>50000</v>
      </c>
      <c r="H13" s="22">
        <v>50000</v>
      </c>
      <c r="I13" s="22"/>
      <c r="J13" s="22"/>
      <c r="K13" s="22"/>
      <c r="L13" s="22"/>
      <c r="M13" s="22"/>
      <c r="N13" s="22"/>
      <c r="O13" s="133">
        <f t="shared" si="5"/>
        <v>211150</v>
      </c>
      <c r="P13" s="24" t="s">
        <v>65</v>
      </c>
      <c r="Q13" s="21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133">
        <f t="shared" si="2"/>
        <v>0</v>
      </c>
      <c r="AE13" s="24" t="s">
        <v>65</v>
      </c>
      <c r="AF13" s="21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139">
        <f t="shared" si="4"/>
        <v>0</v>
      </c>
    </row>
    <row r="14" spans="1:53" ht="15" x14ac:dyDescent="0.25">
      <c r="A14" s="115" t="s">
        <v>66</v>
      </c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33">
        <f t="shared" si="5"/>
        <v>0</v>
      </c>
      <c r="P14" s="24" t="s">
        <v>66</v>
      </c>
      <c r="Q14" s="21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133">
        <f t="shared" si="2"/>
        <v>0</v>
      </c>
      <c r="AE14" s="24" t="s">
        <v>66</v>
      </c>
      <c r="AF14" s="21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139">
        <f t="shared" si="4"/>
        <v>0</v>
      </c>
    </row>
    <row r="15" spans="1:53" ht="15" x14ac:dyDescent="0.25">
      <c r="A15" s="115" t="s">
        <v>67</v>
      </c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133">
        <f t="shared" si="5"/>
        <v>0</v>
      </c>
      <c r="P15" s="24" t="s">
        <v>67</v>
      </c>
      <c r="Q15" s="21"/>
      <c r="R15" s="22"/>
      <c r="S15" s="22"/>
      <c r="T15" s="22"/>
      <c r="U15" s="22"/>
      <c r="V15" s="22"/>
      <c r="W15" s="22">
        <v>72791</v>
      </c>
      <c r="X15" s="22"/>
      <c r="Y15" s="22"/>
      <c r="Z15" s="22"/>
      <c r="AA15" s="22"/>
      <c r="AB15" s="22"/>
      <c r="AC15" s="22"/>
      <c r="AD15" s="133">
        <f t="shared" si="2"/>
        <v>72791</v>
      </c>
      <c r="AE15" s="24" t="s">
        <v>67</v>
      </c>
      <c r="AF15" s="21"/>
      <c r="AG15" s="22"/>
      <c r="AH15" s="22"/>
      <c r="AI15" s="22"/>
      <c r="AJ15" s="22"/>
      <c r="AK15" s="22"/>
      <c r="AL15" s="22">
        <v>33497</v>
      </c>
      <c r="AM15" s="22"/>
      <c r="AN15" s="22"/>
      <c r="AO15" s="22"/>
      <c r="AP15" s="22"/>
      <c r="AQ15" s="22"/>
      <c r="AR15" s="22"/>
      <c r="AS15" s="139">
        <f t="shared" si="4"/>
        <v>33497</v>
      </c>
    </row>
    <row r="16" spans="1:53" ht="15.75" thickBot="1" x14ac:dyDescent="0.3">
      <c r="A16" s="116" t="s">
        <v>68</v>
      </c>
      <c r="B16" s="13"/>
      <c r="C16" s="26"/>
      <c r="D16" s="26"/>
      <c r="E16" s="26"/>
      <c r="F16" s="26"/>
      <c r="G16" s="26"/>
      <c r="H16" s="26"/>
      <c r="I16" s="26"/>
      <c r="J16" s="26"/>
      <c r="K16" s="26">
        <v>150000</v>
      </c>
      <c r="L16" s="26"/>
      <c r="M16" s="26">
        <v>37302</v>
      </c>
      <c r="N16" s="26"/>
      <c r="O16" s="133">
        <f t="shared" si="5"/>
        <v>187302</v>
      </c>
      <c r="P16" s="24" t="s">
        <v>68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56">
        <v>22381</v>
      </c>
      <c r="AD16" s="133">
        <f t="shared" si="2"/>
        <v>22381</v>
      </c>
      <c r="AE16" s="25" t="s">
        <v>68</v>
      </c>
      <c r="AF16" s="13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56">
        <v>7460</v>
      </c>
      <c r="AS16" s="139">
        <f t="shared" si="4"/>
        <v>7460</v>
      </c>
    </row>
    <row r="17" spans="1:45" s="125" customFormat="1" ht="15.75" thickBot="1" x14ac:dyDescent="0.3">
      <c r="A17" s="117" t="s">
        <v>69</v>
      </c>
      <c r="B17" s="82"/>
      <c r="C17" s="128">
        <f>SUM(C18:C53)</f>
        <v>0</v>
      </c>
      <c r="D17" s="128">
        <f t="shared" ref="D17:N17" si="20">SUM(D18:D53)</f>
        <v>0</v>
      </c>
      <c r="E17" s="128">
        <f t="shared" si="20"/>
        <v>-17102</v>
      </c>
      <c r="F17" s="128">
        <f t="shared" si="20"/>
        <v>-30696.833333333336</v>
      </c>
      <c r="G17" s="128">
        <f t="shared" si="20"/>
        <v>-30398.000000000007</v>
      </c>
      <c r="H17" s="128">
        <f t="shared" si="20"/>
        <v>-38396.500000000007</v>
      </c>
      <c r="I17" s="128">
        <f t="shared" si="20"/>
        <v>-95889.196690689409</v>
      </c>
      <c r="J17" s="128">
        <f t="shared" si="20"/>
        <v>-209282.0391304348</v>
      </c>
      <c r="K17" s="128">
        <f t="shared" si="20"/>
        <v>-143744.56086956523</v>
      </c>
      <c r="L17" s="128">
        <f t="shared" si="20"/>
        <v>-149331.97924010965</v>
      </c>
      <c r="M17" s="128">
        <f t="shared" si="20"/>
        <v>-93594.960869565228</v>
      </c>
      <c r="N17" s="128">
        <f t="shared" si="20"/>
        <v>-143577.67391304352</v>
      </c>
      <c r="O17" s="133">
        <f>SUM(C17:N17)</f>
        <v>-952013.74404674117</v>
      </c>
      <c r="P17" s="117" t="s">
        <v>69</v>
      </c>
      <c r="Q17" s="85"/>
      <c r="R17" s="128">
        <f t="shared" ref="R17:AC17" si="21">SUM(R18:R53)</f>
        <v>-221437.40317489236</v>
      </c>
      <c r="S17" s="128">
        <f t="shared" si="21"/>
        <v>-156195.73356289053</v>
      </c>
      <c r="T17" s="128">
        <f t="shared" si="21"/>
        <v>-182123.88322323636</v>
      </c>
      <c r="U17" s="128">
        <f t="shared" si="21"/>
        <v>-286779.65037224989</v>
      </c>
      <c r="V17" s="128">
        <f t="shared" si="21"/>
        <v>-338507.8216908531</v>
      </c>
      <c r="W17" s="128">
        <f t="shared" si="21"/>
        <v>-355451.83588275471</v>
      </c>
      <c r="X17" s="128">
        <f t="shared" si="21"/>
        <v>-258707.15765613815</v>
      </c>
      <c r="Y17" s="128">
        <f t="shared" si="21"/>
        <v>-241092.66868032637</v>
      </c>
      <c r="Z17" s="128">
        <f t="shared" si="21"/>
        <v>-271616.08128672634</v>
      </c>
      <c r="AA17" s="128">
        <f t="shared" si="21"/>
        <v>-226316.98944809195</v>
      </c>
      <c r="AB17" s="128">
        <f t="shared" si="21"/>
        <v>-191023.71734238617</v>
      </c>
      <c r="AC17" s="128">
        <f t="shared" si="21"/>
        <v>-64591.083333333343</v>
      </c>
      <c r="AD17" s="133">
        <f t="shared" si="2"/>
        <v>-2793844.0256538792</v>
      </c>
      <c r="AE17" s="126" t="s">
        <v>69</v>
      </c>
      <c r="AF17" s="90"/>
      <c r="AG17" s="143">
        <f t="shared" ref="AG17:AR17" si="22">SUM(AG18:AG53)</f>
        <v>-51341.474388550159</v>
      </c>
      <c r="AH17" s="143">
        <f t="shared" si="22"/>
        <v>-328848.25966579327</v>
      </c>
      <c r="AI17" s="143">
        <f t="shared" si="22"/>
        <v>-349995.17224889196</v>
      </c>
      <c r="AJ17" s="143">
        <f t="shared" si="22"/>
        <v>-598040.9082500136</v>
      </c>
      <c r="AK17" s="143">
        <f t="shared" si="22"/>
        <v>-889322.13845556858</v>
      </c>
      <c r="AL17" s="143">
        <f t="shared" si="22"/>
        <v>-677523.64241233945</v>
      </c>
      <c r="AM17" s="143">
        <f t="shared" si="22"/>
        <v>-632089.8991987278</v>
      </c>
      <c r="AN17" s="143">
        <f t="shared" si="22"/>
        <v>-677901.41775379772</v>
      </c>
      <c r="AO17" s="143">
        <f t="shared" si="22"/>
        <v>-781378.37720886292</v>
      </c>
      <c r="AP17" s="143">
        <f t="shared" si="22"/>
        <v>-622434.73826251819</v>
      </c>
      <c r="AQ17" s="143">
        <f t="shared" si="22"/>
        <v>-466678.37382405257</v>
      </c>
      <c r="AR17" s="144">
        <f t="shared" si="22"/>
        <v>-298865.13495118963</v>
      </c>
      <c r="AS17" s="139">
        <f t="shared" si="4"/>
        <v>-6374419.5366203059</v>
      </c>
    </row>
    <row r="18" spans="1:45" ht="15" x14ac:dyDescent="0.25">
      <c r="A18" s="14" t="s">
        <v>70</v>
      </c>
      <c r="B18" s="21"/>
      <c r="C18" s="22"/>
      <c r="D18" s="22"/>
      <c r="E18" s="22">
        <f>-'Cpte Résultat'!D21</f>
        <v>0</v>
      </c>
      <c r="F18" s="22">
        <f>-'Cpte Résultat'!E21</f>
        <v>-1500</v>
      </c>
      <c r="G18" s="22">
        <f>-'Cpte Résultat'!F21</f>
        <v>-1700</v>
      </c>
      <c r="H18" s="22">
        <f>-'Cpte Résultat'!G21</f>
        <v>-1700</v>
      </c>
      <c r="I18" s="22">
        <f>-'Cpte Résultat'!H21</f>
        <v>-1700</v>
      </c>
      <c r="J18" s="22">
        <f>-'Cpte Résultat'!I21</f>
        <v>-1700</v>
      </c>
      <c r="K18" s="22">
        <f>-'Cpte Résultat'!J21</f>
        <v>-1700</v>
      </c>
      <c r="L18" s="22">
        <f>-'Cpte Résultat'!K21</f>
        <v>-1700</v>
      </c>
      <c r="M18" s="22">
        <f>-'Cpte Résultat'!L21</f>
        <v>-1700</v>
      </c>
      <c r="N18" s="22">
        <f>-'Cpte Résultat'!M21</f>
        <v>-1700</v>
      </c>
      <c r="O18" s="133">
        <f t="shared" ref="O18:O53" si="23">SUM(C18:N18)</f>
        <v>-15100</v>
      </c>
      <c r="P18" s="14" t="s">
        <v>70</v>
      </c>
      <c r="Q18" s="21"/>
      <c r="R18" s="22">
        <f>-'Cpte Résultat'!N21</f>
        <v>-1700</v>
      </c>
      <c r="S18" s="22">
        <f>-'Cpte Résultat'!P21</f>
        <v>-6347.7157710077863</v>
      </c>
      <c r="T18" s="22">
        <f>-'Cpte Résultat'!Q21</f>
        <v>-3039.5244022038564</v>
      </c>
      <c r="U18" s="22">
        <f>-'Cpte Résultat'!R21</f>
        <v>-10901.502213211164</v>
      </c>
      <c r="V18" s="22">
        <f>-'Cpte Résultat'!S21</f>
        <v>-12200.191943408912</v>
      </c>
      <c r="W18" s="22">
        <f>-'Cpte Résultat'!T21</f>
        <v>-8445.6188600550977</v>
      </c>
      <c r="X18" s="22">
        <f>-'Cpte Résultat'!U21</f>
        <v>-5283.239293112948</v>
      </c>
      <c r="Y18" s="22">
        <f>-'Cpte Résultat'!V21</f>
        <v>-6269.6527075757576</v>
      </c>
      <c r="Z18" s="22">
        <f>-'Cpte Résultat'!W21</f>
        <v>-6851.2498795757583</v>
      </c>
      <c r="AA18" s="22">
        <f>-'Cpte Résultat'!X21</f>
        <v>-6163.8665036253442</v>
      </c>
      <c r="AB18" s="22">
        <f>-'Cpte Résultat'!Y21</f>
        <v>-5325.7309261707996</v>
      </c>
      <c r="AC18" s="22">
        <f>-'Cpte Résultat'!Z21</f>
        <v>-2916.6666666666665</v>
      </c>
      <c r="AD18" s="133">
        <f t="shared" si="2"/>
        <v>-75444.959166614091</v>
      </c>
      <c r="AE18" s="14" t="s">
        <v>70</v>
      </c>
      <c r="AF18" s="21"/>
      <c r="AG18" s="22">
        <v>-2916.6666666666665</v>
      </c>
      <c r="AH18" s="22">
        <v>-14368.793167187267</v>
      </c>
      <c r="AI18" s="22">
        <v>-9456.3652131719973</v>
      </c>
      <c r="AJ18" s="22">
        <v>-12190.188025333333</v>
      </c>
      <c r="AK18" s="22">
        <v>-20879.360903985013</v>
      </c>
      <c r="AL18" s="22">
        <v>-15593.986480176318</v>
      </c>
      <c r="AM18" s="22">
        <v>-14373.46869788764</v>
      </c>
      <c r="AN18" s="22">
        <v>-16097.783165617979</v>
      </c>
      <c r="AO18" s="22">
        <v>-18035.504958696627</v>
      </c>
      <c r="AP18" s="22">
        <v>-13624.281776260443</v>
      </c>
      <c r="AQ18" s="22">
        <v>-9907.4079519078077</v>
      </c>
      <c r="AR18" s="22">
        <v>-7197.9866065445112</v>
      </c>
      <c r="AS18" s="139">
        <f t="shared" si="4"/>
        <v>-154641.79361343561</v>
      </c>
    </row>
    <row r="19" spans="1:45" ht="15" x14ac:dyDescent="0.25">
      <c r="A19" s="14" t="s">
        <v>71</v>
      </c>
      <c r="B19" s="21"/>
      <c r="C19" s="22"/>
      <c r="D19" s="22"/>
      <c r="E19" s="22">
        <f>-'Cpte Résultat'!D24-'Cpte Résultat'!D25-'Cpte Résultat'!D26-'Cpte Résultat'!D27-'Cpte Résultat'!D29-'Cpte Résultat'!D30</f>
        <v>-560</v>
      </c>
      <c r="F19" s="22">
        <f>-'Cpte Résultat'!E24-'Cpte Résultat'!E25-'Cpte Résultat'!E26-'Cpte Résultat'!E27-'Cpte Résultat'!E28-'Cpte Résultat'!E29-'Cpte Résultat'!E30</f>
        <v>-2300</v>
      </c>
      <c r="G19" s="22">
        <f>-'Cpte Résultat'!F24-'Cpte Résultat'!F25-'Cpte Résultat'!F26-'Cpte Résultat'!F27-'Cpte Résultat'!F28-'Cpte Résultat'!F29-'Cpte Résultat'!F30</f>
        <v>-2300</v>
      </c>
      <c r="H19" s="22">
        <f>-'Cpte Résultat'!G24-'Cpte Résultat'!G25-'Cpte Résultat'!G26-'Cpte Résultat'!G27-'Cpte Résultat'!G28-'Cpte Résultat'!G29-'Cpte Résultat'!G30</f>
        <v>-2300</v>
      </c>
      <c r="I19" s="22">
        <f>-'Cpte Résultat'!H24-'Cpte Résultat'!H25-'Cpte Résultat'!H26-'Cpte Résultat'!H27-'Cpte Résultat'!H28-'Cpte Résultat'!H29-'Cpte Résultat'!H30</f>
        <v>-2300</v>
      </c>
      <c r="J19" s="22">
        <f>-'Cpte Résultat'!I24-'Cpte Résultat'!I25-'Cpte Résultat'!I26-'Cpte Résultat'!I27-'Cpte Résultat'!I28-'Cpte Résultat'!I29-'Cpte Résultat'!I30</f>
        <v>-2300</v>
      </c>
      <c r="K19" s="22">
        <f>-'Cpte Résultat'!J24-'Cpte Résultat'!J25-'Cpte Résultat'!J26-'Cpte Résultat'!J27-'Cpte Résultat'!J28-'Cpte Résultat'!J29-'Cpte Résultat'!J30</f>
        <v>-2300</v>
      </c>
      <c r="L19" s="22">
        <f>-'Cpte Résultat'!K24-'Cpte Résultat'!K25-'Cpte Résultat'!K26-'Cpte Résultat'!K27-'Cpte Résultat'!K28-'Cpte Résultat'!K29-'Cpte Résultat'!K30</f>
        <v>-2300</v>
      </c>
      <c r="M19" s="22">
        <f>-'Cpte Résultat'!L24-'Cpte Résultat'!L25-'Cpte Résultat'!L26-'Cpte Résultat'!L27-'Cpte Résultat'!L28-'Cpte Résultat'!L29-'Cpte Résultat'!L30</f>
        <v>-2300</v>
      </c>
      <c r="N19" s="22">
        <f>-'Cpte Résultat'!M24-'Cpte Résultat'!M25-'Cpte Résultat'!M26-'Cpte Résultat'!M27-'Cpte Résultat'!M28-'Cpte Résultat'!M29-'Cpte Résultat'!M30</f>
        <v>-2300</v>
      </c>
      <c r="O19" s="133">
        <f t="shared" si="23"/>
        <v>-21260</v>
      </c>
      <c r="P19" s="14" t="s">
        <v>71</v>
      </c>
      <c r="Q19" s="21"/>
      <c r="R19" s="22">
        <f>-'Cpte Résultat'!N24-'Cpte Résultat'!N25-'Cpte Résultat'!N26-'Cpte Résultat'!N27-'Cpte Résultat'!N28-'Cpte Résultat'!N29-'Cpte Résultat'!N30</f>
        <v>-2300</v>
      </c>
      <c r="S19" s="22">
        <f>-'Cpte Résultat'!P24-'Cpte Résultat'!P25-'Cpte Résultat'!P26-'Cpte Résultat'!P27-'Cpte Résultat'!P28-'Cpte Résultat'!P29-'Cpte Résultat'!P30</f>
        <v>-15676.666666666668</v>
      </c>
      <c r="T19" s="22">
        <f>-'Cpte Résultat'!Q24-'Cpte Résultat'!Q25-'Cpte Résultat'!Q26-'Cpte Résultat'!Q27-'Cpte Résultat'!Q28-'Cpte Résultat'!Q29-'Cpte Résultat'!Q30</f>
        <v>-15676.666666666668</v>
      </c>
      <c r="U19" s="22">
        <f>-'Cpte Résultat'!R24-'Cpte Résultat'!R25-'Cpte Résultat'!R26-'Cpte Résultat'!R27-'Cpte Résultat'!R28-'Cpte Résultat'!R29-'Cpte Résultat'!R30</f>
        <v>-15676.666666666668</v>
      </c>
      <c r="V19" s="22">
        <f>-'Cpte Résultat'!S24-'Cpte Résultat'!S25-'Cpte Résultat'!S26-'Cpte Résultat'!S27-'Cpte Résultat'!S28-'Cpte Résultat'!S29-'Cpte Résultat'!S30</f>
        <v>-15676.666666666668</v>
      </c>
      <c r="W19" s="22">
        <f>-'Cpte Résultat'!T24-'Cpte Résultat'!T25-'Cpte Résultat'!T26-'Cpte Résultat'!T27-'Cpte Résultat'!T28-'Cpte Résultat'!T29-'Cpte Résultat'!T30</f>
        <v>-15676.666666666668</v>
      </c>
      <c r="X19" s="22">
        <f>-'Cpte Résultat'!U24-'Cpte Résultat'!U25-'Cpte Résultat'!U26-'Cpte Résultat'!U27-'Cpte Résultat'!U28-'Cpte Résultat'!U29-'Cpte Résultat'!U30</f>
        <v>-15676.666666666668</v>
      </c>
      <c r="Y19" s="22">
        <f>-'Cpte Résultat'!V24-'Cpte Résultat'!V25-'Cpte Résultat'!V26-'Cpte Résultat'!V27-'Cpte Résultat'!V28-'Cpte Résultat'!V29-'Cpte Résultat'!V30</f>
        <v>-15676.666666666668</v>
      </c>
      <c r="Z19" s="22">
        <f>-'Cpte Résultat'!W24-'Cpte Résultat'!W25-'Cpte Résultat'!W26-'Cpte Résultat'!W27-'Cpte Résultat'!W28-'Cpte Résultat'!W29-'Cpte Résultat'!W30</f>
        <v>-15676.666666666668</v>
      </c>
      <c r="AA19" s="22">
        <f>-'Cpte Résultat'!X24-'Cpte Résultat'!X25-'Cpte Résultat'!X26-'Cpte Résultat'!X27-'Cpte Résultat'!X28-'Cpte Résultat'!X29-'Cpte Résultat'!X30</f>
        <v>-15676.666666666668</v>
      </c>
      <c r="AB19" s="22">
        <f>-'Cpte Résultat'!Y24-'Cpte Résultat'!Y25-'Cpte Résultat'!Y26-'Cpte Résultat'!Y27-'Cpte Résultat'!Y28-'Cpte Résultat'!Y29-'Cpte Résultat'!Y30</f>
        <v>-15676.666666666668</v>
      </c>
      <c r="AC19" s="22">
        <f>-'Cpte Résultat'!Z24-'Cpte Résultat'!Z25-'Cpte Résultat'!Z26-'Cpte Résultat'!Z27-'Cpte Résultat'!Z28-'Cpte Résultat'!Z29-'Cpte Résultat'!Z30</f>
        <v>-15676.666666666668</v>
      </c>
      <c r="AD19" s="133">
        <f t="shared" si="2"/>
        <v>-174743.33333333334</v>
      </c>
      <c r="AE19" s="14" t="s">
        <v>71</v>
      </c>
      <c r="AF19" s="21"/>
      <c r="AG19" s="22">
        <v>-15676.666666666668</v>
      </c>
      <c r="AH19" s="22">
        <v>-16926.666666666664</v>
      </c>
      <c r="AI19" s="22">
        <v>-16926.666666666664</v>
      </c>
      <c r="AJ19" s="22">
        <v>-16926.666666666664</v>
      </c>
      <c r="AK19" s="22">
        <v>-16926.666666666664</v>
      </c>
      <c r="AL19" s="22">
        <v>-16926.666666666664</v>
      </c>
      <c r="AM19" s="22">
        <v>-16926.666666666664</v>
      </c>
      <c r="AN19" s="22">
        <v>-16926.666666666664</v>
      </c>
      <c r="AO19" s="22">
        <v>-16926.666666666664</v>
      </c>
      <c r="AP19" s="22">
        <v>-16926.666666666664</v>
      </c>
      <c r="AQ19" s="22">
        <v>-16926.666666666664</v>
      </c>
      <c r="AR19" s="22">
        <v>-16926.666666666664</v>
      </c>
      <c r="AS19" s="139">
        <f t="shared" si="4"/>
        <v>-201869.99999999991</v>
      </c>
    </row>
    <row r="20" spans="1:45" ht="15" x14ac:dyDescent="0.25">
      <c r="A20" s="14" t="s">
        <v>72</v>
      </c>
      <c r="B20" s="21"/>
      <c r="C20" s="22"/>
      <c r="D20" s="22"/>
      <c r="E20" s="22">
        <f>-'Cpte Résultat'!D20</f>
        <v>0</v>
      </c>
      <c r="F20" s="22">
        <f>-'Cpte Résultat'!E20</f>
        <v>0</v>
      </c>
      <c r="G20" s="22">
        <f>-'Cpte Résultat'!F20</f>
        <v>0</v>
      </c>
      <c r="H20" s="22">
        <f>-'Cpte Résultat'!G20</f>
        <v>0</v>
      </c>
      <c r="I20" s="22">
        <f>-'Cpte Résultat'!H20</f>
        <v>-13810.652173913044</v>
      </c>
      <c r="J20" s="22">
        <f>-'Cpte Résultat'!I20</f>
        <v>-142537.94927536233</v>
      </c>
      <c r="K20" s="22">
        <f>-'Cpte Résultat'!J20</f>
        <v>-86400.050724637695</v>
      </c>
      <c r="L20" s="22">
        <f>-'Cpte Résultat'!K20</f>
        <v>-128791.35507246378</v>
      </c>
      <c r="M20" s="22">
        <f>-'Cpte Résultat'!L20</f>
        <v>-41911.217391304352</v>
      </c>
      <c r="N20" s="22">
        <f>-'Cpte Résultat'!M20</f>
        <v>-85940.978260869568</v>
      </c>
      <c r="O20" s="133">
        <f t="shared" si="23"/>
        <v>-499392.20289855072</v>
      </c>
      <c r="P20" s="14" t="s">
        <v>72</v>
      </c>
      <c r="Q20" s="21"/>
      <c r="R20" s="22">
        <f>-'Cpte Résultat'!N20</f>
        <v>-122387.18115942032</v>
      </c>
      <c r="S20" s="22">
        <f>-'Cpte Résultat'!P20</f>
        <v>-72906.159420289856</v>
      </c>
      <c r="T20" s="22">
        <f>-'Cpte Résultat'!Q20</f>
        <v>-97821.142172715307</v>
      </c>
      <c r="U20" s="22">
        <f>-'Cpte Résultat'!R20</f>
        <v>-211380.33340243419</v>
      </c>
      <c r="V20" s="22">
        <f>-'Cpte Résultat'!S20</f>
        <v>-218538.75668785762</v>
      </c>
      <c r="W20" s="22">
        <f>-'Cpte Résultat'!T20</f>
        <v>-236280.00826446278</v>
      </c>
      <c r="X20" s="22">
        <f>-'Cpte Résultat'!U20</f>
        <v>-101135.58232676414</v>
      </c>
      <c r="Y20" s="22">
        <f>-'Cpte Résultat'!V20</f>
        <v>-143290.00174825176</v>
      </c>
      <c r="Z20" s="22">
        <f>-'Cpte Résultat'!W20</f>
        <v>-168144.58174825175</v>
      </c>
      <c r="AA20" s="22">
        <f>-'Cpte Résultat'!X20</f>
        <v>-138769.22380165287</v>
      </c>
      <c r="AB20" s="22">
        <f>-'Cpte Résultat'!Y20</f>
        <v>-102951.4640813732</v>
      </c>
      <c r="AC20" s="22">
        <f>-'Cpte Résultat'!Z20</f>
        <v>0</v>
      </c>
      <c r="AD20" s="133">
        <f t="shared" si="2"/>
        <v>-1613604.4348134741</v>
      </c>
      <c r="AE20" s="14" t="s">
        <v>72</v>
      </c>
      <c r="AF20" s="21"/>
      <c r="AG20" s="22">
        <v>0</v>
      </c>
      <c r="AH20" s="22">
        <v>-7138.089887640449</v>
      </c>
      <c r="AI20" s="22">
        <v>-224397.31999423797</v>
      </c>
      <c r="AJ20" s="22">
        <v>-375326.94999999995</v>
      </c>
      <c r="AK20" s="22">
        <v>-662413.46280898876</v>
      </c>
      <c r="AL20" s="22">
        <v>-491200.09053010656</v>
      </c>
      <c r="AM20" s="22">
        <v>-411641.79273408238</v>
      </c>
      <c r="AN20" s="22">
        <v>-491452.77329588018</v>
      </c>
      <c r="AO20" s="22">
        <v>-575745.8510486891</v>
      </c>
      <c r="AP20" s="22">
        <v>-397717.02296168247</v>
      </c>
      <c r="AQ20" s="22">
        <v>-273112.69523480267</v>
      </c>
      <c r="AR20" s="22">
        <v>-188646.08418611353</v>
      </c>
      <c r="AS20" s="139">
        <f t="shared" si="4"/>
        <v>-4098792.1326822238</v>
      </c>
    </row>
    <row r="21" spans="1:45" ht="15" x14ac:dyDescent="0.25">
      <c r="A21" s="23" t="s">
        <v>73</v>
      </c>
      <c r="B21" s="21"/>
      <c r="C21" s="22"/>
      <c r="D21" s="22"/>
      <c r="E21" s="22">
        <f>+(+E18+E19+E20)*20%</f>
        <v>-112</v>
      </c>
      <c r="F21" s="22">
        <f t="shared" ref="F21:N21" si="24">+(+F18+F19+F20)*20%</f>
        <v>-760</v>
      </c>
      <c r="G21" s="22">
        <f t="shared" si="24"/>
        <v>-800</v>
      </c>
      <c r="H21" s="22">
        <f t="shared" si="24"/>
        <v>-800</v>
      </c>
      <c r="I21" s="22">
        <f t="shared" si="24"/>
        <v>-3562.130434782609</v>
      </c>
      <c r="J21" s="22">
        <f t="shared" si="24"/>
        <v>-29307.589855072467</v>
      </c>
      <c r="K21" s="22">
        <f t="shared" si="24"/>
        <v>-18080.010144927539</v>
      </c>
      <c r="L21" s="22">
        <f t="shared" si="24"/>
        <v>-26558.271014492755</v>
      </c>
      <c r="M21" s="22">
        <f t="shared" si="24"/>
        <v>-9182.2434782608707</v>
      </c>
      <c r="N21" s="22">
        <f t="shared" si="24"/>
        <v>-17988.195652173916</v>
      </c>
      <c r="O21" s="133">
        <f t="shared" si="23"/>
        <v>-107150.44057971016</v>
      </c>
      <c r="P21" s="23" t="s">
        <v>73</v>
      </c>
      <c r="Q21" s="21"/>
      <c r="R21" s="22">
        <f t="shared" ref="R21" si="25">+(+R18+R19+R20)*20%</f>
        <v>-25277.436231884065</v>
      </c>
      <c r="S21" s="22">
        <f t="shared" ref="S21" si="26">+(+S18+S19+S20)*20%</f>
        <v>-18986.108371592862</v>
      </c>
      <c r="T21" s="22">
        <f t="shared" ref="T21" si="27">+(+T18+T19+T20)*20%</f>
        <v>-23307.466648317168</v>
      </c>
      <c r="U21" s="22">
        <f t="shared" ref="U21" si="28">+(+U18+U19+U20)*20%</f>
        <v>-47591.700456462408</v>
      </c>
      <c r="V21" s="22">
        <f t="shared" ref="V21" si="29">+(+V18+V19+V20)*20%</f>
        <v>-49283.123059586644</v>
      </c>
      <c r="W21" s="22">
        <f t="shared" ref="W21" si="30">+(+W18+W19+W20)*20%</f>
        <v>-52080.458758236913</v>
      </c>
      <c r="X21" s="22">
        <f t="shared" ref="X21" si="31">+(+X18+X19+X20)*20%</f>
        <v>-24419.097657308754</v>
      </c>
      <c r="Y21" s="22">
        <f t="shared" ref="Y21" si="32">+(+Y18+Y19+Y20)*20%</f>
        <v>-33047.264224498838</v>
      </c>
      <c r="Z21" s="22">
        <f t="shared" ref="Z21" si="33">+(+Z18+Z19+Z20)*20%</f>
        <v>-38134.499658898836</v>
      </c>
      <c r="AA21" s="22">
        <f t="shared" ref="AA21" si="34">+(+AA18+AA19+AA20)*20%</f>
        <v>-32121.951394388976</v>
      </c>
      <c r="AB21" s="22">
        <f t="shared" ref="AB21" si="35">+(+AB18+AB19+AB20)*20%</f>
        <v>-24790.772334842135</v>
      </c>
      <c r="AC21" s="22">
        <f t="shared" ref="AC21" si="36">+(+AC18+AC19+AC20)*20%</f>
        <v>-3718.6666666666674</v>
      </c>
      <c r="AD21" s="133">
        <f t="shared" si="2"/>
        <v>-372758.54546268424</v>
      </c>
      <c r="AE21" s="23" t="s">
        <v>73</v>
      </c>
      <c r="AF21" s="21"/>
      <c r="AG21" s="22">
        <v>-3718.6666666666674</v>
      </c>
      <c r="AH21" s="22">
        <v>-7686.7099442988756</v>
      </c>
      <c r="AI21" s="22">
        <v>-50156.070374815332</v>
      </c>
      <c r="AJ21" s="22">
        <v>-80888.760938399995</v>
      </c>
      <c r="AK21" s="22">
        <v>-140043.8980759281</v>
      </c>
      <c r="AL21" s="22">
        <v>-104744.14873538991</v>
      </c>
      <c r="AM21" s="22">
        <v>-88588.385619727342</v>
      </c>
      <c r="AN21" s="22">
        <v>-104895.44462563295</v>
      </c>
      <c r="AO21" s="22">
        <v>-122141.60453481048</v>
      </c>
      <c r="AP21" s="22">
        <v>-85653.594280921912</v>
      </c>
      <c r="AQ21" s="22">
        <v>-59989.353970675431</v>
      </c>
      <c r="AR21" s="22">
        <v>-42554.147491864947</v>
      </c>
      <c r="AS21" s="139">
        <f t="shared" si="4"/>
        <v>-891060.78525913204</v>
      </c>
    </row>
    <row r="22" spans="1:45" ht="15.75" thickBot="1" x14ac:dyDescent="0.3">
      <c r="A22" s="118" t="s">
        <v>74</v>
      </c>
      <c r="B22" s="13"/>
      <c r="C22" s="13"/>
      <c r="D22" s="13"/>
      <c r="E22" s="26"/>
      <c r="F22" s="26">
        <f>-(+C12+D12+E12+C21+D21+E21+C53+D53+E53)</f>
        <v>2491.166666666667</v>
      </c>
      <c r="G22" s="26"/>
      <c r="H22" s="26"/>
      <c r="I22" s="26">
        <f>-(+F12+G12+H12+F21+G21+H21+F53+G53+H53)</f>
        <v>-24307.427595507248</v>
      </c>
      <c r="J22" s="26"/>
      <c r="K22" s="26"/>
      <c r="L22" s="26">
        <f>-(+I12+J12+K12+I21+J21+K21+I53+J53+K53)</f>
        <v>56040.633333333339</v>
      </c>
      <c r="M22" s="26"/>
      <c r="N22" s="26"/>
      <c r="O22" s="133">
        <f t="shared" si="23"/>
        <v>34224.372404492759</v>
      </c>
      <c r="P22" s="118" t="s">
        <v>74</v>
      </c>
      <c r="Q22" s="13"/>
      <c r="R22" s="26">
        <f>-(+L12+M12+N12+L21+M21+N21+L53+M53+N53)</f>
        <v>-16247.215963768147</v>
      </c>
      <c r="S22" s="26"/>
      <c r="T22" s="26"/>
      <c r="U22" s="26">
        <f>-(+R12+S12+T12+R21+S21+T21+R53+S53+T53)</f>
        <v>50226.02618634433</v>
      </c>
      <c r="V22" s="26"/>
      <c r="W22" s="26"/>
      <c r="X22" s="26">
        <f>-(+U12+V12+W12+U21+V21+W21+U53+V53+W53)</f>
        <v>-60737.09789246579</v>
      </c>
      <c r="Y22" s="26"/>
      <c r="Z22" s="26"/>
      <c r="AA22" s="26">
        <f>-(+X12+Y12+Z12+X21+Y21+Z21+X53+Y53+Z53)</f>
        <v>17340.192738061778</v>
      </c>
      <c r="AB22" s="26"/>
      <c r="AC22" s="26"/>
      <c r="AD22" s="133">
        <f t="shared" si="2"/>
        <v>-9418.094931827829</v>
      </c>
      <c r="AE22" s="118" t="s">
        <v>74</v>
      </c>
      <c r="AF22" s="13"/>
      <c r="AG22" s="26">
        <f>-(+AA12+AB12+AC12+AA21+AB21+AC21+AA53+AB53+AC53)</f>
        <v>22349.499431269665</v>
      </c>
      <c r="AH22" s="26"/>
      <c r="AI22" s="26"/>
      <c r="AJ22" s="26">
        <f>-(+AG12+AH12+AI12+AG21+AH21+AI21+AG53+AH53+AI53)</f>
        <v>-53666.553484478449</v>
      </c>
      <c r="AK22" s="26"/>
      <c r="AL22" s="26"/>
      <c r="AM22" s="26">
        <f>-(+AJ12+AK12+AL12+AJ21+AK21+AL21+AJ53+AK53+AL53)</f>
        <v>-41677.796345228642</v>
      </c>
      <c r="AN22" s="26"/>
      <c r="AO22" s="26"/>
      <c r="AP22" s="26">
        <f>-(+AM12+AN12+AO12+AM21+AN21+AO21+AM53+AN53+AO53)</f>
        <v>-50161.383441851642</v>
      </c>
      <c r="AQ22" s="26"/>
      <c r="AR22" s="26"/>
      <c r="AS22" s="139">
        <f t="shared" si="4"/>
        <v>-123156.23384028906</v>
      </c>
    </row>
    <row r="23" spans="1:45" ht="15" x14ac:dyDescent="0.25">
      <c r="A23" s="14" t="s">
        <v>75</v>
      </c>
      <c r="B23" s="21"/>
      <c r="C23" s="22"/>
      <c r="D23" s="22"/>
      <c r="E23" s="22">
        <f>-'Cpte Résultat'!E36</f>
        <v>-2035</v>
      </c>
      <c r="F23" s="22">
        <f>-'Cpte Résultat'!F36</f>
        <v>-5065</v>
      </c>
      <c r="G23" s="22">
        <f>-'Cpte Résultat'!G36</f>
        <v>-5065</v>
      </c>
      <c r="H23" s="22">
        <f>-'Cpte Résultat'!H36</f>
        <v>-5065</v>
      </c>
      <c r="I23" s="22">
        <f>-'Cpte Résultat'!I36</f>
        <v>-5065</v>
      </c>
      <c r="J23" s="22">
        <f>-'Cpte Résultat'!J36</f>
        <v>-5065</v>
      </c>
      <c r="K23" s="22">
        <f>-'Cpte Résultat'!K36</f>
        <v>-5065</v>
      </c>
      <c r="L23" s="22">
        <f>-'Cpte Résultat'!L36</f>
        <v>-4535</v>
      </c>
      <c r="M23" s="22">
        <f>-'Cpte Résultat'!M36</f>
        <v>-4535</v>
      </c>
      <c r="N23" s="22">
        <f>-'Cpte Résultat'!N36</f>
        <v>-4535</v>
      </c>
      <c r="O23" s="133">
        <f t="shared" si="23"/>
        <v>-46030</v>
      </c>
      <c r="P23" s="14" t="s">
        <v>75</v>
      </c>
      <c r="Q23" s="21"/>
      <c r="R23" s="22">
        <f>-'Cpte Résultat'!P36</f>
        <v>-4535</v>
      </c>
      <c r="S23" s="22">
        <f>-'Cpte Résultat'!Q36</f>
        <v>-4535</v>
      </c>
      <c r="T23" s="22">
        <f>-'Cpte Résultat'!R36</f>
        <v>-4535</v>
      </c>
      <c r="U23" s="22">
        <f>-'Cpte Résultat'!S36</f>
        <v>-5065</v>
      </c>
      <c r="V23" s="22">
        <f>-'Cpte Résultat'!T36</f>
        <v>-5065</v>
      </c>
      <c r="W23" s="22">
        <f>-'Cpte Résultat'!U36</f>
        <v>-5065</v>
      </c>
      <c r="X23" s="22">
        <f>-'Cpte Résultat'!V36</f>
        <v>-5065</v>
      </c>
      <c r="Y23" s="22">
        <f>-'Cpte Résultat'!W36</f>
        <v>-5065</v>
      </c>
      <c r="Z23" s="22">
        <f>-'Cpte Résultat'!X36</f>
        <v>-5065</v>
      </c>
      <c r="AA23" s="22">
        <f>-'Cpte Résultat'!Y36</f>
        <v>-4535</v>
      </c>
      <c r="AB23" s="22">
        <f>-'Cpte Résultat'!Z36</f>
        <v>-4535</v>
      </c>
      <c r="AC23" s="22">
        <f>-'Cpte Résultat'!AA36</f>
        <v>-4535</v>
      </c>
      <c r="AD23" s="133">
        <f t="shared" si="2"/>
        <v>-57600</v>
      </c>
      <c r="AE23" s="14" t="s">
        <v>75</v>
      </c>
      <c r="AF23" s="21"/>
      <c r="AG23" s="22">
        <f>-'Cpte Résultat'!AE36</f>
        <v>-4988.5</v>
      </c>
      <c r="AH23" s="22">
        <f>-'Cpte Résultat'!AF36</f>
        <v>-5518.5</v>
      </c>
      <c r="AI23" s="22">
        <f>-'Cpte Résultat'!AG36</f>
        <v>-5518.5</v>
      </c>
      <c r="AJ23" s="22">
        <f>-'Cpte Résultat'!AH36</f>
        <v>-5518.5</v>
      </c>
      <c r="AK23" s="22">
        <f>-'Cpte Résultat'!AI36</f>
        <v>-5518.5</v>
      </c>
      <c r="AL23" s="22">
        <f>-'Cpte Résultat'!AJ36</f>
        <v>-5518.5</v>
      </c>
      <c r="AM23" s="22">
        <f>-'Cpte Résultat'!AK36</f>
        <v>-5518.5</v>
      </c>
      <c r="AN23" s="22">
        <f>-'Cpte Résultat'!AL36</f>
        <v>-4988.5</v>
      </c>
      <c r="AO23" s="22">
        <f>-'Cpte Résultat'!AM36</f>
        <v>-4988.5</v>
      </c>
      <c r="AP23" s="22">
        <f>-'Cpte Résultat'!AN36</f>
        <v>-4988.5</v>
      </c>
      <c r="AQ23" s="22">
        <f>-'Cpte Résultat'!AO36</f>
        <v>-63042</v>
      </c>
      <c r="AR23" s="22">
        <f>-'Cpte Résultat'!AP36</f>
        <v>0</v>
      </c>
      <c r="AS23" s="139">
        <f t="shared" si="4"/>
        <v>-116107</v>
      </c>
    </row>
    <row r="24" spans="1:45" ht="15" x14ac:dyDescent="0.25">
      <c r="A24" s="14" t="s">
        <v>76</v>
      </c>
      <c r="B24" s="21"/>
      <c r="C24" s="22"/>
      <c r="D24" s="22"/>
      <c r="E24" s="22">
        <f>-'Cpte Résultat'!E37</f>
        <v>0</v>
      </c>
      <c r="F24" s="22">
        <f>-'Cpte Résultat'!F37</f>
        <v>0</v>
      </c>
      <c r="G24" s="22">
        <f>-'Cpte Résultat'!G37</f>
        <v>0</v>
      </c>
      <c r="H24" s="22">
        <f>-'Cpte Résultat'!H37</f>
        <v>0</v>
      </c>
      <c r="I24" s="22">
        <f>-'Cpte Résultat'!I37</f>
        <v>0</v>
      </c>
      <c r="J24" s="22">
        <f>-'Cpte Résultat'!J37</f>
        <v>0</v>
      </c>
      <c r="K24" s="22">
        <f>-'Cpte Résultat'!K37</f>
        <v>0</v>
      </c>
      <c r="L24" s="22">
        <f>-'Cpte Résultat'!L37</f>
        <v>0</v>
      </c>
      <c r="M24" s="22">
        <f>-'Cpte Résultat'!M37</f>
        <v>0</v>
      </c>
      <c r="N24" s="22">
        <f>-'Cpte Résultat'!N37</f>
        <v>0</v>
      </c>
      <c r="O24" s="133">
        <f t="shared" si="23"/>
        <v>0</v>
      </c>
      <c r="P24" s="14" t="s">
        <v>76</v>
      </c>
      <c r="Q24" s="21"/>
      <c r="R24" s="22">
        <f>-'Cpte Résultat'!P37</f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133">
        <f t="shared" si="2"/>
        <v>0</v>
      </c>
      <c r="AE24" s="14" t="s">
        <v>76</v>
      </c>
      <c r="AF24" s="21"/>
      <c r="AG24" s="22">
        <f>-'Cpte Résultat'!AE37</f>
        <v>0</v>
      </c>
      <c r="AH24" s="22">
        <f>-'Cpte Résultat'!AF37</f>
        <v>0</v>
      </c>
      <c r="AI24" s="22">
        <f>-'Cpte Résultat'!AG37</f>
        <v>0</v>
      </c>
      <c r="AJ24" s="22">
        <f>-'Cpte Résultat'!AH37</f>
        <v>0</v>
      </c>
      <c r="AK24" s="22">
        <f>-'Cpte Résultat'!AI37</f>
        <v>0</v>
      </c>
      <c r="AL24" s="22">
        <f>-'Cpte Résultat'!AJ37</f>
        <v>0</v>
      </c>
      <c r="AM24" s="22">
        <f>-'Cpte Résultat'!AK37</f>
        <v>0</v>
      </c>
      <c r="AN24" s="22">
        <f>-'Cpte Résultat'!AL37</f>
        <v>0</v>
      </c>
      <c r="AO24" s="22">
        <f>-'Cpte Résultat'!AM37</f>
        <v>0</v>
      </c>
      <c r="AP24" s="22">
        <f>-'Cpte Résultat'!AN37</f>
        <v>0</v>
      </c>
      <c r="AQ24" s="22">
        <f>-'Cpte Résultat'!AO37</f>
        <v>0</v>
      </c>
      <c r="AR24" s="22">
        <f>-'Cpte Résultat'!AP37</f>
        <v>0</v>
      </c>
      <c r="AS24" s="139">
        <f t="shared" si="4"/>
        <v>0</v>
      </c>
    </row>
    <row r="25" spans="1:45" ht="15" x14ac:dyDescent="0.25">
      <c r="A25" s="14" t="s">
        <v>77</v>
      </c>
      <c r="B25" s="21"/>
      <c r="C25" s="22"/>
      <c r="D25" s="22"/>
      <c r="E25" s="22">
        <f>-'Cpte Résultat'!E38</f>
        <v>0</v>
      </c>
      <c r="F25" s="22">
        <f>-'Cpte Résultat'!F38</f>
        <v>0</v>
      </c>
      <c r="G25" s="22">
        <f>-'Cpte Résultat'!G38</f>
        <v>0</v>
      </c>
      <c r="H25" s="22">
        <f>-'Cpte Résultat'!H38</f>
        <v>0</v>
      </c>
      <c r="I25" s="22">
        <f>-'Cpte Résultat'!I38</f>
        <v>0</v>
      </c>
      <c r="J25" s="22">
        <f>-'Cpte Résultat'!J38</f>
        <v>0</v>
      </c>
      <c r="K25" s="22">
        <f>-'Cpte Résultat'!K38</f>
        <v>0</v>
      </c>
      <c r="L25" s="22">
        <f>-'Cpte Résultat'!L38</f>
        <v>0</v>
      </c>
      <c r="M25" s="22">
        <f>-'Cpte Résultat'!M38</f>
        <v>0</v>
      </c>
      <c r="N25" s="22">
        <f>-'Cpte Résultat'!N38</f>
        <v>0</v>
      </c>
      <c r="O25" s="133">
        <f t="shared" si="23"/>
        <v>0</v>
      </c>
      <c r="P25" s="14" t="s">
        <v>77</v>
      </c>
      <c r="Q25" s="21"/>
      <c r="R25" s="22">
        <f>-'Cpte Résultat'!P38</f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133">
        <f t="shared" si="2"/>
        <v>0</v>
      </c>
      <c r="AE25" s="14" t="s">
        <v>77</v>
      </c>
      <c r="AF25" s="21"/>
      <c r="AG25" s="22">
        <f>-'Cpte Résultat'!AE38</f>
        <v>0</v>
      </c>
      <c r="AH25" s="22">
        <f>-'Cpte Résultat'!AF38</f>
        <v>0</v>
      </c>
      <c r="AI25" s="22">
        <f>-'Cpte Résultat'!AG38</f>
        <v>0</v>
      </c>
      <c r="AJ25" s="22">
        <f>-'Cpte Résultat'!AH38</f>
        <v>0</v>
      </c>
      <c r="AK25" s="22">
        <f>-'Cpte Résultat'!AI38</f>
        <v>0</v>
      </c>
      <c r="AL25" s="22">
        <f>-'Cpte Résultat'!AJ38</f>
        <v>0</v>
      </c>
      <c r="AM25" s="22">
        <f>-'Cpte Résultat'!AK38</f>
        <v>0</v>
      </c>
      <c r="AN25" s="22">
        <f>-'Cpte Résultat'!AL38</f>
        <v>0</v>
      </c>
      <c r="AO25" s="22">
        <f>-'Cpte Résultat'!AM38</f>
        <v>0</v>
      </c>
      <c r="AP25" s="22">
        <f>-'Cpte Résultat'!AN38</f>
        <v>0</v>
      </c>
      <c r="AQ25" s="22">
        <f>-'Cpte Résultat'!AO38</f>
        <v>0</v>
      </c>
      <c r="AR25" s="22">
        <f>-'Cpte Résultat'!AP38</f>
        <v>0</v>
      </c>
      <c r="AS25" s="139">
        <f t="shared" si="4"/>
        <v>0</v>
      </c>
    </row>
    <row r="26" spans="1:45" ht="15" x14ac:dyDescent="0.25">
      <c r="A26" s="14" t="s">
        <v>78</v>
      </c>
      <c r="B26" s="21"/>
      <c r="C26" s="22">
        <v>0</v>
      </c>
      <c r="D26" s="22">
        <v>0</v>
      </c>
      <c r="E26" s="22"/>
      <c r="F26" s="22">
        <f>-('Cpte Résultat'!C39+'Cpte Résultat'!D39+'Cpte Résultat'!E39)</f>
        <v>-5280</v>
      </c>
      <c r="G26" s="22">
        <v>0</v>
      </c>
      <c r="H26" s="22">
        <v>0</v>
      </c>
      <c r="I26" s="22">
        <f>-('Cpte Résultat'!F39+'Cpte Résultat'!G39+'Cpte Résultat'!H39)</f>
        <v>-11766.486486486487</v>
      </c>
      <c r="J26" s="22">
        <v>0</v>
      </c>
      <c r="K26" s="22">
        <v>0</v>
      </c>
      <c r="L26" s="22">
        <f>-('Cpte Résultat'!I39+'Cpte Résultat'!J39+'Cpte Résultat'!K39)</f>
        <v>-11766.486486486487</v>
      </c>
      <c r="M26" s="22">
        <v>0</v>
      </c>
      <c r="N26" s="22">
        <v>0</v>
      </c>
      <c r="O26" s="133">
        <f t="shared" si="23"/>
        <v>-28812.972972972973</v>
      </c>
      <c r="P26" s="14" t="s">
        <v>78</v>
      </c>
      <c r="Q26" s="21"/>
      <c r="R26" s="22">
        <f>-'Cpte Résultat'!L39-'Cpte Résultat'!M39-'Cpte Résultat'!N39</f>
        <v>-11766.486486486487</v>
      </c>
      <c r="S26" s="22"/>
      <c r="T26" s="22"/>
      <c r="U26" s="22">
        <f>-'Cpte Résultat'!P39-'Cpte Résultat'!Q39-'Cpte Résultat'!R39</f>
        <v>-8646.3904864864853</v>
      </c>
      <c r="V26" s="22"/>
      <c r="W26" s="22"/>
      <c r="X26" s="22">
        <f>-'Cpte Résultat'!S39-'Cpte Résultat'!T39-'Cpte Résultat'!U39</f>
        <v>-8646.3904864864853</v>
      </c>
      <c r="Y26" s="22"/>
      <c r="Z26" s="22"/>
      <c r="AA26" s="22">
        <f>-'Cpte Résultat'!V39-'Cpte Résultat'!W39-'Cpte Résultat'!X39</f>
        <v>-8646.3904864864853</v>
      </c>
      <c r="AB26" s="22"/>
      <c r="AC26" s="22"/>
      <c r="AD26" s="133">
        <f t="shared" si="2"/>
        <v>-37705.657945945946</v>
      </c>
      <c r="AE26" s="14" t="s">
        <v>78</v>
      </c>
      <c r="AF26" s="21"/>
      <c r="AG26" s="22">
        <f>-'Cpte Résultat'!Y39-'Cpte Résultat'!Z39-'Cpte Résultat'!AA39</f>
        <v>-8646.3904864864853</v>
      </c>
      <c r="AH26" s="22"/>
      <c r="AI26" s="22"/>
      <c r="AJ26" s="22">
        <f>-'Cpte Résultat'!AE39-'Cpte Résultat'!AF39-'Cpte Résultat'!AG39</f>
        <v>-9823.0391351351373</v>
      </c>
      <c r="AK26" s="22"/>
      <c r="AL26" s="22"/>
      <c r="AM26" s="22">
        <f>-'Cpte Résultat'!AH39-'Cpte Résultat'!AI39-'Cpte Résultat'!AJ39</f>
        <v>-9823.0391351351373</v>
      </c>
      <c r="AN26" s="22"/>
      <c r="AO26" s="22"/>
      <c r="AP26" s="22">
        <f>-'Cpte Résultat'!AK39-'Cpte Résultat'!AL39-'Cpte Résultat'!AM39</f>
        <v>-9823.0391351351373</v>
      </c>
      <c r="AQ26" s="22"/>
      <c r="AR26" s="22"/>
      <c r="AS26" s="139">
        <f t="shared" si="4"/>
        <v>-38115.507891891895</v>
      </c>
    </row>
    <row r="27" spans="1:45" ht="15" x14ac:dyDescent="0.25">
      <c r="A27" s="14" t="s">
        <v>79</v>
      </c>
      <c r="B27" s="21"/>
      <c r="C27" s="22"/>
      <c r="D27" s="22"/>
      <c r="E27" s="22">
        <f>-'Cpte Résultat'!E40</f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133">
        <f t="shared" si="23"/>
        <v>0</v>
      </c>
      <c r="P27" s="14" t="s">
        <v>79</v>
      </c>
      <c r="Q27" s="21"/>
      <c r="R27" s="22">
        <f>-'Cpte Résultat'!P40</f>
        <v>0</v>
      </c>
      <c r="S27" s="22">
        <f>-'Cpte Résultat'!Q40</f>
        <v>0</v>
      </c>
      <c r="T27" s="22">
        <f>-'Cpte Résultat'!R40</f>
        <v>0</v>
      </c>
      <c r="U27" s="22">
        <f>-'Cpte Résultat'!S40</f>
        <v>0</v>
      </c>
      <c r="V27" s="22">
        <f>-'Cpte Résultat'!T40</f>
        <v>0</v>
      </c>
      <c r="W27" s="22">
        <f>-'Cpte Résultat'!U40</f>
        <v>0</v>
      </c>
      <c r="X27" s="22">
        <f>-'Cpte Résultat'!V40</f>
        <v>0</v>
      </c>
      <c r="Y27" s="22">
        <f>-'Cpte Résultat'!W40</f>
        <v>0</v>
      </c>
      <c r="Z27" s="22">
        <f>-'Cpte Résultat'!X40</f>
        <v>0</v>
      </c>
      <c r="AA27" s="22">
        <f>-'Cpte Résultat'!Y40</f>
        <v>0</v>
      </c>
      <c r="AB27" s="22">
        <f>-'Cpte Résultat'!Z40</f>
        <v>0</v>
      </c>
      <c r="AC27" s="22">
        <f>-'Cpte Résultat'!AA40</f>
        <v>0</v>
      </c>
      <c r="AD27" s="133">
        <f t="shared" si="2"/>
        <v>0</v>
      </c>
      <c r="AE27" s="14" t="s">
        <v>79</v>
      </c>
      <c r="AF27" s="21"/>
      <c r="AG27" s="22">
        <f>-'Cpte Résultat'!AE40</f>
        <v>0</v>
      </c>
      <c r="AH27" s="22">
        <f>-'Cpte Résultat'!AF40</f>
        <v>0</v>
      </c>
      <c r="AI27" s="22">
        <f>-'Cpte Résultat'!AG40</f>
        <v>0</v>
      </c>
      <c r="AJ27" s="22">
        <f>-'Cpte Résultat'!AH40</f>
        <v>0</v>
      </c>
      <c r="AK27" s="22">
        <f>-'Cpte Résultat'!AI40</f>
        <v>0</v>
      </c>
      <c r="AL27" s="22">
        <f>-'Cpte Résultat'!AJ40</f>
        <v>0</v>
      </c>
      <c r="AM27" s="22">
        <f>-'Cpte Résultat'!AK40</f>
        <v>0</v>
      </c>
      <c r="AN27" s="22">
        <f>-'Cpte Résultat'!AL40</f>
        <v>0</v>
      </c>
      <c r="AO27" s="22">
        <f>-'Cpte Résultat'!AM40</f>
        <v>0</v>
      </c>
      <c r="AP27" s="22">
        <f>-'Cpte Résultat'!AN40</f>
        <v>0</v>
      </c>
      <c r="AQ27" s="22">
        <f>-'Cpte Résultat'!AO40</f>
        <v>0</v>
      </c>
      <c r="AR27" s="22">
        <f>-'Cpte Résultat'!AP40</f>
        <v>0</v>
      </c>
      <c r="AS27" s="139">
        <f t="shared" si="4"/>
        <v>0</v>
      </c>
    </row>
    <row r="28" spans="1:45" ht="15" x14ac:dyDescent="0.25">
      <c r="A28" s="14" t="s">
        <v>80</v>
      </c>
      <c r="B28" s="21"/>
      <c r="C28" s="22"/>
      <c r="D28" s="22"/>
      <c r="E28" s="22">
        <f>-'Cpte Résultat'!E41</f>
        <v>-120</v>
      </c>
      <c r="F28" s="22">
        <v>-120</v>
      </c>
      <c r="G28" s="22">
        <v>-120</v>
      </c>
      <c r="H28" s="22">
        <v>-120</v>
      </c>
      <c r="I28" s="22">
        <v>-120</v>
      </c>
      <c r="J28" s="22">
        <v>-120</v>
      </c>
      <c r="K28" s="22">
        <v>-120</v>
      </c>
      <c r="L28" s="22">
        <v>-120</v>
      </c>
      <c r="M28" s="22">
        <v>-120</v>
      </c>
      <c r="N28" s="22">
        <v>-120</v>
      </c>
      <c r="O28" s="133">
        <f t="shared" si="23"/>
        <v>-1200</v>
      </c>
      <c r="P28" s="14" t="s">
        <v>80</v>
      </c>
      <c r="Q28" s="21"/>
      <c r="R28" s="22">
        <f>-'Cpte Résultat'!P41</f>
        <v>0</v>
      </c>
      <c r="S28" s="22">
        <f>-'Cpte Résultat'!Q41</f>
        <v>0</v>
      </c>
      <c r="T28" s="22">
        <f>-'Cpte Résultat'!R41</f>
        <v>0</v>
      </c>
      <c r="U28" s="22">
        <f>-'Cpte Résultat'!S41</f>
        <v>0</v>
      </c>
      <c r="V28" s="22">
        <f>-'Cpte Résultat'!T41</f>
        <v>0</v>
      </c>
      <c r="W28" s="22">
        <f>-'Cpte Résultat'!U41</f>
        <v>0</v>
      </c>
      <c r="X28" s="22">
        <f>-'Cpte Résultat'!V41</f>
        <v>0</v>
      </c>
      <c r="Y28" s="22">
        <f>-'Cpte Résultat'!W41</f>
        <v>0</v>
      </c>
      <c r="Z28" s="22">
        <f>-'Cpte Résultat'!X41</f>
        <v>0</v>
      </c>
      <c r="AA28" s="22">
        <f>-'Cpte Résultat'!Y41</f>
        <v>0</v>
      </c>
      <c r="AB28" s="22">
        <f>-'Cpte Résultat'!Z41</f>
        <v>0</v>
      </c>
      <c r="AC28" s="22">
        <f>-'Cpte Résultat'!AA41</f>
        <v>0</v>
      </c>
      <c r="AD28" s="133">
        <f t="shared" si="2"/>
        <v>0</v>
      </c>
      <c r="AE28" s="14" t="s">
        <v>80</v>
      </c>
      <c r="AF28" s="21"/>
      <c r="AG28" s="22">
        <f>-'Cpte Résultat'!AE41</f>
        <v>0</v>
      </c>
      <c r="AH28" s="22">
        <f>-'Cpte Résultat'!AF41</f>
        <v>0</v>
      </c>
      <c r="AI28" s="22">
        <f>-'Cpte Résultat'!AG41</f>
        <v>0</v>
      </c>
      <c r="AJ28" s="22">
        <f>-'Cpte Résultat'!AH41</f>
        <v>0</v>
      </c>
      <c r="AK28" s="22">
        <f>-'Cpte Résultat'!AI41</f>
        <v>0</v>
      </c>
      <c r="AL28" s="22">
        <f>-'Cpte Résultat'!AJ41</f>
        <v>0</v>
      </c>
      <c r="AM28" s="22">
        <f>-'Cpte Résultat'!AK41</f>
        <v>0</v>
      </c>
      <c r="AN28" s="22">
        <f>-'Cpte Résultat'!AL41</f>
        <v>0</v>
      </c>
      <c r="AO28" s="22">
        <f>-'Cpte Résultat'!AM41</f>
        <v>0</v>
      </c>
      <c r="AP28" s="22">
        <f>-'Cpte Résultat'!AN41</f>
        <v>0</v>
      </c>
      <c r="AQ28" s="22">
        <f>-'Cpte Résultat'!AO41</f>
        <v>0</v>
      </c>
      <c r="AR28" s="22">
        <f>-'Cpte Résultat'!AP41</f>
        <v>0</v>
      </c>
      <c r="AS28" s="139">
        <f t="shared" si="4"/>
        <v>0</v>
      </c>
    </row>
    <row r="29" spans="1:45" ht="15" x14ac:dyDescent="0.25">
      <c r="A29" s="14" t="s">
        <v>81</v>
      </c>
      <c r="B29" s="21"/>
      <c r="C29" s="22"/>
      <c r="D29" s="22"/>
      <c r="E29" s="22">
        <f>-'Cpte Résultat'!E42</f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133">
        <f t="shared" si="23"/>
        <v>0</v>
      </c>
      <c r="P29" s="14" t="s">
        <v>81</v>
      </c>
      <c r="Q29" s="21"/>
      <c r="R29" s="22">
        <f>-'Cpte Résultat'!P42</f>
        <v>0</v>
      </c>
      <c r="S29" s="22">
        <f>-'Cpte Résultat'!Q42</f>
        <v>0</v>
      </c>
      <c r="T29" s="22">
        <f>-'Cpte Résultat'!R42</f>
        <v>0</v>
      </c>
      <c r="U29" s="22">
        <f>-'Cpte Résultat'!S42</f>
        <v>0</v>
      </c>
      <c r="V29" s="22">
        <f>-'Cpte Résultat'!T42</f>
        <v>0</v>
      </c>
      <c r="W29" s="22">
        <f>-'Cpte Résultat'!U42</f>
        <v>0</v>
      </c>
      <c r="X29" s="22">
        <f>-'Cpte Résultat'!V42</f>
        <v>0</v>
      </c>
      <c r="Y29" s="22">
        <f>-'Cpte Résultat'!W42</f>
        <v>0</v>
      </c>
      <c r="Z29" s="22">
        <f>-'Cpte Résultat'!X42</f>
        <v>0</v>
      </c>
      <c r="AA29" s="22">
        <f>-'Cpte Résultat'!Y42</f>
        <v>0</v>
      </c>
      <c r="AB29" s="22">
        <f>-'Cpte Résultat'!Z42</f>
        <v>0</v>
      </c>
      <c r="AC29" s="22">
        <f>-'Cpte Résultat'!AA42</f>
        <v>0</v>
      </c>
      <c r="AD29" s="133">
        <f t="shared" si="2"/>
        <v>0</v>
      </c>
      <c r="AE29" s="14" t="s">
        <v>81</v>
      </c>
      <c r="AF29" s="21"/>
      <c r="AG29" s="22">
        <f>-'Cpte Résultat'!AE42</f>
        <v>0</v>
      </c>
      <c r="AH29" s="22">
        <f>-'Cpte Résultat'!AF42</f>
        <v>0</v>
      </c>
      <c r="AI29" s="22">
        <f>-'Cpte Résultat'!AG42</f>
        <v>0</v>
      </c>
      <c r="AJ29" s="22">
        <f>-'Cpte Résultat'!AH42</f>
        <v>0</v>
      </c>
      <c r="AK29" s="22">
        <f>-'Cpte Résultat'!AI42</f>
        <v>0</v>
      </c>
      <c r="AL29" s="22">
        <f>-'Cpte Résultat'!AJ42</f>
        <v>0</v>
      </c>
      <c r="AM29" s="22">
        <f>-'Cpte Résultat'!AK42</f>
        <v>0</v>
      </c>
      <c r="AN29" s="22">
        <f>-'Cpte Résultat'!AL42</f>
        <v>0</v>
      </c>
      <c r="AO29" s="22">
        <f>-'Cpte Résultat'!AM42</f>
        <v>0</v>
      </c>
      <c r="AP29" s="22">
        <f>-'Cpte Résultat'!AN42</f>
        <v>0</v>
      </c>
      <c r="AQ29" s="22">
        <f>-'Cpte Résultat'!AO42</f>
        <v>0</v>
      </c>
      <c r="AR29" s="22">
        <f>-'Cpte Résultat'!AP42</f>
        <v>0</v>
      </c>
      <c r="AS29" s="139">
        <f t="shared" si="4"/>
        <v>0</v>
      </c>
    </row>
    <row r="30" spans="1:45" ht="15" x14ac:dyDescent="0.25">
      <c r="A30" s="14" t="s">
        <v>82</v>
      </c>
      <c r="B30" s="21"/>
      <c r="C30" s="22"/>
      <c r="D30" s="22"/>
      <c r="E30" s="22">
        <f>-'Cpte Résultat'!E43</f>
        <v>0</v>
      </c>
      <c r="F30" s="22">
        <v>0</v>
      </c>
      <c r="G30" s="22">
        <v>0</v>
      </c>
      <c r="H30" s="22">
        <v>-160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133">
        <f t="shared" si="23"/>
        <v>-160</v>
      </c>
      <c r="P30" s="14" t="s">
        <v>82</v>
      </c>
      <c r="Q30" s="21"/>
      <c r="R30" s="22">
        <f>-'Cpte Résultat'!P43</f>
        <v>0</v>
      </c>
      <c r="S30" s="22">
        <f>-'Cpte Résultat'!Q43</f>
        <v>0</v>
      </c>
      <c r="T30" s="22">
        <f>-'Cpte Résultat'!R43</f>
        <v>0</v>
      </c>
      <c r="U30" s="22">
        <f>-'Cpte Résultat'!S43</f>
        <v>0</v>
      </c>
      <c r="V30" s="22">
        <f>-'Cpte Résultat'!T43</f>
        <v>0</v>
      </c>
      <c r="W30" s="22">
        <f>-'Cpte Résultat'!U43</f>
        <v>-160</v>
      </c>
      <c r="X30" s="22">
        <f>-'Cpte Résultat'!V43</f>
        <v>0</v>
      </c>
      <c r="Y30" s="22">
        <f>-'Cpte Résultat'!W43</f>
        <v>0</v>
      </c>
      <c r="Z30" s="22">
        <f>-'Cpte Résultat'!X43</f>
        <v>0</v>
      </c>
      <c r="AA30" s="22">
        <f>-'Cpte Résultat'!Y43</f>
        <v>0</v>
      </c>
      <c r="AB30" s="22">
        <f>-'Cpte Résultat'!Z43</f>
        <v>0</v>
      </c>
      <c r="AC30" s="22">
        <f>-'Cpte Résultat'!AA43</f>
        <v>0</v>
      </c>
      <c r="AD30" s="133">
        <f t="shared" si="2"/>
        <v>-160</v>
      </c>
      <c r="AE30" s="14" t="s">
        <v>82</v>
      </c>
      <c r="AF30" s="21"/>
      <c r="AG30" s="22">
        <f>-'Cpte Résultat'!AE43</f>
        <v>0</v>
      </c>
      <c r="AH30" s="22">
        <f>-'Cpte Résultat'!AF43</f>
        <v>0</v>
      </c>
      <c r="AI30" s="22">
        <f>-'Cpte Résultat'!AG43</f>
        <v>0</v>
      </c>
      <c r="AJ30" s="22">
        <f>-'Cpte Résultat'!AH43</f>
        <v>-160</v>
      </c>
      <c r="AK30" s="22">
        <f>-'Cpte Résultat'!AI43</f>
        <v>0</v>
      </c>
      <c r="AL30" s="22">
        <f>-'Cpte Résultat'!AJ43</f>
        <v>0</v>
      </c>
      <c r="AM30" s="22">
        <f>-'Cpte Résultat'!AK43</f>
        <v>0</v>
      </c>
      <c r="AN30" s="22">
        <f>-'Cpte Résultat'!AL43</f>
        <v>0</v>
      </c>
      <c r="AO30" s="22">
        <f>-'Cpte Résultat'!AM43</f>
        <v>0</v>
      </c>
      <c r="AP30" s="22">
        <f>-'Cpte Résultat'!AN43</f>
        <v>0</v>
      </c>
      <c r="AQ30" s="22">
        <f>-'Cpte Résultat'!AO43</f>
        <v>-160</v>
      </c>
      <c r="AR30" s="22">
        <f>-'Cpte Résultat'!AP43</f>
        <v>0</v>
      </c>
      <c r="AS30" s="139">
        <f t="shared" si="4"/>
        <v>-320</v>
      </c>
    </row>
    <row r="31" spans="1:45" ht="15" x14ac:dyDescent="0.25">
      <c r="A31" s="14" t="s">
        <v>83</v>
      </c>
      <c r="B31" s="21"/>
      <c r="C31" s="22"/>
      <c r="D31" s="22"/>
      <c r="E31" s="22">
        <f>-'Cpte Résultat'!D47</f>
        <v>-600</v>
      </c>
      <c r="F31" s="22">
        <f>-'Cpte Résultat'!E47</f>
        <v>-600</v>
      </c>
      <c r="G31" s="22">
        <f>-'Cpte Résultat'!F47</f>
        <v>-600</v>
      </c>
      <c r="H31" s="22">
        <f>-'Cpte Résultat'!G47</f>
        <v>-600</v>
      </c>
      <c r="I31" s="22">
        <f>-'Cpte Résultat'!H47</f>
        <v>-600</v>
      </c>
      <c r="J31" s="22">
        <f>-'Cpte Résultat'!I47</f>
        <v>-600</v>
      </c>
      <c r="K31" s="22">
        <f>-'Cpte Résultat'!J47</f>
        <v>-600</v>
      </c>
      <c r="L31" s="22">
        <f>-'Cpte Résultat'!K47</f>
        <v>-600</v>
      </c>
      <c r="M31" s="22">
        <f>-'Cpte Résultat'!L47</f>
        <v>-600</v>
      </c>
      <c r="N31" s="22">
        <f>-'Cpte Résultat'!M47</f>
        <v>-600</v>
      </c>
      <c r="O31" s="133">
        <f t="shared" si="23"/>
        <v>-6000</v>
      </c>
      <c r="P31" s="14" t="s">
        <v>83</v>
      </c>
      <c r="Q31" s="21"/>
      <c r="R31" s="22">
        <f>-'Cpte Résultat'!N47</f>
        <v>-600</v>
      </c>
      <c r="S31" s="22">
        <f>-'Cpte Résultat'!P47</f>
        <v>-600</v>
      </c>
      <c r="T31" s="22">
        <f>-'Cpte Résultat'!Q47</f>
        <v>-600</v>
      </c>
      <c r="U31" s="22">
        <f>-'Cpte Résultat'!R47</f>
        <v>-600</v>
      </c>
      <c r="V31" s="22">
        <f>-'Cpte Résultat'!S47</f>
        <v>-600</v>
      </c>
      <c r="W31" s="22">
        <f>-'Cpte Résultat'!T47</f>
        <v>-600</v>
      </c>
      <c r="X31" s="22">
        <f>-'Cpte Résultat'!U47</f>
        <v>-600</v>
      </c>
      <c r="Y31" s="22">
        <f>-'Cpte Résultat'!V47</f>
        <v>-600</v>
      </c>
      <c r="Z31" s="22">
        <f>-'Cpte Résultat'!W47</f>
        <v>-600</v>
      </c>
      <c r="AA31" s="22">
        <f>-'Cpte Résultat'!X47</f>
        <v>-600</v>
      </c>
      <c r="AB31" s="22">
        <f>-'Cpte Résultat'!Y47</f>
        <v>-600</v>
      </c>
      <c r="AC31" s="22">
        <f>-'Cpte Résultat'!Z47</f>
        <v>-600</v>
      </c>
      <c r="AD31" s="133">
        <f t="shared" si="2"/>
        <v>-7200</v>
      </c>
      <c r="AE31" s="14" t="s">
        <v>83</v>
      </c>
      <c r="AF31" s="21"/>
      <c r="AG31" s="22">
        <f>-'Cpte Résultat'!AA47</f>
        <v>-600</v>
      </c>
      <c r="AH31" s="22">
        <f>-'Cpte Résultat'!AB47</f>
        <v>-7200</v>
      </c>
      <c r="AI31" s="22">
        <f>-'Cpte Résultat'!AC47</f>
        <v>-600</v>
      </c>
      <c r="AJ31" s="22">
        <f>-'Cpte Résultat'!AD47</f>
        <v>-600</v>
      </c>
      <c r="AK31" s="22">
        <f>-'Cpte Résultat'!AE47</f>
        <v>-600</v>
      </c>
      <c r="AL31" s="22">
        <f>-'Cpte Résultat'!AF47</f>
        <v>-600</v>
      </c>
      <c r="AM31" s="22">
        <f>-'Cpte Résultat'!AG47</f>
        <v>-600</v>
      </c>
      <c r="AN31" s="22">
        <f>-'Cpte Résultat'!AH47</f>
        <v>-600</v>
      </c>
      <c r="AO31" s="22">
        <f>-'Cpte Résultat'!AI47</f>
        <v>-600</v>
      </c>
      <c r="AP31" s="22">
        <f>-'Cpte Résultat'!AJ47</f>
        <v>-600</v>
      </c>
      <c r="AQ31" s="22">
        <f>-'Cpte Résultat'!AK47</f>
        <v>-600</v>
      </c>
      <c r="AR31" s="22">
        <f>-'Cpte Résultat'!AL47</f>
        <v>-600</v>
      </c>
      <c r="AS31" s="139">
        <f t="shared" si="4"/>
        <v>-13800</v>
      </c>
    </row>
    <row r="32" spans="1:45" ht="15" x14ac:dyDescent="0.25">
      <c r="A32" s="14" t="s">
        <v>84</v>
      </c>
      <c r="B32" s="21"/>
      <c r="C32" s="22"/>
      <c r="D32" s="22"/>
      <c r="E32" s="22">
        <f>-'Cpte Résultat'!D48</f>
        <v>-8.3333333333333339</v>
      </c>
      <c r="F32" s="22">
        <f>-'Cpte Résultat'!E48</f>
        <v>-8.3333333333333339</v>
      </c>
      <c r="G32" s="22">
        <f>-'Cpte Résultat'!F48</f>
        <v>-8.3333333333333339</v>
      </c>
      <c r="H32" s="22">
        <f>-'Cpte Résultat'!G48</f>
        <v>-8.3333333333333339</v>
      </c>
      <c r="I32" s="22">
        <f>-'Cpte Résultat'!H48</f>
        <v>-8.3333333333333339</v>
      </c>
      <c r="J32" s="22">
        <f>-'Cpte Résultat'!I48</f>
        <v>-8.3333333333333339</v>
      </c>
      <c r="K32" s="22">
        <f>-'Cpte Résultat'!J48</f>
        <v>-8.3333333333333339</v>
      </c>
      <c r="L32" s="22">
        <f>-'Cpte Résultat'!K48</f>
        <v>-8.3333333333333339</v>
      </c>
      <c r="M32" s="22">
        <f>-'Cpte Résultat'!L48</f>
        <v>-8.3333333333333339</v>
      </c>
      <c r="N32" s="22">
        <f>-'Cpte Résultat'!M48</f>
        <v>-8.3333333333333339</v>
      </c>
      <c r="O32" s="133">
        <f t="shared" si="23"/>
        <v>-83.333333333333329</v>
      </c>
      <c r="P32" s="14" t="s">
        <v>84</v>
      </c>
      <c r="Q32" s="21"/>
      <c r="R32" s="22">
        <f>-'Cpte Résultat'!N48</f>
        <v>-8.3333333333333339</v>
      </c>
      <c r="S32" s="22">
        <f>-'Cpte Résultat'!P48</f>
        <v>-8.3333333333333339</v>
      </c>
      <c r="T32" s="22">
        <f>-'Cpte Résultat'!Q48</f>
        <v>-8.3333333333333339</v>
      </c>
      <c r="U32" s="22">
        <f>-'Cpte Résultat'!R48</f>
        <v>-8.3333333333333339</v>
      </c>
      <c r="V32" s="22">
        <f>-'Cpte Résultat'!S48</f>
        <v>-8.3333333333333339</v>
      </c>
      <c r="W32" s="22">
        <f>-'Cpte Résultat'!T48</f>
        <v>-8.3333333333333339</v>
      </c>
      <c r="X32" s="22">
        <f>-'Cpte Résultat'!U48</f>
        <v>-8.3333333333333339</v>
      </c>
      <c r="Y32" s="22">
        <f>-'Cpte Résultat'!V48</f>
        <v>-8.3333333333333339</v>
      </c>
      <c r="Z32" s="22">
        <f>-'Cpte Résultat'!W48</f>
        <v>-8.3333333333333339</v>
      </c>
      <c r="AA32" s="22">
        <f>-'Cpte Résultat'!X48</f>
        <v>-8.3333333333333339</v>
      </c>
      <c r="AB32" s="22">
        <f>-'Cpte Résultat'!Y48</f>
        <v>-8.3333333333333339</v>
      </c>
      <c r="AC32" s="22">
        <f>-'Cpte Résultat'!Z48</f>
        <v>-8.3333333333333339</v>
      </c>
      <c r="AD32" s="133">
        <f t="shared" si="2"/>
        <v>-99.999999999999986</v>
      </c>
      <c r="AE32" s="14" t="s">
        <v>84</v>
      </c>
      <c r="AF32" s="21"/>
      <c r="AG32" s="22">
        <f>-'Cpte Résultat'!AA48</f>
        <v>-8.3333333333333339</v>
      </c>
      <c r="AH32" s="22">
        <f>-'Cpte Résultat'!AB48</f>
        <v>-99.999999999999986</v>
      </c>
      <c r="AI32" s="22">
        <f>-'Cpte Résultat'!AC48</f>
        <v>-8.3333333333333339</v>
      </c>
      <c r="AJ32" s="22">
        <f>-'Cpte Résultat'!AD48</f>
        <v>-8.3333333333333339</v>
      </c>
      <c r="AK32" s="22">
        <f>-'Cpte Résultat'!AE48</f>
        <v>-8.3333333333333339</v>
      </c>
      <c r="AL32" s="22">
        <f>-'Cpte Résultat'!AF48</f>
        <v>-8.3333333333333339</v>
      </c>
      <c r="AM32" s="22">
        <f>-'Cpte Résultat'!AG48</f>
        <v>-8.3333333333333339</v>
      </c>
      <c r="AN32" s="22">
        <f>-'Cpte Résultat'!AH48</f>
        <v>-8.3333333333333339</v>
      </c>
      <c r="AO32" s="22">
        <f>-'Cpte Résultat'!AI48</f>
        <v>-8.3333333333333339</v>
      </c>
      <c r="AP32" s="22">
        <f>-'Cpte Résultat'!AJ48</f>
        <v>-8.3333333333333339</v>
      </c>
      <c r="AQ32" s="22">
        <f>-'Cpte Résultat'!AK48</f>
        <v>-8.3333333333333339</v>
      </c>
      <c r="AR32" s="22">
        <f>-'Cpte Résultat'!AL48</f>
        <v>-8.3333333333333339</v>
      </c>
      <c r="AS32" s="139">
        <f t="shared" si="4"/>
        <v>-191.66666666666671</v>
      </c>
    </row>
    <row r="33" spans="1:45" ht="15" x14ac:dyDescent="0.25">
      <c r="A33" s="14" t="s">
        <v>85</v>
      </c>
      <c r="B33" s="21"/>
      <c r="C33" s="22"/>
      <c r="D33" s="22"/>
      <c r="E33" s="22">
        <f>-'Cpte Résultat'!D49</f>
        <v>-40</v>
      </c>
      <c r="F33" s="22">
        <f>-'Cpte Résultat'!E49</f>
        <v>-40</v>
      </c>
      <c r="G33" s="22">
        <f>-'Cpte Résultat'!F49</f>
        <v>-40</v>
      </c>
      <c r="H33" s="22">
        <f>-'Cpte Résultat'!G49</f>
        <v>-40</v>
      </c>
      <c r="I33" s="22">
        <f>-'Cpte Résultat'!H49</f>
        <v>-40</v>
      </c>
      <c r="J33" s="22">
        <f>-'Cpte Résultat'!I49</f>
        <v>-40</v>
      </c>
      <c r="K33" s="22">
        <f>-'Cpte Résultat'!J49</f>
        <v>-40</v>
      </c>
      <c r="L33" s="22">
        <f>-'Cpte Résultat'!K49</f>
        <v>-40</v>
      </c>
      <c r="M33" s="22">
        <f>-'Cpte Résultat'!L49</f>
        <v>-40</v>
      </c>
      <c r="N33" s="22">
        <f>-'Cpte Résultat'!M49</f>
        <v>-40</v>
      </c>
      <c r="O33" s="133">
        <f t="shared" si="23"/>
        <v>-400</v>
      </c>
      <c r="P33" s="14" t="s">
        <v>85</v>
      </c>
      <c r="Q33" s="21"/>
      <c r="R33" s="22">
        <f>-'Cpte Résultat'!N49</f>
        <v>-40</v>
      </c>
      <c r="S33" s="22">
        <f>-'Cpte Résultat'!P49</f>
        <v>-40</v>
      </c>
      <c r="T33" s="22">
        <f>-'Cpte Résultat'!Q49</f>
        <v>-40</v>
      </c>
      <c r="U33" s="22">
        <f>-'Cpte Résultat'!R49</f>
        <v>-40</v>
      </c>
      <c r="V33" s="22">
        <f>-'Cpte Résultat'!S49</f>
        <v>-40</v>
      </c>
      <c r="W33" s="22">
        <f>-'Cpte Résultat'!T49</f>
        <v>-40</v>
      </c>
      <c r="X33" s="22">
        <f>-'Cpte Résultat'!U49</f>
        <v>-40</v>
      </c>
      <c r="Y33" s="22">
        <f>-'Cpte Résultat'!V49</f>
        <v>-40</v>
      </c>
      <c r="Z33" s="22">
        <f>-'Cpte Résultat'!W49</f>
        <v>-40</v>
      </c>
      <c r="AA33" s="22">
        <f>-'Cpte Résultat'!X49</f>
        <v>-40</v>
      </c>
      <c r="AB33" s="22">
        <f>-'Cpte Résultat'!Y49</f>
        <v>-40</v>
      </c>
      <c r="AC33" s="22">
        <f>-'Cpte Résultat'!Z49</f>
        <v>-40</v>
      </c>
      <c r="AD33" s="133">
        <f t="shared" si="2"/>
        <v>-480</v>
      </c>
      <c r="AE33" s="14" t="s">
        <v>85</v>
      </c>
      <c r="AF33" s="21"/>
      <c r="AG33" s="22">
        <f>-'Cpte Résultat'!AA49</f>
        <v>-40</v>
      </c>
      <c r="AH33" s="22">
        <f>-'Cpte Résultat'!AB49</f>
        <v>-480</v>
      </c>
      <c r="AI33" s="22">
        <f>-'Cpte Résultat'!AC49</f>
        <v>-40</v>
      </c>
      <c r="AJ33" s="22">
        <f>-'Cpte Résultat'!AD49</f>
        <v>-40</v>
      </c>
      <c r="AK33" s="22">
        <f>-'Cpte Résultat'!AE49</f>
        <v>-40</v>
      </c>
      <c r="AL33" s="22">
        <f>-'Cpte Résultat'!AF49</f>
        <v>-40</v>
      </c>
      <c r="AM33" s="22">
        <f>-'Cpte Résultat'!AG49</f>
        <v>-40</v>
      </c>
      <c r="AN33" s="22">
        <f>-'Cpte Résultat'!AH49</f>
        <v>-40</v>
      </c>
      <c r="AO33" s="22">
        <f>-'Cpte Résultat'!AI49</f>
        <v>-40</v>
      </c>
      <c r="AP33" s="22">
        <f>-'Cpte Résultat'!AJ49</f>
        <v>-40</v>
      </c>
      <c r="AQ33" s="22">
        <f>-'Cpte Résultat'!AK49</f>
        <v>-40</v>
      </c>
      <c r="AR33" s="22">
        <f>-'Cpte Résultat'!AL49</f>
        <v>-40</v>
      </c>
      <c r="AS33" s="139">
        <f t="shared" si="4"/>
        <v>-920</v>
      </c>
    </row>
    <row r="34" spans="1:45" ht="15" x14ac:dyDescent="0.25">
      <c r="A34" s="14" t="s">
        <v>86</v>
      </c>
      <c r="B34" s="21"/>
      <c r="C34" s="22"/>
      <c r="D34" s="22"/>
      <c r="E34" s="22">
        <f>-'Cpte Résultat'!D50</f>
        <v>-150</v>
      </c>
      <c r="F34" s="22">
        <f>-'Cpte Résultat'!E50</f>
        <v>-150</v>
      </c>
      <c r="G34" s="22">
        <f>-'Cpte Résultat'!F50</f>
        <v>-150</v>
      </c>
      <c r="H34" s="22">
        <f>-'Cpte Résultat'!G50</f>
        <v>-150</v>
      </c>
      <c r="I34" s="22">
        <f>-'Cpte Résultat'!H50</f>
        <v>-150</v>
      </c>
      <c r="J34" s="22">
        <f>-'Cpte Résultat'!I50</f>
        <v>-150</v>
      </c>
      <c r="K34" s="22">
        <f>-'Cpte Résultat'!J50</f>
        <v>-150</v>
      </c>
      <c r="L34" s="22">
        <f>-'Cpte Résultat'!K50</f>
        <v>-150</v>
      </c>
      <c r="M34" s="22">
        <f>-'Cpte Résultat'!L50</f>
        <v>-150</v>
      </c>
      <c r="N34" s="22">
        <f>-'Cpte Résultat'!M50</f>
        <v>-150</v>
      </c>
      <c r="O34" s="133">
        <f t="shared" si="23"/>
        <v>-1500</v>
      </c>
      <c r="P34" s="14" t="s">
        <v>86</v>
      </c>
      <c r="Q34" s="21"/>
      <c r="R34" s="22">
        <f>-'Cpte Résultat'!N50</f>
        <v>-150</v>
      </c>
      <c r="S34" s="22">
        <f>-'Cpte Résultat'!P50</f>
        <v>-208.33333333333334</v>
      </c>
      <c r="T34" s="22">
        <f>-'Cpte Résultat'!Q50</f>
        <v>-208.33333333333334</v>
      </c>
      <c r="U34" s="22">
        <f>-'Cpte Résultat'!R50</f>
        <v>-208.33333333333334</v>
      </c>
      <c r="V34" s="22">
        <f>-'Cpte Résultat'!S50</f>
        <v>-208.33333333333334</v>
      </c>
      <c r="W34" s="22">
        <f>-'Cpte Résultat'!T50</f>
        <v>-208.33333333333334</v>
      </c>
      <c r="X34" s="22">
        <f>-'Cpte Résultat'!U50</f>
        <v>-208.33333333333334</v>
      </c>
      <c r="Y34" s="22">
        <f>-'Cpte Résultat'!V50</f>
        <v>-208.33333333333334</v>
      </c>
      <c r="Z34" s="22">
        <f>-'Cpte Résultat'!W50</f>
        <v>-208.33333333333334</v>
      </c>
      <c r="AA34" s="22">
        <f>-'Cpte Résultat'!X50</f>
        <v>-208.33333333333334</v>
      </c>
      <c r="AB34" s="22">
        <f>-'Cpte Résultat'!Y50</f>
        <v>-208.33333333333334</v>
      </c>
      <c r="AC34" s="22">
        <f>-'Cpte Résultat'!Z50</f>
        <v>-208.33333333333334</v>
      </c>
      <c r="AD34" s="133">
        <f t="shared" si="2"/>
        <v>-2441.6666666666665</v>
      </c>
      <c r="AE34" s="14" t="s">
        <v>86</v>
      </c>
      <c r="AF34" s="21"/>
      <c r="AG34" s="22">
        <f>-'Cpte Résultat'!AA50</f>
        <v>-208.33333333333334</v>
      </c>
      <c r="AH34" s="22">
        <f>-'Cpte Résultat'!AB50</f>
        <v>-2500</v>
      </c>
      <c r="AI34" s="22">
        <f>-'Cpte Résultat'!AC50</f>
        <v>-250</v>
      </c>
      <c r="AJ34" s="22">
        <f>-'Cpte Résultat'!AD50</f>
        <v>-250</v>
      </c>
      <c r="AK34" s="22">
        <f>-'Cpte Résultat'!AE50</f>
        <v>-250</v>
      </c>
      <c r="AL34" s="22">
        <f>-'Cpte Résultat'!AF50</f>
        <v>-250</v>
      </c>
      <c r="AM34" s="22">
        <f>-'Cpte Résultat'!AG50</f>
        <v>-250</v>
      </c>
      <c r="AN34" s="22">
        <f>-'Cpte Résultat'!AH50</f>
        <v>-250</v>
      </c>
      <c r="AO34" s="22">
        <f>-'Cpte Résultat'!AI50</f>
        <v>-250</v>
      </c>
      <c r="AP34" s="22">
        <f>-'Cpte Résultat'!AJ50</f>
        <v>-250</v>
      </c>
      <c r="AQ34" s="22">
        <f>-'Cpte Résultat'!AK50</f>
        <v>-250</v>
      </c>
      <c r="AR34" s="22">
        <f>-'Cpte Résultat'!AL50</f>
        <v>-250</v>
      </c>
      <c r="AS34" s="139">
        <f t="shared" si="4"/>
        <v>-5208.3333333333339</v>
      </c>
    </row>
    <row r="35" spans="1:45" ht="15" x14ac:dyDescent="0.25">
      <c r="A35" s="14" t="s">
        <v>87</v>
      </c>
      <c r="B35" s="21"/>
      <c r="C35" s="22"/>
      <c r="D35" s="22"/>
      <c r="E35" s="22">
        <f>-'Cpte Résultat'!D51</f>
        <v>0</v>
      </c>
      <c r="F35" s="22">
        <f>-'Cpte Résultat'!E51</f>
        <v>0</v>
      </c>
      <c r="G35" s="22">
        <f>-'Cpte Résultat'!F51</f>
        <v>0</v>
      </c>
      <c r="H35" s="22">
        <f>-'Cpte Résultat'!G51</f>
        <v>0</v>
      </c>
      <c r="I35" s="22">
        <f>-'Cpte Résultat'!H51</f>
        <v>0</v>
      </c>
      <c r="J35" s="22">
        <f>-'Cpte Résultat'!I51</f>
        <v>0</v>
      </c>
      <c r="K35" s="22">
        <f>-'Cpte Résultat'!J51</f>
        <v>0</v>
      </c>
      <c r="L35" s="22">
        <f>-'Cpte Résultat'!K51</f>
        <v>0</v>
      </c>
      <c r="M35" s="22">
        <f>-'Cpte Résultat'!L51</f>
        <v>0</v>
      </c>
      <c r="N35" s="22">
        <f>-'Cpte Résultat'!M51</f>
        <v>0</v>
      </c>
      <c r="O35" s="133">
        <f t="shared" si="23"/>
        <v>0</v>
      </c>
      <c r="P35" s="14" t="s">
        <v>87</v>
      </c>
      <c r="Q35" s="21"/>
      <c r="R35" s="22">
        <f>-'Cpte Résultat'!N51</f>
        <v>0</v>
      </c>
      <c r="S35" s="22">
        <f>-'Cpte Résultat'!P51</f>
        <v>-1125</v>
      </c>
      <c r="T35" s="22">
        <f>-'Cpte Résultat'!Q51</f>
        <v>-1125</v>
      </c>
      <c r="U35" s="22">
        <f>-'Cpte Résultat'!R51</f>
        <v>-1125</v>
      </c>
      <c r="V35" s="22">
        <f>-'Cpte Résultat'!S51</f>
        <v>-1125</v>
      </c>
      <c r="W35" s="22">
        <f>-'Cpte Résultat'!T51</f>
        <v>-1125</v>
      </c>
      <c r="X35" s="22">
        <f>-'Cpte Résultat'!U51</f>
        <v>-1125</v>
      </c>
      <c r="Y35" s="22">
        <f>-'Cpte Résultat'!V51</f>
        <v>-1125</v>
      </c>
      <c r="Z35" s="22">
        <f>-'Cpte Résultat'!W51</f>
        <v>-1125</v>
      </c>
      <c r="AA35" s="22">
        <f>-'Cpte Résultat'!X51</f>
        <v>-1125</v>
      </c>
      <c r="AB35" s="22">
        <f>-'Cpte Résultat'!Y51</f>
        <v>-1125</v>
      </c>
      <c r="AC35" s="22">
        <f>-'Cpte Résultat'!Z51</f>
        <v>-1125</v>
      </c>
      <c r="AD35" s="133">
        <f t="shared" si="2"/>
        <v>-12375</v>
      </c>
      <c r="AE35" s="14" t="s">
        <v>87</v>
      </c>
      <c r="AF35" s="21"/>
      <c r="AG35" s="22">
        <f>-'Cpte Résultat'!AA51</f>
        <v>-1125</v>
      </c>
      <c r="AH35" s="22">
        <f>-'Cpte Résultat'!AB51</f>
        <v>-13500</v>
      </c>
      <c r="AI35" s="22">
        <f>-'Cpte Résultat'!AC51</f>
        <v>-2500</v>
      </c>
      <c r="AJ35" s="22">
        <f>-'Cpte Résultat'!AD51</f>
        <v>-2500</v>
      </c>
      <c r="AK35" s="22">
        <f>-'Cpte Résultat'!AE51</f>
        <v>-2500</v>
      </c>
      <c r="AL35" s="22">
        <f>-'Cpte Résultat'!AF51</f>
        <v>-2500</v>
      </c>
      <c r="AM35" s="22">
        <f>-'Cpte Résultat'!AG51</f>
        <v>-2500</v>
      </c>
      <c r="AN35" s="22">
        <f>-'Cpte Résultat'!AH51</f>
        <v>-2500</v>
      </c>
      <c r="AO35" s="22">
        <f>-'Cpte Résultat'!AI51</f>
        <v>-2500</v>
      </c>
      <c r="AP35" s="22">
        <f>-'Cpte Résultat'!AJ51</f>
        <v>-2500</v>
      </c>
      <c r="AQ35" s="22">
        <f>-'Cpte Résultat'!AK51</f>
        <v>-2500</v>
      </c>
      <c r="AR35" s="22">
        <f>-'Cpte Résultat'!AL51</f>
        <v>-2500</v>
      </c>
      <c r="AS35" s="139">
        <f t="shared" si="4"/>
        <v>-39625</v>
      </c>
    </row>
    <row r="36" spans="1:45" ht="15" x14ac:dyDescent="0.25">
      <c r="A36" s="14" t="s">
        <v>88</v>
      </c>
      <c r="B36" s="21"/>
      <c r="C36" s="22"/>
      <c r="D36" s="22"/>
      <c r="E36" s="22">
        <f>-'Cpte Résultat'!D52</f>
        <v>-1360</v>
      </c>
      <c r="F36" s="22">
        <f>-'Cpte Résultat'!E52</f>
        <v>-1360</v>
      </c>
      <c r="G36" s="22">
        <f>-'Cpte Résultat'!F52</f>
        <v>-1360</v>
      </c>
      <c r="H36" s="22">
        <f>-'Cpte Résultat'!G52</f>
        <v>-1360</v>
      </c>
      <c r="I36" s="22">
        <f>-'Cpte Résultat'!H52</f>
        <v>-1360</v>
      </c>
      <c r="J36" s="22">
        <f>-'Cpte Résultat'!I52</f>
        <v>-1360</v>
      </c>
      <c r="K36" s="22">
        <f>-'Cpte Résultat'!J52</f>
        <v>-1360</v>
      </c>
      <c r="L36" s="22">
        <f>-'Cpte Résultat'!K52</f>
        <v>-1360</v>
      </c>
      <c r="M36" s="22">
        <f>-'Cpte Résultat'!L52</f>
        <v>-1360</v>
      </c>
      <c r="N36" s="22">
        <f>-'Cpte Résultat'!M52</f>
        <v>-1360</v>
      </c>
      <c r="O36" s="133">
        <f t="shared" si="23"/>
        <v>-13600</v>
      </c>
      <c r="P36" s="14" t="s">
        <v>88</v>
      </c>
      <c r="Q36" s="21"/>
      <c r="R36" s="22">
        <f>-'Cpte Résultat'!N52</f>
        <v>-1360</v>
      </c>
      <c r="S36" s="22">
        <f>-'Cpte Résultat'!P52</f>
        <v>-1360</v>
      </c>
      <c r="T36" s="22">
        <f>-'Cpte Résultat'!Q52</f>
        <v>-1360</v>
      </c>
      <c r="U36" s="22">
        <f>-'Cpte Résultat'!R52</f>
        <v>-1360</v>
      </c>
      <c r="V36" s="22">
        <f>-'Cpte Résultat'!S52</f>
        <v>-1360</v>
      </c>
      <c r="W36" s="22">
        <f>-'Cpte Résultat'!T52</f>
        <v>-1360</v>
      </c>
      <c r="X36" s="22">
        <f>-'Cpte Résultat'!U52</f>
        <v>-1360</v>
      </c>
      <c r="Y36" s="22">
        <f>-'Cpte Résultat'!V52</f>
        <v>-1360</v>
      </c>
      <c r="Z36" s="22">
        <f>-'Cpte Résultat'!W52</f>
        <v>-1360</v>
      </c>
      <c r="AA36" s="22">
        <f>-'Cpte Résultat'!X52</f>
        <v>-1360</v>
      </c>
      <c r="AB36" s="22">
        <f>-'Cpte Résultat'!Y52</f>
        <v>-1360</v>
      </c>
      <c r="AC36" s="22">
        <f>-'Cpte Résultat'!Z52</f>
        <v>-1360</v>
      </c>
      <c r="AD36" s="133">
        <f t="shared" si="2"/>
        <v>-16320</v>
      </c>
      <c r="AE36" s="14" t="s">
        <v>88</v>
      </c>
      <c r="AF36" s="21"/>
      <c r="AG36" s="22">
        <f>-'Cpte Résultat'!AA52</f>
        <v>-1360</v>
      </c>
      <c r="AH36" s="22">
        <f>-'Cpte Résultat'!AB52</f>
        <v>-16320</v>
      </c>
      <c r="AI36" s="22">
        <f>-'Cpte Résultat'!AC52</f>
        <v>-1360</v>
      </c>
      <c r="AJ36" s="22">
        <f>-'Cpte Résultat'!AD52</f>
        <v>-1360</v>
      </c>
      <c r="AK36" s="22">
        <f>-'Cpte Résultat'!AE52</f>
        <v>-1360</v>
      </c>
      <c r="AL36" s="22">
        <f>-'Cpte Résultat'!AF52</f>
        <v>-1360</v>
      </c>
      <c r="AM36" s="22">
        <f>-'Cpte Résultat'!AG52</f>
        <v>-1360</v>
      </c>
      <c r="AN36" s="22">
        <f>-'Cpte Résultat'!AH52</f>
        <v>-1360</v>
      </c>
      <c r="AO36" s="22">
        <f>-'Cpte Résultat'!AI52</f>
        <v>-1360</v>
      </c>
      <c r="AP36" s="22">
        <f>-'Cpte Résultat'!AJ52</f>
        <v>-1360</v>
      </c>
      <c r="AQ36" s="22">
        <f>-'Cpte Résultat'!AK52</f>
        <v>-1360</v>
      </c>
      <c r="AR36" s="22">
        <f>-'Cpte Résultat'!AL52</f>
        <v>-1360</v>
      </c>
      <c r="AS36" s="139">
        <f t="shared" si="4"/>
        <v>-31280</v>
      </c>
    </row>
    <row r="37" spans="1:45" ht="15" x14ac:dyDescent="0.25">
      <c r="A37" s="14" t="s">
        <v>89</v>
      </c>
      <c r="B37" s="21"/>
      <c r="C37" s="22"/>
      <c r="D37" s="22"/>
      <c r="E37" s="22">
        <f>-'Cpte Résultat'!D53</f>
        <v>0</v>
      </c>
      <c r="F37" s="22">
        <f>-'Cpte Résultat'!E53</f>
        <v>-300</v>
      </c>
      <c r="G37" s="22">
        <f>-'Cpte Résultat'!F53</f>
        <v>0</v>
      </c>
      <c r="H37" s="22">
        <f>-'Cpte Résultat'!G53</f>
        <v>0</v>
      </c>
      <c r="I37" s="22">
        <f>-'Cpte Résultat'!H53</f>
        <v>-300</v>
      </c>
      <c r="J37" s="22">
        <f>-'Cpte Résultat'!I53</f>
        <v>0</v>
      </c>
      <c r="K37" s="22">
        <f>-'Cpte Résultat'!J53</f>
        <v>0</v>
      </c>
      <c r="L37" s="22">
        <f>-'Cpte Résultat'!K53</f>
        <v>-300</v>
      </c>
      <c r="M37" s="22">
        <f>-'Cpte Résultat'!L53</f>
        <v>0</v>
      </c>
      <c r="N37" s="22">
        <f>-'Cpte Résultat'!M53</f>
        <v>0</v>
      </c>
      <c r="O37" s="133">
        <f t="shared" si="23"/>
        <v>-900</v>
      </c>
      <c r="P37" s="14" t="s">
        <v>89</v>
      </c>
      <c r="Q37" s="21"/>
      <c r="R37" s="22">
        <f>-'Cpte Résultat'!N53</f>
        <v>-300</v>
      </c>
      <c r="S37" s="22">
        <f>-'Cpte Résultat'!P53</f>
        <v>-100</v>
      </c>
      <c r="T37" s="22">
        <f>-'Cpte Résultat'!Q53</f>
        <v>-100</v>
      </c>
      <c r="U37" s="22">
        <f>-'Cpte Résultat'!R53</f>
        <v>-100</v>
      </c>
      <c r="V37" s="22">
        <f>-'Cpte Résultat'!S53</f>
        <v>-100</v>
      </c>
      <c r="W37" s="22">
        <f>-'Cpte Résultat'!T53</f>
        <v>-100</v>
      </c>
      <c r="X37" s="22">
        <f>-'Cpte Résultat'!U53</f>
        <v>-100</v>
      </c>
      <c r="Y37" s="22">
        <f>-'Cpte Résultat'!V53</f>
        <v>-100</v>
      </c>
      <c r="Z37" s="22">
        <f>-'Cpte Résultat'!W53</f>
        <v>-100</v>
      </c>
      <c r="AA37" s="22">
        <f>-'Cpte Résultat'!X53</f>
        <v>-100</v>
      </c>
      <c r="AB37" s="22">
        <f>-'Cpte Résultat'!Y53</f>
        <v>-100</v>
      </c>
      <c r="AC37" s="22">
        <f>-'Cpte Résultat'!Z53</f>
        <v>-100</v>
      </c>
      <c r="AD37" s="133">
        <f t="shared" si="2"/>
        <v>-1400</v>
      </c>
      <c r="AE37" s="14" t="s">
        <v>89</v>
      </c>
      <c r="AF37" s="21"/>
      <c r="AG37" s="22">
        <f>-'Cpte Résultat'!AA53</f>
        <v>-100</v>
      </c>
      <c r="AH37" s="22">
        <f>-'Cpte Résultat'!AB53</f>
        <v>-1200</v>
      </c>
      <c r="AI37" s="22">
        <f>-'Cpte Résultat'!AC53</f>
        <v>-100</v>
      </c>
      <c r="AJ37" s="22">
        <f>-'Cpte Résultat'!AD53</f>
        <v>-100</v>
      </c>
      <c r="AK37" s="22">
        <f>-'Cpte Résultat'!AE53</f>
        <v>-100</v>
      </c>
      <c r="AL37" s="22">
        <f>-'Cpte Résultat'!AF53</f>
        <v>-100</v>
      </c>
      <c r="AM37" s="22">
        <f>-'Cpte Résultat'!AG53</f>
        <v>-100</v>
      </c>
      <c r="AN37" s="22">
        <f>-'Cpte Résultat'!AH53</f>
        <v>-100</v>
      </c>
      <c r="AO37" s="22">
        <f>-'Cpte Résultat'!AI53</f>
        <v>-100</v>
      </c>
      <c r="AP37" s="22">
        <f>-'Cpte Résultat'!AJ53</f>
        <v>-100</v>
      </c>
      <c r="AQ37" s="22">
        <f>-'Cpte Résultat'!AK53</f>
        <v>-100</v>
      </c>
      <c r="AR37" s="22">
        <f>-'Cpte Résultat'!AL53</f>
        <v>-100</v>
      </c>
      <c r="AS37" s="139">
        <f t="shared" si="4"/>
        <v>-2300</v>
      </c>
    </row>
    <row r="38" spans="1:45" ht="15" x14ac:dyDescent="0.25">
      <c r="A38" s="14" t="s">
        <v>90</v>
      </c>
      <c r="B38" s="21"/>
      <c r="C38" s="22"/>
      <c r="D38" s="22"/>
      <c r="E38" s="22">
        <f>-'Cpte Résultat'!D54</f>
        <v>-166.66666666666666</v>
      </c>
      <c r="F38" s="22">
        <f>-'Cpte Résultat'!E54</f>
        <v>-166.66666666666666</v>
      </c>
      <c r="G38" s="22">
        <f>-'Cpte Résultat'!F54</f>
        <v>-166.66666666666666</v>
      </c>
      <c r="H38" s="22">
        <f>-'Cpte Résultat'!G54</f>
        <v>-166.66666666666666</v>
      </c>
      <c r="I38" s="22">
        <f>-'Cpte Résultat'!H54</f>
        <v>-166.66666666666666</v>
      </c>
      <c r="J38" s="22">
        <f>-'Cpte Résultat'!I54</f>
        <v>-166.66666666666666</v>
      </c>
      <c r="K38" s="22">
        <f>-'Cpte Résultat'!J54</f>
        <v>-166.66666666666666</v>
      </c>
      <c r="L38" s="22">
        <f>-'Cpte Résultat'!K54</f>
        <v>-166.66666666666666</v>
      </c>
      <c r="M38" s="22">
        <f>-'Cpte Résultat'!L54</f>
        <v>-166.66666666666666</v>
      </c>
      <c r="N38" s="22">
        <f>-'Cpte Résultat'!M54</f>
        <v>-166.66666666666666</v>
      </c>
      <c r="O38" s="133">
        <f t="shared" si="23"/>
        <v>-1666.6666666666667</v>
      </c>
      <c r="P38" s="14" t="s">
        <v>90</v>
      </c>
      <c r="Q38" s="21"/>
      <c r="R38" s="22">
        <f>-'Cpte Résultat'!N54</f>
        <v>-166.66666666666666</v>
      </c>
      <c r="S38" s="22">
        <f>-'Cpte Résultat'!P54</f>
        <v>-166.66666666666666</v>
      </c>
      <c r="T38" s="22">
        <f>-'Cpte Résultat'!Q54</f>
        <v>-166.66666666666666</v>
      </c>
      <c r="U38" s="22">
        <f>-'Cpte Résultat'!R54</f>
        <v>-166.66666666666666</v>
      </c>
      <c r="V38" s="22">
        <f>-'Cpte Résultat'!S54</f>
        <v>-166.66666666666666</v>
      </c>
      <c r="W38" s="22">
        <f>-'Cpte Résultat'!T54</f>
        <v>-166.66666666666666</v>
      </c>
      <c r="X38" s="22">
        <f>-'Cpte Résultat'!U54</f>
        <v>-166.66666666666666</v>
      </c>
      <c r="Y38" s="22">
        <f>-'Cpte Résultat'!V54</f>
        <v>-166.66666666666666</v>
      </c>
      <c r="Z38" s="22">
        <f>-'Cpte Résultat'!W54</f>
        <v>-166.66666666666666</v>
      </c>
      <c r="AA38" s="22">
        <f>-'Cpte Résultat'!X54</f>
        <v>-166.66666666666666</v>
      </c>
      <c r="AB38" s="22">
        <f>-'Cpte Résultat'!Y54</f>
        <v>-166.66666666666666</v>
      </c>
      <c r="AC38" s="22">
        <f>-'Cpte Résultat'!Z54</f>
        <v>-166.66666666666666</v>
      </c>
      <c r="AD38" s="133">
        <f t="shared" si="2"/>
        <v>-2000.0000000000002</v>
      </c>
      <c r="AE38" s="14" t="s">
        <v>90</v>
      </c>
      <c r="AF38" s="21"/>
      <c r="AG38" s="22">
        <f>-'Cpte Résultat'!AA54</f>
        <v>-166.66666666666666</v>
      </c>
      <c r="AH38" s="22">
        <f>-'Cpte Résultat'!AB54</f>
        <v>-2000.0000000000002</v>
      </c>
      <c r="AI38" s="22">
        <f>-'Cpte Résultat'!AC54</f>
        <v>-166.66666666666666</v>
      </c>
      <c r="AJ38" s="22">
        <f>-'Cpte Résultat'!AD54</f>
        <v>-166.66666666666666</v>
      </c>
      <c r="AK38" s="22">
        <f>-'Cpte Résultat'!AE54</f>
        <v>-166.66666666666666</v>
      </c>
      <c r="AL38" s="22">
        <f>-'Cpte Résultat'!AF54</f>
        <v>-166.66666666666666</v>
      </c>
      <c r="AM38" s="22">
        <f>-'Cpte Résultat'!AG54</f>
        <v>-166.66666666666666</v>
      </c>
      <c r="AN38" s="22">
        <f>-'Cpte Résultat'!AH54</f>
        <v>-166.66666666666666</v>
      </c>
      <c r="AO38" s="22">
        <f>-'Cpte Résultat'!AI54</f>
        <v>-166.66666666666666</v>
      </c>
      <c r="AP38" s="22">
        <f>-'Cpte Résultat'!AJ54</f>
        <v>-166.66666666666666</v>
      </c>
      <c r="AQ38" s="22">
        <f>-'Cpte Résultat'!AK54</f>
        <v>-166.66666666666666</v>
      </c>
      <c r="AR38" s="22">
        <f>-'Cpte Résultat'!AL54</f>
        <v>-166.66666666666666</v>
      </c>
      <c r="AS38" s="139">
        <f t="shared" si="4"/>
        <v>-3833.3333333333321</v>
      </c>
    </row>
    <row r="39" spans="1:45" ht="15" x14ac:dyDescent="0.25">
      <c r="A39" s="14" t="s">
        <v>91</v>
      </c>
      <c r="B39" s="21"/>
      <c r="C39" s="22"/>
      <c r="D39" s="22"/>
      <c r="E39" s="22">
        <f>-'Cpte Résultat'!D55</f>
        <v>0</v>
      </c>
      <c r="F39" s="22">
        <f>-'Cpte Résultat'!E55</f>
        <v>-825</v>
      </c>
      <c r="G39" s="22">
        <f>-'Cpte Résultat'!F55</f>
        <v>0</v>
      </c>
      <c r="H39" s="22">
        <f>-'Cpte Résultat'!G55</f>
        <v>0</v>
      </c>
      <c r="I39" s="22">
        <f>-'Cpte Résultat'!H55</f>
        <v>-825</v>
      </c>
      <c r="J39" s="22">
        <f>-'Cpte Résultat'!I55</f>
        <v>0</v>
      </c>
      <c r="K39" s="22">
        <f>-'Cpte Résultat'!J55</f>
        <v>0</v>
      </c>
      <c r="L39" s="22">
        <f>-'Cpte Résultat'!K55</f>
        <v>-825</v>
      </c>
      <c r="M39" s="22">
        <f>-'Cpte Résultat'!L55</f>
        <v>0</v>
      </c>
      <c r="N39" s="22">
        <f>-'Cpte Résultat'!M55</f>
        <v>0</v>
      </c>
      <c r="O39" s="133">
        <f t="shared" si="23"/>
        <v>-2475</v>
      </c>
      <c r="P39" s="14" t="s">
        <v>91</v>
      </c>
      <c r="Q39" s="21"/>
      <c r="R39" s="22">
        <f>-'Cpte Résultat'!N55</f>
        <v>-825</v>
      </c>
      <c r="S39" s="22">
        <f>-'Cpte Résultat'!P55</f>
        <v>-275</v>
      </c>
      <c r="T39" s="22">
        <f>-'Cpte Résultat'!Q55</f>
        <v>-275</v>
      </c>
      <c r="U39" s="22">
        <f>-'Cpte Résultat'!R55</f>
        <v>-275</v>
      </c>
      <c r="V39" s="22">
        <f>-'Cpte Résultat'!S55</f>
        <v>-275</v>
      </c>
      <c r="W39" s="22">
        <f>-'Cpte Résultat'!T55</f>
        <v>-275</v>
      </c>
      <c r="X39" s="22">
        <f>-'Cpte Résultat'!U55</f>
        <v>-275</v>
      </c>
      <c r="Y39" s="22">
        <f>-'Cpte Résultat'!V55</f>
        <v>-275</v>
      </c>
      <c r="Z39" s="22">
        <f>-'Cpte Résultat'!W55</f>
        <v>-275</v>
      </c>
      <c r="AA39" s="22">
        <f>-'Cpte Résultat'!X55</f>
        <v>-275</v>
      </c>
      <c r="AB39" s="22">
        <f>-'Cpte Résultat'!Y55</f>
        <v>-275</v>
      </c>
      <c r="AC39" s="22">
        <f>-'Cpte Résultat'!Z55</f>
        <v>-275</v>
      </c>
      <c r="AD39" s="133">
        <f t="shared" si="2"/>
        <v>-3850</v>
      </c>
      <c r="AE39" s="14" t="s">
        <v>91</v>
      </c>
      <c r="AF39" s="21"/>
      <c r="AG39" s="22">
        <f>-'Cpte Résultat'!AA55</f>
        <v>-275</v>
      </c>
      <c r="AH39" s="22">
        <f>-'Cpte Résultat'!AB55</f>
        <v>-3300</v>
      </c>
      <c r="AI39" s="22">
        <f>-'Cpte Résultat'!AC55</f>
        <v>-275</v>
      </c>
      <c r="AJ39" s="22">
        <f>-'Cpte Résultat'!AD55</f>
        <v>-275</v>
      </c>
      <c r="AK39" s="22">
        <f>-'Cpte Résultat'!AE55</f>
        <v>-275</v>
      </c>
      <c r="AL39" s="22">
        <f>-'Cpte Résultat'!AF55</f>
        <v>-275</v>
      </c>
      <c r="AM39" s="22">
        <f>-'Cpte Résultat'!AG55</f>
        <v>-275</v>
      </c>
      <c r="AN39" s="22">
        <f>-'Cpte Résultat'!AH55</f>
        <v>-275</v>
      </c>
      <c r="AO39" s="22">
        <f>-'Cpte Résultat'!AI55</f>
        <v>-275</v>
      </c>
      <c r="AP39" s="22">
        <f>-'Cpte Résultat'!AJ55</f>
        <v>-275</v>
      </c>
      <c r="AQ39" s="22">
        <f>-'Cpte Résultat'!AK55</f>
        <v>-275</v>
      </c>
      <c r="AR39" s="22">
        <f>-'Cpte Résultat'!AL55</f>
        <v>-275</v>
      </c>
      <c r="AS39" s="139">
        <f t="shared" si="4"/>
        <v>-6325</v>
      </c>
    </row>
    <row r="40" spans="1:45" ht="15" x14ac:dyDescent="0.25">
      <c r="A40" s="14" t="s">
        <v>92</v>
      </c>
      <c r="B40" s="21"/>
      <c r="C40" s="22"/>
      <c r="D40" s="22"/>
      <c r="E40" s="57">
        <f>-'Cpte Résultat'!D56-'Cpte Résultat'!C56-'Cpte Résultat'!E56</f>
        <v>-2285</v>
      </c>
      <c r="F40" s="22">
        <v>0</v>
      </c>
      <c r="G40" s="22">
        <v>0</v>
      </c>
      <c r="H40" s="22">
        <v>0</v>
      </c>
      <c r="I40" s="22">
        <f>-'Cpte Résultat'!F56-'Cpte Résultat'!G56-'Cpte Résultat'!H56-'Cpte Résultat'!I56</f>
        <v>-3046.6666666666665</v>
      </c>
      <c r="J40" s="22">
        <v>0</v>
      </c>
      <c r="K40" s="22">
        <f>-'Cpte Résultat'!J56-'Cpte Résultat'!K56</f>
        <v>-1523.3333333333333</v>
      </c>
      <c r="L40" s="22">
        <v>0</v>
      </c>
      <c r="M40" s="22">
        <v>0</v>
      </c>
      <c r="N40" s="22">
        <f>-'Cpte Résultat'!L56-'Cpte Résultat'!M56-'Cpte Résultat'!N56</f>
        <v>-2285</v>
      </c>
      <c r="O40" s="133">
        <f t="shared" si="23"/>
        <v>-9140</v>
      </c>
      <c r="P40" s="14" t="s">
        <v>92</v>
      </c>
      <c r="Q40" s="21"/>
      <c r="R40" s="22">
        <f>-'Cpte Résultat'!N56</f>
        <v>-761.66666666666663</v>
      </c>
      <c r="S40" s="22">
        <f>-'Cpte Résultat'!P56</f>
        <v>-761.66666666666663</v>
      </c>
      <c r="T40" s="22">
        <f>-'Cpte Résultat'!Q56</f>
        <v>-761.66666666666663</v>
      </c>
      <c r="U40" s="22">
        <f>-'Cpte Résultat'!R56</f>
        <v>-761.66666666666663</v>
      </c>
      <c r="V40" s="22">
        <f>-'Cpte Résultat'!S56</f>
        <v>-761.66666666666663</v>
      </c>
      <c r="W40" s="22">
        <f>-'Cpte Résultat'!T56</f>
        <v>-761.66666666666663</v>
      </c>
      <c r="X40" s="22">
        <f>-'Cpte Résultat'!U56</f>
        <v>-761.66666666666663</v>
      </c>
      <c r="Y40" s="22">
        <f>-'Cpte Résultat'!V56</f>
        <v>-761.66666666666663</v>
      </c>
      <c r="Z40" s="22">
        <f>-'Cpte Résultat'!W56</f>
        <v>-761.66666666666663</v>
      </c>
      <c r="AA40" s="22">
        <f>-'Cpte Résultat'!X56</f>
        <v>-761.66666666666663</v>
      </c>
      <c r="AB40" s="22">
        <f>-'Cpte Résultat'!Y56</f>
        <v>-761.66666666666663</v>
      </c>
      <c r="AC40" s="22">
        <f>-'Cpte Résultat'!Z56</f>
        <v>-761.66666666666663</v>
      </c>
      <c r="AD40" s="133">
        <f t="shared" si="2"/>
        <v>-9140</v>
      </c>
      <c r="AE40" s="14" t="s">
        <v>92</v>
      </c>
      <c r="AF40" s="21"/>
      <c r="AG40" s="22">
        <f>-'Cpte Résultat'!AA56</f>
        <v>-761.66666666666663</v>
      </c>
      <c r="AH40" s="22">
        <f>-'Cpte Résultat'!AB56</f>
        <v>-9140</v>
      </c>
      <c r="AI40" s="22">
        <f>-'Cpte Résultat'!AC56</f>
        <v>-761.66666666666663</v>
      </c>
      <c r="AJ40" s="22">
        <f>-'Cpte Résultat'!AD56</f>
        <v>-761.66666666666663</v>
      </c>
      <c r="AK40" s="22">
        <f>-'Cpte Résultat'!AE56</f>
        <v>-761.66666666666663</v>
      </c>
      <c r="AL40" s="22">
        <f>-'Cpte Résultat'!AF56</f>
        <v>-761.66666666666663</v>
      </c>
      <c r="AM40" s="22">
        <f>-'Cpte Résultat'!AG56</f>
        <v>-761.66666666666663</v>
      </c>
      <c r="AN40" s="22">
        <f>-'Cpte Résultat'!AH56</f>
        <v>-761.66666666666663</v>
      </c>
      <c r="AO40" s="22">
        <f>-'Cpte Résultat'!AI56</f>
        <v>-761.66666666666663</v>
      </c>
      <c r="AP40" s="22">
        <f>-'Cpte Résultat'!AJ56</f>
        <v>-761.66666666666663</v>
      </c>
      <c r="AQ40" s="22">
        <f>-'Cpte Résultat'!AK56</f>
        <v>-761.66666666666663</v>
      </c>
      <c r="AR40" s="22">
        <f>-'Cpte Résultat'!AL56</f>
        <v>-761.66666666666663</v>
      </c>
      <c r="AS40" s="139">
        <f t="shared" si="4"/>
        <v>-17518.333333333328</v>
      </c>
    </row>
    <row r="41" spans="1:45" ht="15" x14ac:dyDescent="0.25">
      <c r="A41" s="14" t="s">
        <v>93</v>
      </c>
      <c r="B41" s="21"/>
      <c r="C41" s="22"/>
      <c r="D41" s="22"/>
      <c r="E41" s="22">
        <v>0</v>
      </c>
      <c r="F41" s="22">
        <f>-'Cpte Résultat'!E57</f>
        <v>-166.66666666666666</v>
      </c>
      <c r="G41" s="22">
        <f>-'Cpte Résultat'!F57</f>
        <v>-166.66666666666666</v>
      </c>
      <c r="H41" s="22">
        <f>-'Cpte Résultat'!G57</f>
        <v>-166.66666666666666</v>
      </c>
      <c r="I41" s="22">
        <f>-'Cpte Résultat'!H57</f>
        <v>-166.66666666666666</v>
      </c>
      <c r="J41" s="22">
        <f>-'Cpte Résultat'!I57</f>
        <v>-166.66666666666666</v>
      </c>
      <c r="K41" s="22">
        <f>-'Cpte Résultat'!J57</f>
        <v>-166.66666666666666</v>
      </c>
      <c r="L41" s="22">
        <f>-'Cpte Résultat'!K57</f>
        <v>-166.66666666666666</v>
      </c>
      <c r="M41" s="22">
        <f>-'Cpte Résultat'!L57</f>
        <v>-166.66666666666666</v>
      </c>
      <c r="N41" s="22">
        <f>-'Cpte Résultat'!M57</f>
        <v>-166.66666666666666</v>
      </c>
      <c r="O41" s="133">
        <f t="shared" si="23"/>
        <v>-1500</v>
      </c>
      <c r="P41" s="14" t="s">
        <v>93</v>
      </c>
      <c r="Q41" s="21"/>
      <c r="R41" s="22">
        <f>-'Cpte Résultat'!N57</f>
        <v>-166.66666666666666</v>
      </c>
      <c r="S41" s="22">
        <f>-'Cpte Résultat'!P57</f>
        <v>-166.66666666666666</v>
      </c>
      <c r="T41" s="22">
        <f>-'Cpte Résultat'!Q57</f>
        <v>-166.66666666666666</v>
      </c>
      <c r="U41" s="22">
        <f>-'Cpte Résultat'!R57</f>
        <v>-166.66666666666666</v>
      </c>
      <c r="V41" s="22">
        <f>-'Cpte Résultat'!S57</f>
        <v>-166.66666666666666</v>
      </c>
      <c r="W41" s="22">
        <f>-'Cpte Résultat'!T57</f>
        <v>-166.66666666666666</v>
      </c>
      <c r="X41" s="22">
        <f>-'Cpte Résultat'!U57</f>
        <v>-166.66666666666666</v>
      </c>
      <c r="Y41" s="22">
        <f>-'Cpte Résultat'!V57</f>
        <v>-166.66666666666666</v>
      </c>
      <c r="Z41" s="22">
        <f>-'Cpte Résultat'!W57</f>
        <v>-166.66666666666666</v>
      </c>
      <c r="AA41" s="22">
        <f>-'Cpte Résultat'!X57</f>
        <v>-166.66666666666666</v>
      </c>
      <c r="AB41" s="22">
        <f>-'Cpte Résultat'!Y57</f>
        <v>-166.66666666666666</v>
      </c>
      <c r="AC41" s="22">
        <f>-'Cpte Résultat'!Z57</f>
        <v>-166.66666666666666</v>
      </c>
      <c r="AD41" s="133">
        <f t="shared" si="2"/>
        <v>-2000.0000000000002</v>
      </c>
      <c r="AE41" s="14" t="s">
        <v>93</v>
      </c>
      <c r="AF41" s="21"/>
      <c r="AG41" s="22">
        <f>-'Cpte Résultat'!AA57</f>
        <v>-166.66666666666666</v>
      </c>
      <c r="AH41" s="22">
        <f>-'Cpte Résultat'!AB57</f>
        <v>-2000.0000000000002</v>
      </c>
      <c r="AI41" s="22">
        <f>-'Cpte Résultat'!AC57</f>
        <v>-166.66666666666666</v>
      </c>
      <c r="AJ41" s="22">
        <f>-'Cpte Résultat'!AD57</f>
        <v>-166.66666666666666</v>
      </c>
      <c r="AK41" s="22">
        <f>-'Cpte Résultat'!AE57</f>
        <v>-166.66666666666666</v>
      </c>
      <c r="AL41" s="22">
        <f>-'Cpte Résultat'!AF57</f>
        <v>-166.66666666666666</v>
      </c>
      <c r="AM41" s="22">
        <f>-'Cpte Résultat'!AG57</f>
        <v>-166.66666666666666</v>
      </c>
      <c r="AN41" s="22">
        <f>-'Cpte Résultat'!AH57</f>
        <v>-166.66666666666666</v>
      </c>
      <c r="AO41" s="22">
        <f>-'Cpte Résultat'!AI57</f>
        <v>-166.66666666666666</v>
      </c>
      <c r="AP41" s="22">
        <f>-'Cpte Résultat'!AJ57</f>
        <v>-166.66666666666666</v>
      </c>
      <c r="AQ41" s="22">
        <f>-'Cpte Résultat'!AK57</f>
        <v>-166.66666666666666</v>
      </c>
      <c r="AR41" s="22">
        <f>-'Cpte Résultat'!AL57</f>
        <v>-166.66666666666666</v>
      </c>
      <c r="AS41" s="139">
        <f t="shared" si="4"/>
        <v>-3833.3333333333321</v>
      </c>
    </row>
    <row r="42" spans="1:45" ht="15" x14ac:dyDescent="0.25">
      <c r="A42" s="14" t="s">
        <v>94</v>
      </c>
      <c r="B42" s="21"/>
      <c r="C42" s="22"/>
      <c r="D42" s="22"/>
      <c r="E42" s="22">
        <f>-'Cpte Résultat'!D58</f>
        <v>0</v>
      </c>
      <c r="F42" s="22">
        <f>-'Cpte Résultat'!E58</f>
        <v>-333.33333333333331</v>
      </c>
      <c r="G42" s="22">
        <f>-'Cpte Résultat'!F58</f>
        <v>-333.33333333333331</v>
      </c>
      <c r="H42" s="22">
        <f>-'Cpte Résultat'!G58</f>
        <v>-333.33333333333331</v>
      </c>
      <c r="I42" s="22">
        <f>-'Cpte Résultat'!H58</f>
        <v>-333.33333333333331</v>
      </c>
      <c r="J42" s="22">
        <f>-'Cpte Résultat'!I58</f>
        <v>-333.33333333333331</v>
      </c>
      <c r="K42" s="22">
        <f>-'Cpte Résultat'!J58</f>
        <v>-333.33333333333331</v>
      </c>
      <c r="L42" s="22">
        <f>-'Cpte Résultat'!K58</f>
        <v>-333.33333333333331</v>
      </c>
      <c r="M42" s="22">
        <f>-'Cpte Résultat'!L58</f>
        <v>-333.33333333333331</v>
      </c>
      <c r="N42" s="22">
        <f>-'Cpte Résultat'!M58</f>
        <v>-333.33333333333331</v>
      </c>
      <c r="O42" s="133">
        <f t="shared" si="23"/>
        <v>-3000</v>
      </c>
      <c r="P42" s="14" t="s">
        <v>94</v>
      </c>
      <c r="Q42" s="21"/>
      <c r="R42" s="22">
        <f>-'Cpte Résultat'!Q58</f>
        <v>-333.33333333333331</v>
      </c>
      <c r="S42" s="22">
        <f>-'Cpte Résultat'!P58</f>
        <v>-333.33333333333331</v>
      </c>
      <c r="T42" s="22">
        <f>-'Cpte Résultat'!Q58</f>
        <v>-333.33333333333331</v>
      </c>
      <c r="U42" s="22">
        <f>-'Cpte Résultat'!R58</f>
        <v>-333.33333333333331</v>
      </c>
      <c r="V42" s="22">
        <f>-'Cpte Résultat'!S58</f>
        <v>-333.33333333333331</v>
      </c>
      <c r="W42" s="22">
        <f>-'Cpte Résultat'!T58</f>
        <v>-333.33333333333331</v>
      </c>
      <c r="X42" s="22">
        <f>-'Cpte Résultat'!U58</f>
        <v>-333.33333333333331</v>
      </c>
      <c r="Y42" s="22">
        <f>-'Cpte Résultat'!V58</f>
        <v>-333.33333333333331</v>
      </c>
      <c r="Z42" s="22">
        <f>-'Cpte Résultat'!W58</f>
        <v>-333.33333333333331</v>
      </c>
      <c r="AA42" s="22">
        <f>-'Cpte Résultat'!X58</f>
        <v>-333.33333333333331</v>
      </c>
      <c r="AB42" s="22">
        <f>-'Cpte Résultat'!Y58</f>
        <v>-333.33333333333331</v>
      </c>
      <c r="AC42" s="22">
        <f>-'Cpte Résultat'!Z58</f>
        <v>-333.33333333333331</v>
      </c>
      <c r="AD42" s="133">
        <f t="shared" si="2"/>
        <v>-4000.0000000000005</v>
      </c>
      <c r="AE42" s="14" t="s">
        <v>94</v>
      </c>
      <c r="AF42" s="21"/>
      <c r="AG42" s="22">
        <f>-'Cpte Résultat'!AA58</f>
        <v>-333.33333333333331</v>
      </c>
      <c r="AH42" s="22">
        <f>-'Cpte Résultat'!AB58</f>
        <v>-4000.0000000000005</v>
      </c>
      <c r="AI42" s="22">
        <f>-'Cpte Résultat'!AC58</f>
        <v>-333.33333333333331</v>
      </c>
      <c r="AJ42" s="22">
        <f>-'Cpte Résultat'!AD58</f>
        <v>-333.33333333333331</v>
      </c>
      <c r="AK42" s="22">
        <f>-'Cpte Résultat'!AE58</f>
        <v>-333.33333333333331</v>
      </c>
      <c r="AL42" s="22">
        <f>-'Cpte Résultat'!AF58</f>
        <v>-333.33333333333331</v>
      </c>
      <c r="AM42" s="22">
        <f>-'Cpte Résultat'!AG58</f>
        <v>-333.33333333333331</v>
      </c>
      <c r="AN42" s="22">
        <f>-'Cpte Résultat'!AH58</f>
        <v>-333.33333333333331</v>
      </c>
      <c r="AO42" s="22">
        <f>-'Cpte Résultat'!AI58</f>
        <v>-333.33333333333331</v>
      </c>
      <c r="AP42" s="22">
        <f>-'Cpte Résultat'!AJ58</f>
        <v>-333.33333333333331</v>
      </c>
      <c r="AQ42" s="22">
        <f>-'Cpte Résultat'!AK58</f>
        <v>-333.33333333333331</v>
      </c>
      <c r="AR42" s="22">
        <f>-'Cpte Résultat'!AL58</f>
        <v>-333.33333333333331</v>
      </c>
      <c r="AS42" s="139">
        <f t="shared" si="4"/>
        <v>-7666.6666666666642</v>
      </c>
    </row>
    <row r="43" spans="1:45" ht="15" x14ac:dyDescent="0.25">
      <c r="A43" s="14" t="s">
        <v>95</v>
      </c>
      <c r="B43" s="21"/>
      <c r="C43" s="22"/>
      <c r="D43" s="22"/>
      <c r="E43" s="22">
        <f>-'Cpte Résultat'!D58</f>
        <v>0</v>
      </c>
      <c r="F43" s="22">
        <f>-'Cpte Résultat'!E58</f>
        <v>-333.33333333333331</v>
      </c>
      <c r="G43" s="22">
        <f>-'Cpte Résultat'!F58</f>
        <v>-333.33333333333331</v>
      </c>
      <c r="H43" s="22">
        <f>-'Cpte Résultat'!G58</f>
        <v>-333.33333333333331</v>
      </c>
      <c r="I43" s="22">
        <f>-'Cpte Résultat'!H58</f>
        <v>-333.33333333333331</v>
      </c>
      <c r="J43" s="22">
        <f>-'Cpte Résultat'!I58</f>
        <v>-333.33333333333331</v>
      </c>
      <c r="K43" s="22">
        <f>-'Cpte Résultat'!J58</f>
        <v>-333.33333333333331</v>
      </c>
      <c r="L43" s="22">
        <f>-'Cpte Résultat'!K58</f>
        <v>-333.33333333333331</v>
      </c>
      <c r="M43" s="22">
        <f>-'Cpte Résultat'!L58</f>
        <v>-333.33333333333331</v>
      </c>
      <c r="N43" s="22">
        <f>-'Cpte Résultat'!M58</f>
        <v>-333.33333333333331</v>
      </c>
      <c r="O43" s="133">
        <f t="shared" si="23"/>
        <v>-3000</v>
      </c>
      <c r="P43" s="14" t="s">
        <v>95</v>
      </c>
      <c r="Q43" s="21"/>
      <c r="R43" s="22">
        <f>-'Cpte Résultat'!Q59</f>
        <v>-333.33333333333331</v>
      </c>
      <c r="S43" s="22">
        <f>-'Cpte Résultat'!P59</f>
        <v>-333.33333333333331</v>
      </c>
      <c r="T43" s="22">
        <f>-'Cpte Résultat'!Q59</f>
        <v>-333.33333333333331</v>
      </c>
      <c r="U43" s="22">
        <f>-'Cpte Résultat'!R59</f>
        <v>-333.33333333333331</v>
      </c>
      <c r="V43" s="22">
        <f>-'Cpte Résultat'!S59</f>
        <v>-333.33333333333331</v>
      </c>
      <c r="W43" s="22">
        <f>-'Cpte Résultat'!T59</f>
        <v>-333.33333333333331</v>
      </c>
      <c r="X43" s="22">
        <f>-'Cpte Résultat'!U59</f>
        <v>-333.33333333333331</v>
      </c>
      <c r="Y43" s="22">
        <f>-'Cpte Résultat'!V59</f>
        <v>-333.33333333333331</v>
      </c>
      <c r="Z43" s="22">
        <f>-'Cpte Résultat'!W59</f>
        <v>-333.33333333333331</v>
      </c>
      <c r="AA43" s="22">
        <f>-'Cpte Résultat'!X59</f>
        <v>-333.33333333333331</v>
      </c>
      <c r="AB43" s="22">
        <f>-'Cpte Résultat'!Y59</f>
        <v>-333.33333333333331</v>
      </c>
      <c r="AC43" s="22">
        <f>-'Cpte Résultat'!Z59</f>
        <v>-333.33333333333331</v>
      </c>
      <c r="AD43" s="133">
        <f t="shared" si="2"/>
        <v>-4000.0000000000005</v>
      </c>
      <c r="AE43" s="14" t="s">
        <v>95</v>
      </c>
      <c r="AF43" s="21"/>
      <c r="AG43" s="22">
        <f>-'Cpte Résultat'!AA59</f>
        <v>-333.33333333333331</v>
      </c>
      <c r="AH43" s="22">
        <f>-'Cpte Résultat'!AB59</f>
        <v>-4000.0000000000005</v>
      </c>
      <c r="AI43" s="22">
        <f>-'Cpte Résultat'!AC59</f>
        <v>-333.33333333333331</v>
      </c>
      <c r="AJ43" s="22">
        <f>-'Cpte Résultat'!AD59</f>
        <v>-333.33333333333331</v>
      </c>
      <c r="AK43" s="22">
        <f>-'Cpte Résultat'!AE59</f>
        <v>-333.33333333333331</v>
      </c>
      <c r="AL43" s="22">
        <f>-'Cpte Résultat'!AF59</f>
        <v>-333.33333333333331</v>
      </c>
      <c r="AM43" s="22">
        <f>-'Cpte Résultat'!AG59</f>
        <v>-333.33333333333331</v>
      </c>
      <c r="AN43" s="22">
        <f>-'Cpte Résultat'!AH59</f>
        <v>-333.33333333333331</v>
      </c>
      <c r="AO43" s="22">
        <f>-'Cpte Résultat'!AI59</f>
        <v>-333.33333333333331</v>
      </c>
      <c r="AP43" s="22">
        <f>-'Cpte Résultat'!AJ59</f>
        <v>-333.33333333333331</v>
      </c>
      <c r="AQ43" s="22">
        <f>-'Cpte Résultat'!AK59</f>
        <v>-333.33333333333331</v>
      </c>
      <c r="AR43" s="22">
        <f>-'Cpte Résultat'!AL59</f>
        <v>-333.33333333333331</v>
      </c>
      <c r="AS43" s="139">
        <f t="shared" si="4"/>
        <v>-7666.6666666666642</v>
      </c>
    </row>
    <row r="44" spans="1:45" ht="15" x14ac:dyDescent="0.25">
      <c r="A44" s="14" t="s">
        <v>96</v>
      </c>
      <c r="B44" s="21"/>
      <c r="C44" s="22"/>
      <c r="D44" s="22"/>
      <c r="E44" s="22">
        <f>-'Cpte Résultat'!D60</f>
        <v>-2225</v>
      </c>
      <c r="F44" s="22">
        <f>-'Cpte Résultat'!E60</f>
        <v>-2225</v>
      </c>
      <c r="G44" s="22">
        <f>-'Cpte Résultat'!F60</f>
        <v>-2225</v>
      </c>
      <c r="H44" s="22">
        <f>-'Cpte Résultat'!G60</f>
        <v>-2225</v>
      </c>
      <c r="I44" s="22">
        <f>-'Cpte Résultat'!H60</f>
        <v>-2225</v>
      </c>
      <c r="J44" s="22">
        <f>-'Cpte Résultat'!I60</f>
        <v>-2225</v>
      </c>
      <c r="K44" s="22">
        <f>-'Cpte Résultat'!J60</f>
        <v>-2225</v>
      </c>
      <c r="L44" s="22">
        <f>-'Cpte Résultat'!K60</f>
        <v>-2225</v>
      </c>
      <c r="M44" s="22">
        <f>-'Cpte Résultat'!L60</f>
        <v>-2225</v>
      </c>
      <c r="N44" s="22">
        <f>-'Cpte Résultat'!M60</f>
        <v>-2225</v>
      </c>
      <c r="O44" s="133">
        <f t="shared" si="23"/>
        <v>-22250</v>
      </c>
      <c r="P44" s="14" t="s">
        <v>96</v>
      </c>
      <c r="Q44" s="21"/>
      <c r="R44" s="22">
        <f>-'Cpte Résultat'!Q60</f>
        <v>-1000</v>
      </c>
      <c r="S44" s="22">
        <f>-'Cpte Résultat'!P60</f>
        <v>-1000</v>
      </c>
      <c r="T44" s="22">
        <f>-'Cpte Résultat'!Q60</f>
        <v>-1000</v>
      </c>
      <c r="U44" s="22">
        <f>-'Cpte Résultat'!R60</f>
        <v>-1000</v>
      </c>
      <c r="V44" s="22">
        <f>-'Cpte Résultat'!S60</f>
        <v>-1000</v>
      </c>
      <c r="W44" s="22">
        <f>-'Cpte Résultat'!T60</f>
        <v>-1000</v>
      </c>
      <c r="X44" s="22">
        <f>-'Cpte Résultat'!U60</f>
        <v>-1000</v>
      </c>
      <c r="Y44" s="22">
        <f>-'Cpte Résultat'!V60</f>
        <v>-1000</v>
      </c>
      <c r="Z44" s="22">
        <f>-'Cpte Résultat'!W60</f>
        <v>-1000</v>
      </c>
      <c r="AA44" s="22">
        <f>-'Cpte Résultat'!X60</f>
        <v>-1000</v>
      </c>
      <c r="AB44" s="22">
        <f>-'Cpte Résultat'!Y60</f>
        <v>-1000</v>
      </c>
      <c r="AC44" s="22">
        <f>-'Cpte Résultat'!Z60</f>
        <v>-1000</v>
      </c>
      <c r="AD44" s="133">
        <f t="shared" si="2"/>
        <v>-12000</v>
      </c>
      <c r="AE44" s="14" t="s">
        <v>96</v>
      </c>
      <c r="AF44" s="21"/>
      <c r="AG44" s="22">
        <f>-'Cpte Résultat'!AA60</f>
        <v>-1000</v>
      </c>
      <c r="AH44" s="22">
        <f>-'Cpte Résultat'!AB60</f>
        <v>-12000</v>
      </c>
      <c r="AI44" s="22">
        <f>-'Cpte Résultat'!AC60</f>
        <v>-1000</v>
      </c>
      <c r="AJ44" s="22">
        <f>-'Cpte Résultat'!AD60</f>
        <v>-1000</v>
      </c>
      <c r="AK44" s="22">
        <f>-'Cpte Résultat'!AE60</f>
        <v>-1000</v>
      </c>
      <c r="AL44" s="22">
        <f>-'Cpte Résultat'!AF60</f>
        <v>-1000</v>
      </c>
      <c r="AM44" s="22">
        <f>-'Cpte Résultat'!AG60</f>
        <v>-1000</v>
      </c>
      <c r="AN44" s="22">
        <f>-'Cpte Résultat'!AH60</f>
        <v>-1000</v>
      </c>
      <c r="AO44" s="22">
        <f>-'Cpte Résultat'!AI60</f>
        <v>-1000</v>
      </c>
      <c r="AP44" s="22">
        <f>-'Cpte Résultat'!AJ60</f>
        <v>-1000</v>
      </c>
      <c r="AQ44" s="22">
        <f>-'Cpte Résultat'!AK60</f>
        <v>-1000</v>
      </c>
      <c r="AR44" s="22">
        <f>-'Cpte Résultat'!AL60</f>
        <v>-1000</v>
      </c>
      <c r="AS44" s="139">
        <f t="shared" si="4"/>
        <v>-23000</v>
      </c>
    </row>
    <row r="45" spans="1:45" ht="15" x14ac:dyDescent="0.25">
      <c r="A45" s="14" t="s">
        <v>97</v>
      </c>
      <c r="B45" s="21"/>
      <c r="C45" s="22"/>
      <c r="D45" s="22"/>
      <c r="E45" s="22">
        <f>-'Cpte Résultat'!D61</f>
        <v>0</v>
      </c>
      <c r="F45" s="22">
        <f>-'Cpte Résultat'!E61</f>
        <v>-3150</v>
      </c>
      <c r="G45" s="22">
        <f>-'Cpte Résultat'!F61</f>
        <v>-3150</v>
      </c>
      <c r="H45" s="22">
        <f>-'Cpte Résultat'!G61</f>
        <v>-3150</v>
      </c>
      <c r="I45" s="22">
        <f>-'Cpte Résultat'!H61</f>
        <v>-3150</v>
      </c>
      <c r="J45" s="22">
        <f>-'Cpte Résultat'!I61</f>
        <v>-3150</v>
      </c>
      <c r="K45" s="22">
        <f>-'Cpte Résultat'!J61</f>
        <v>-3150</v>
      </c>
      <c r="L45" s="22">
        <f>-'Cpte Résultat'!K61</f>
        <v>-3150</v>
      </c>
      <c r="M45" s="22">
        <f>-'Cpte Résultat'!L61</f>
        <v>-3150</v>
      </c>
      <c r="N45" s="22">
        <f>-'Cpte Résultat'!M61</f>
        <v>-3150</v>
      </c>
      <c r="O45" s="133">
        <f t="shared" si="23"/>
        <v>-28350</v>
      </c>
      <c r="P45" s="14" t="s">
        <v>97</v>
      </c>
      <c r="Q45" s="21"/>
      <c r="R45" s="22">
        <f>-'Cpte Résultat'!Q61</f>
        <v>-3150</v>
      </c>
      <c r="S45" s="22">
        <f>-'Cpte Résultat'!P61</f>
        <v>-3150</v>
      </c>
      <c r="T45" s="22">
        <f>-'Cpte Résultat'!Q61</f>
        <v>-3150</v>
      </c>
      <c r="U45" s="22">
        <f>-'Cpte Résultat'!R61</f>
        <v>-3150</v>
      </c>
      <c r="V45" s="22">
        <f>-'Cpte Résultat'!S61</f>
        <v>-3150</v>
      </c>
      <c r="W45" s="22">
        <f>-'Cpte Résultat'!T61</f>
        <v>-3150</v>
      </c>
      <c r="X45" s="22">
        <f>-'Cpte Résultat'!U61</f>
        <v>-3150</v>
      </c>
      <c r="Y45" s="22">
        <f>-'Cpte Résultat'!V61</f>
        <v>-3150</v>
      </c>
      <c r="Z45" s="22">
        <f>-'Cpte Résultat'!W61</f>
        <v>-3150</v>
      </c>
      <c r="AA45" s="22">
        <f>-'Cpte Résultat'!X61</f>
        <v>-3150</v>
      </c>
      <c r="AB45" s="22">
        <f>-'Cpte Résultat'!Y61</f>
        <v>-3150</v>
      </c>
      <c r="AC45" s="22">
        <f>-'Cpte Résultat'!Z61</f>
        <v>-3150</v>
      </c>
      <c r="AD45" s="133">
        <f t="shared" si="2"/>
        <v>-37800</v>
      </c>
      <c r="AE45" s="14" t="s">
        <v>97</v>
      </c>
      <c r="AF45" s="21"/>
      <c r="AG45" s="22">
        <f>-'Cpte Résultat'!AA61</f>
        <v>-3150</v>
      </c>
      <c r="AH45" s="22">
        <f>-'Cpte Résultat'!AB61</f>
        <v>-37800</v>
      </c>
      <c r="AI45" s="22">
        <f>-'Cpte Résultat'!AC61</f>
        <v>-3150</v>
      </c>
      <c r="AJ45" s="22">
        <f>-'Cpte Résultat'!AD61</f>
        <v>-3150</v>
      </c>
      <c r="AK45" s="22">
        <f>-'Cpte Résultat'!AE61</f>
        <v>-3150</v>
      </c>
      <c r="AL45" s="22">
        <f>-'Cpte Résultat'!AF61</f>
        <v>-3150</v>
      </c>
      <c r="AM45" s="22">
        <f>-'Cpte Résultat'!AG61</f>
        <v>-3150</v>
      </c>
      <c r="AN45" s="22">
        <f>-'Cpte Résultat'!AH61</f>
        <v>-3150</v>
      </c>
      <c r="AO45" s="22">
        <f>-'Cpte Résultat'!AI61</f>
        <v>-3150</v>
      </c>
      <c r="AP45" s="22">
        <f>-'Cpte Résultat'!AJ61</f>
        <v>-3150</v>
      </c>
      <c r="AQ45" s="22">
        <f>-'Cpte Résultat'!AK61</f>
        <v>-3150</v>
      </c>
      <c r="AR45" s="22">
        <f>-'Cpte Résultat'!AL61</f>
        <v>-3150</v>
      </c>
      <c r="AS45" s="139">
        <f t="shared" si="4"/>
        <v>-72450</v>
      </c>
    </row>
    <row r="46" spans="1:45" ht="15" x14ac:dyDescent="0.25">
      <c r="A46" s="14" t="s">
        <v>186</v>
      </c>
      <c r="B46" s="21"/>
      <c r="C46" s="22"/>
      <c r="D46" s="22"/>
      <c r="E46" s="22">
        <f>-'Cpte Résultat'!D62</f>
        <v>-3250</v>
      </c>
      <c r="F46" s="22">
        <f>-'Cpte Résultat'!E62</f>
        <v>-3250</v>
      </c>
      <c r="G46" s="22">
        <f>-'Cpte Résultat'!F62</f>
        <v>-3250</v>
      </c>
      <c r="H46" s="22">
        <f>-'Cpte Résultat'!G62</f>
        <v>-3250</v>
      </c>
      <c r="I46" s="22">
        <f>-'Cpte Résultat'!H62</f>
        <v>-3250</v>
      </c>
      <c r="J46" s="22">
        <f>-'Cpte Résultat'!I62</f>
        <v>-3250</v>
      </c>
      <c r="K46" s="22">
        <f>-'Cpte Résultat'!J62</f>
        <v>-3250</v>
      </c>
      <c r="L46" s="22">
        <f>-'Cpte Résultat'!K62</f>
        <v>-3250</v>
      </c>
      <c r="M46" s="22">
        <f>-'Cpte Résultat'!L62</f>
        <v>-3250</v>
      </c>
      <c r="N46" s="22">
        <f>-'Cpte Résultat'!M62</f>
        <v>-3250</v>
      </c>
      <c r="O46" s="133">
        <f t="shared" si="23"/>
        <v>-32500</v>
      </c>
      <c r="P46" s="14" t="s">
        <v>98</v>
      </c>
      <c r="Q46" s="21"/>
      <c r="R46" s="22">
        <f>-'Cpte Résultat'!Q62</f>
        <v>-3300</v>
      </c>
      <c r="S46" s="22">
        <f>-'Cpte Résultat'!P62</f>
        <v>-3300</v>
      </c>
      <c r="T46" s="22">
        <f>-'Cpte Résultat'!Q62</f>
        <v>-3300</v>
      </c>
      <c r="U46" s="22">
        <f>-'Cpte Résultat'!R62</f>
        <v>-3300</v>
      </c>
      <c r="V46" s="22">
        <f>-'Cpte Résultat'!S62</f>
        <v>-3300</v>
      </c>
      <c r="W46" s="22">
        <f>-'Cpte Résultat'!T62</f>
        <v>-3300</v>
      </c>
      <c r="X46" s="22">
        <f>-'Cpte Résultat'!U62</f>
        <v>-3300</v>
      </c>
      <c r="Y46" s="22">
        <f>-'Cpte Résultat'!V62</f>
        <v>-3300</v>
      </c>
      <c r="Z46" s="22">
        <f>-'Cpte Résultat'!W62</f>
        <v>-3300</v>
      </c>
      <c r="AA46" s="22">
        <f>-'Cpte Résultat'!X62</f>
        <v>-3300</v>
      </c>
      <c r="AB46" s="22">
        <f>-'Cpte Résultat'!Y62</f>
        <v>-3300</v>
      </c>
      <c r="AC46" s="22">
        <f>-'Cpte Résultat'!Z62</f>
        <v>-3300</v>
      </c>
      <c r="AD46" s="133">
        <f t="shared" si="2"/>
        <v>-39600</v>
      </c>
      <c r="AE46" s="14" t="s">
        <v>98</v>
      </c>
      <c r="AF46" s="21"/>
      <c r="AG46" s="22">
        <f>-'Cpte Résultat'!AA62</f>
        <v>-3300</v>
      </c>
      <c r="AH46" s="22">
        <f>-'Cpte Résultat'!AB62</f>
        <v>-39600</v>
      </c>
      <c r="AI46" s="22">
        <f>-'Cpte Résultat'!AC62</f>
        <v>-3300</v>
      </c>
      <c r="AJ46" s="22">
        <f>-'Cpte Résultat'!AD62</f>
        <v>-3300</v>
      </c>
      <c r="AK46" s="22">
        <f>-'Cpte Résultat'!AE62</f>
        <v>-3300</v>
      </c>
      <c r="AL46" s="22">
        <f>-'Cpte Résultat'!AF62</f>
        <v>-3300</v>
      </c>
      <c r="AM46" s="22">
        <f>-'Cpte Résultat'!AG62</f>
        <v>-3300</v>
      </c>
      <c r="AN46" s="22">
        <f>-'Cpte Résultat'!AH62</f>
        <v>-3300</v>
      </c>
      <c r="AO46" s="22">
        <f>-'Cpte Résultat'!AI62</f>
        <v>-3300</v>
      </c>
      <c r="AP46" s="22">
        <f>-'Cpte Résultat'!AJ62</f>
        <v>-3300</v>
      </c>
      <c r="AQ46" s="22">
        <f>-'Cpte Résultat'!AK62</f>
        <v>-3300</v>
      </c>
      <c r="AR46" s="22">
        <f>-'Cpte Résultat'!AL62</f>
        <v>-3300</v>
      </c>
      <c r="AS46" s="139">
        <f t="shared" si="4"/>
        <v>-75900</v>
      </c>
    </row>
    <row r="47" spans="1:45" ht="15" x14ac:dyDescent="0.25">
      <c r="A47" s="14" t="s">
        <v>99</v>
      </c>
      <c r="B47" s="21"/>
      <c r="C47" s="22"/>
      <c r="D47" s="22"/>
      <c r="E47" s="22">
        <f>-'Cpte Résultat'!D63</f>
        <v>-1666.6666666666667</v>
      </c>
      <c r="F47" s="22">
        <f>-'Cpte Résultat'!E63</f>
        <v>-1666.6666666666667</v>
      </c>
      <c r="G47" s="22">
        <f>-'Cpte Résultat'!F63</f>
        <v>-1666.6666666666667</v>
      </c>
      <c r="H47" s="22">
        <f>-'Cpte Résultat'!G63</f>
        <v>-1666.6666666666667</v>
      </c>
      <c r="I47" s="22">
        <f>-'Cpte Résultat'!H63</f>
        <v>-1666.6666666666667</v>
      </c>
      <c r="J47" s="22">
        <f>-'Cpte Résultat'!I63</f>
        <v>-1666.6666666666667</v>
      </c>
      <c r="K47" s="22">
        <f>-'Cpte Résultat'!J63</f>
        <v>-1666.6666666666667</v>
      </c>
      <c r="L47" s="22">
        <f>-'Cpte Résultat'!K63</f>
        <v>-1666.6666666666667</v>
      </c>
      <c r="M47" s="22">
        <f>-'Cpte Résultat'!L63</f>
        <v>-1666.6666666666667</v>
      </c>
      <c r="N47" s="22">
        <f>-'Cpte Résultat'!M63</f>
        <v>-1666.6666666666667</v>
      </c>
      <c r="O47" s="133">
        <f t="shared" si="23"/>
        <v>-16666.666666666664</v>
      </c>
      <c r="P47" s="14" t="s">
        <v>99</v>
      </c>
      <c r="Q47" s="21"/>
      <c r="R47" s="22">
        <f>-'Cpte Résultat'!Q63</f>
        <v>-3333.3333333333335</v>
      </c>
      <c r="S47" s="22">
        <f>-'Cpte Résultat'!P63</f>
        <v>-3333.3333333333335</v>
      </c>
      <c r="T47" s="22">
        <f>-'Cpte Résultat'!Q63</f>
        <v>-3333.3333333333335</v>
      </c>
      <c r="U47" s="22">
        <f>-'Cpte Résultat'!R63</f>
        <v>-3333.3333333333335</v>
      </c>
      <c r="V47" s="22">
        <f>-'Cpte Résultat'!S63</f>
        <v>-3333.3333333333335</v>
      </c>
      <c r="W47" s="22">
        <f>-'Cpte Résultat'!T63</f>
        <v>-3333.3333333333335</v>
      </c>
      <c r="X47" s="22">
        <f>-'Cpte Résultat'!U63</f>
        <v>-3333.3333333333335</v>
      </c>
      <c r="Y47" s="22">
        <f>-'Cpte Résultat'!V63</f>
        <v>-3333.3333333333335</v>
      </c>
      <c r="Z47" s="22">
        <f>-'Cpte Résultat'!W63</f>
        <v>-3333.3333333333335</v>
      </c>
      <c r="AA47" s="22">
        <f>-'Cpte Résultat'!X63</f>
        <v>-3333.3333333333335</v>
      </c>
      <c r="AB47" s="22">
        <f>-'Cpte Résultat'!Y63</f>
        <v>-3333.3333333333335</v>
      </c>
      <c r="AC47" s="22">
        <f>-'Cpte Résultat'!Z63</f>
        <v>-3333.3333333333335</v>
      </c>
      <c r="AD47" s="133">
        <f t="shared" si="2"/>
        <v>-40000</v>
      </c>
      <c r="AE47" s="14" t="s">
        <v>99</v>
      </c>
      <c r="AF47" s="21"/>
      <c r="AG47" s="22">
        <f>-'Cpte Résultat'!AA63</f>
        <v>-3333.3333333333335</v>
      </c>
      <c r="AH47" s="22">
        <f>-'Cpte Résultat'!AB63</f>
        <v>-40000</v>
      </c>
      <c r="AI47" s="22">
        <f>-'Cpte Résultat'!AC63</f>
        <v>-3333.3333333333335</v>
      </c>
      <c r="AJ47" s="22">
        <f>-'Cpte Résultat'!AD63</f>
        <v>-3333.3333333333335</v>
      </c>
      <c r="AK47" s="22">
        <f>-'Cpte Résultat'!AE63</f>
        <v>-3333.3333333333335</v>
      </c>
      <c r="AL47" s="22">
        <f>-'Cpte Résultat'!AF63</f>
        <v>-3333.3333333333335</v>
      </c>
      <c r="AM47" s="22">
        <f>-'Cpte Résultat'!AG63</f>
        <v>-3333.3333333333335</v>
      </c>
      <c r="AN47" s="22">
        <f>-'Cpte Résultat'!AH63</f>
        <v>-3333.3333333333335</v>
      </c>
      <c r="AO47" s="22">
        <f>-'Cpte Résultat'!AI63</f>
        <v>-3333.3333333333335</v>
      </c>
      <c r="AP47" s="22">
        <f>-'Cpte Résultat'!AJ63</f>
        <v>-3333.3333333333335</v>
      </c>
      <c r="AQ47" s="22">
        <f>-'Cpte Résultat'!AK63</f>
        <v>-3333.3333333333335</v>
      </c>
      <c r="AR47" s="22">
        <f>-'Cpte Résultat'!AL63</f>
        <v>-3333.3333333333335</v>
      </c>
      <c r="AS47" s="139">
        <f t="shared" si="4"/>
        <v>-76666.666666666672</v>
      </c>
    </row>
    <row r="48" spans="1:45" ht="15" x14ac:dyDescent="0.25">
      <c r="A48" s="14" t="s">
        <v>100</v>
      </c>
      <c r="B48" s="21"/>
      <c r="C48" s="22"/>
      <c r="D48" s="22"/>
      <c r="E48" s="22">
        <f>-'Cpte Résultat'!D64</f>
        <v>0</v>
      </c>
      <c r="F48" s="22">
        <f>-'Cpte Résultat'!E64</f>
        <v>-250</v>
      </c>
      <c r="G48" s="22">
        <f>-'Cpte Résultat'!F64</f>
        <v>-250</v>
      </c>
      <c r="H48" s="22">
        <f>-'Cpte Résultat'!G64</f>
        <v>-250</v>
      </c>
      <c r="I48" s="22">
        <f>-'Cpte Résultat'!H64</f>
        <v>-250</v>
      </c>
      <c r="J48" s="22">
        <f>-'Cpte Résultat'!I64</f>
        <v>-250</v>
      </c>
      <c r="K48" s="22">
        <f>-'Cpte Résultat'!J64</f>
        <v>-250</v>
      </c>
      <c r="L48" s="22">
        <f>-'Cpte Résultat'!K64</f>
        <v>-250</v>
      </c>
      <c r="M48" s="22">
        <f>-'Cpte Résultat'!L64</f>
        <v>-250</v>
      </c>
      <c r="N48" s="22">
        <f>-'Cpte Résultat'!M64</f>
        <v>-250</v>
      </c>
      <c r="O48" s="133">
        <f t="shared" si="23"/>
        <v>-2250</v>
      </c>
      <c r="P48" s="14" t="s">
        <v>100</v>
      </c>
      <c r="Q48" s="21"/>
      <c r="R48" s="22">
        <f>-'Cpte Résultat'!Q64</f>
        <v>-583.33333333333337</v>
      </c>
      <c r="S48" s="22">
        <f>-'Cpte Résultat'!P64</f>
        <v>-583.33333333333337</v>
      </c>
      <c r="T48" s="22">
        <f>-'Cpte Résultat'!Q64</f>
        <v>-583.33333333333337</v>
      </c>
      <c r="U48" s="22">
        <f>-'Cpte Résultat'!R64</f>
        <v>-583.33333333333337</v>
      </c>
      <c r="V48" s="22">
        <f>-'Cpte Résultat'!S64</f>
        <v>-583.33333333333337</v>
      </c>
      <c r="W48" s="22">
        <f>-'Cpte Résultat'!T64</f>
        <v>-583.33333333333337</v>
      </c>
      <c r="X48" s="22">
        <f>-'Cpte Résultat'!U64</f>
        <v>-583.33333333333337</v>
      </c>
      <c r="Y48" s="22">
        <f>-'Cpte Résultat'!V64</f>
        <v>-583.33333333333337</v>
      </c>
      <c r="Z48" s="22">
        <f>-'Cpte Résultat'!W64</f>
        <v>-583.33333333333337</v>
      </c>
      <c r="AA48" s="22">
        <f>-'Cpte Résultat'!X64</f>
        <v>-583.33333333333337</v>
      </c>
      <c r="AB48" s="22">
        <f>-'Cpte Résultat'!Y64</f>
        <v>-583.33333333333337</v>
      </c>
      <c r="AC48" s="22">
        <f>-'Cpte Résultat'!Z64</f>
        <v>-583.33333333333337</v>
      </c>
      <c r="AD48" s="133">
        <f t="shared" si="2"/>
        <v>-6999.9999999999991</v>
      </c>
      <c r="AE48" s="14" t="s">
        <v>100</v>
      </c>
      <c r="AF48" s="21"/>
      <c r="AG48" s="22">
        <f>-'Cpte Résultat'!AA64</f>
        <v>-583.33333333333337</v>
      </c>
      <c r="AH48" s="22">
        <f>-'Cpte Résultat'!AB64</f>
        <v>-6999.9999999999991</v>
      </c>
      <c r="AI48" s="22">
        <f>-'Cpte Résultat'!AC64</f>
        <v>-833.33333333333337</v>
      </c>
      <c r="AJ48" s="22">
        <f>-'Cpte Résultat'!AD64</f>
        <v>-833.33333333333337</v>
      </c>
      <c r="AK48" s="22">
        <f>-'Cpte Résultat'!AE64</f>
        <v>-833.33333333333337</v>
      </c>
      <c r="AL48" s="22">
        <f>-'Cpte Résultat'!AF64</f>
        <v>-833.33333333333337</v>
      </c>
      <c r="AM48" s="22">
        <f>-'Cpte Résultat'!AG64</f>
        <v>-833.33333333333337</v>
      </c>
      <c r="AN48" s="22">
        <f>-'Cpte Résultat'!AH64</f>
        <v>-833.33333333333337</v>
      </c>
      <c r="AO48" s="22">
        <f>-'Cpte Résultat'!AI64</f>
        <v>-833.33333333333337</v>
      </c>
      <c r="AP48" s="22">
        <f>-'Cpte Résultat'!AJ64</f>
        <v>-833.33333333333337</v>
      </c>
      <c r="AQ48" s="22">
        <f>-'Cpte Résultat'!AK64</f>
        <v>-833.33333333333337</v>
      </c>
      <c r="AR48" s="22">
        <f>-'Cpte Résultat'!AL64</f>
        <v>-833.33333333333337</v>
      </c>
      <c r="AS48" s="139">
        <f t="shared" si="4"/>
        <v>-15916.666666666672</v>
      </c>
    </row>
    <row r="49" spans="1:45" ht="15" x14ac:dyDescent="0.25">
      <c r="A49" s="14" t="s">
        <v>101</v>
      </c>
      <c r="B49" s="21"/>
      <c r="C49" s="22"/>
      <c r="D49" s="22"/>
      <c r="E49" s="22">
        <f>-'Cpte Résultat'!D65</f>
        <v>-144.16666666666666</v>
      </c>
      <c r="F49" s="22">
        <f>-'Cpte Résultat'!E65</f>
        <v>-144.16666666666666</v>
      </c>
      <c r="G49" s="22">
        <f>-'Cpte Résultat'!F65</f>
        <v>-144.16666666666666</v>
      </c>
      <c r="H49" s="22">
        <f>-'Cpte Résultat'!G65</f>
        <v>-144.16666666666666</v>
      </c>
      <c r="I49" s="22">
        <f>-'Cpte Résultat'!H65</f>
        <v>-144.16666666666666</v>
      </c>
      <c r="J49" s="22">
        <f>-'Cpte Résultat'!I65</f>
        <v>-144.16666666666666</v>
      </c>
      <c r="K49" s="22">
        <f>-'Cpte Résultat'!J65</f>
        <v>-144.16666666666666</v>
      </c>
      <c r="L49" s="22">
        <f>-'Cpte Résultat'!K65</f>
        <v>-144.16666666666666</v>
      </c>
      <c r="M49" s="22">
        <f>-'Cpte Résultat'!L65</f>
        <v>-144.16666666666666</v>
      </c>
      <c r="N49" s="22">
        <f>-'Cpte Résultat'!M65</f>
        <v>-144.16666666666666</v>
      </c>
      <c r="O49" s="133">
        <f t="shared" si="23"/>
        <v>-1441.6666666666667</v>
      </c>
      <c r="P49" s="14" t="s">
        <v>101</v>
      </c>
      <c r="Q49" s="21"/>
      <c r="R49" s="22">
        <f>-'Cpte Résultat'!Q65</f>
        <v>-144.16666666666666</v>
      </c>
      <c r="S49" s="22">
        <f>-'Cpte Résultat'!P65</f>
        <v>-144.16666666666666</v>
      </c>
      <c r="T49" s="22">
        <f>-'Cpte Résultat'!Q65</f>
        <v>-144.16666666666666</v>
      </c>
      <c r="U49" s="22">
        <f>-'Cpte Résultat'!R65</f>
        <v>-144.16666666666666</v>
      </c>
      <c r="V49" s="22">
        <f>-'Cpte Résultat'!S65</f>
        <v>-144.16666666666666</v>
      </c>
      <c r="W49" s="22">
        <f>-'Cpte Résultat'!T65</f>
        <v>-144.16666666666666</v>
      </c>
      <c r="X49" s="22">
        <f>-'Cpte Résultat'!U65</f>
        <v>-144.16666666666666</v>
      </c>
      <c r="Y49" s="22">
        <f>-'Cpte Résultat'!V65</f>
        <v>-144.16666666666666</v>
      </c>
      <c r="Z49" s="22">
        <f>-'Cpte Résultat'!W65</f>
        <v>-144.16666666666666</v>
      </c>
      <c r="AA49" s="22">
        <f>-'Cpte Résultat'!X65</f>
        <v>-144.16666666666666</v>
      </c>
      <c r="AB49" s="22">
        <f>-'Cpte Résultat'!Y65</f>
        <v>-144.16666666666666</v>
      </c>
      <c r="AC49" s="22">
        <f>-'Cpte Résultat'!Z65</f>
        <v>-144.16666666666666</v>
      </c>
      <c r="AD49" s="133">
        <f t="shared" si="2"/>
        <v>-1730.0000000000002</v>
      </c>
      <c r="AE49" s="14" t="s">
        <v>101</v>
      </c>
      <c r="AF49" s="21"/>
      <c r="AG49" s="22">
        <f>-'Cpte Résultat'!AA65</f>
        <v>-144.16666666666666</v>
      </c>
      <c r="AH49" s="22">
        <f>-'Cpte Résultat'!AB65</f>
        <v>-1730.0000000000002</v>
      </c>
      <c r="AI49" s="22">
        <f>-'Cpte Résultat'!AC65</f>
        <v>-144.16666666666666</v>
      </c>
      <c r="AJ49" s="22">
        <f>-'Cpte Résultat'!AD65</f>
        <v>-144.16666666666666</v>
      </c>
      <c r="AK49" s="22">
        <f>-'Cpte Résultat'!AE65</f>
        <v>-144.16666666666666</v>
      </c>
      <c r="AL49" s="22">
        <f>-'Cpte Résultat'!AF65</f>
        <v>-144.16666666666666</v>
      </c>
      <c r="AM49" s="22">
        <f>-'Cpte Résultat'!AG65</f>
        <v>-144.16666666666666</v>
      </c>
      <c r="AN49" s="22">
        <f>-'Cpte Résultat'!AH65</f>
        <v>-144.16666666666666</v>
      </c>
      <c r="AO49" s="22">
        <f>-'Cpte Résultat'!AI65</f>
        <v>-144.16666666666666</v>
      </c>
      <c r="AP49" s="22">
        <f>-'Cpte Résultat'!AJ65</f>
        <v>-144.16666666666666</v>
      </c>
      <c r="AQ49" s="22">
        <f>-'Cpte Résultat'!AK65</f>
        <v>-144.16666666666666</v>
      </c>
      <c r="AR49" s="22">
        <f>-'Cpte Résultat'!AL65</f>
        <v>-144.16666666666666</v>
      </c>
      <c r="AS49" s="139">
        <f t="shared" si="4"/>
        <v>-3315.8333333333326</v>
      </c>
    </row>
    <row r="50" spans="1:45" ht="15" x14ac:dyDescent="0.25">
      <c r="A50" s="14" t="s">
        <v>102</v>
      </c>
      <c r="B50" s="21"/>
      <c r="C50" s="22"/>
      <c r="D50" s="22"/>
      <c r="E50" s="22">
        <f>-'Cpte Résultat'!D66</f>
        <v>0</v>
      </c>
      <c r="F50" s="22">
        <f>-'Cpte Résultat'!E66</f>
        <v>-166.66666666666666</v>
      </c>
      <c r="G50" s="22">
        <f>-'Cpte Résultat'!F66</f>
        <v>-166.66666666666666</v>
      </c>
      <c r="H50" s="22">
        <f>-'Cpte Résultat'!G66</f>
        <v>-166.66666666666666</v>
      </c>
      <c r="I50" s="22">
        <f>-'Cpte Résultat'!H66</f>
        <v>-166.66666666666666</v>
      </c>
      <c r="J50" s="22">
        <f>-'Cpte Résultat'!I66</f>
        <v>-166.66666666666666</v>
      </c>
      <c r="K50" s="22">
        <f>-'Cpte Résultat'!J66</f>
        <v>-166.66666666666666</v>
      </c>
      <c r="L50" s="22">
        <f>-'Cpte Résultat'!K66</f>
        <v>-166.66666666666666</v>
      </c>
      <c r="M50" s="22">
        <f>-'Cpte Résultat'!L66</f>
        <v>-166.66666666666666</v>
      </c>
      <c r="N50" s="22">
        <f>-'Cpte Résultat'!M66</f>
        <v>-166.66666666666666</v>
      </c>
      <c r="O50" s="133">
        <f t="shared" si="23"/>
        <v>-1500</v>
      </c>
      <c r="P50" s="14" t="s">
        <v>102</v>
      </c>
      <c r="Q50" s="21"/>
      <c r="R50" s="22">
        <f>-'Cpte Résultat'!Q66</f>
        <v>-166.66666666666666</v>
      </c>
      <c r="S50" s="22">
        <f>-'Cpte Résultat'!P66</f>
        <v>-166.66666666666666</v>
      </c>
      <c r="T50" s="22">
        <f>-'Cpte Résultat'!Q66</f>
        <v>-166.66666666666666</v>
      </c>
      <c r="U50" s="22">
        <f>-'Cpte Résultat'!R66</f>
        <v>-166.66666666666666</v>
      </c>
      <c r="V50" s="22">
        <f>-'Cpte Résultat'!S66</f>
        <v>-166.66666666666666</v>
      </c>
      <c r="W50" s="22">
        <f>-'Cpte Résultat'!T66</f>
        <v>-166.66666666666666</v>
      </c>
      <c r="X50" s="22">
        <f>-'Cpte Résultat'!U66</f>
        <v>-166.66666666666666</v>
      </c>
      <c r="Y50" s="22">
        <f>-'Cpte Résultat'!V66</f>
        <v>-166.66666666666666</v>
      </c>
      <c r="Z50" s="22">
        <f>-'Cpte Résultat'!W66</f>
        <v>-166.66666666666666</v>
      </c>
      <c r="AA50" s="22">
        <f>-'Cpte Résultat'!X66</f>
        <v>-166.66666666666666</v>
      </c>
      <c r="AB50" s="22">
        <f>-'Cpte Résultat'!Y66</f>
        <v>-166.66666666666666</v>
      </c>
      <c r="AC50" s="22">
        <f>-'Cpte Résultat'!Z66</f>
        <v>-166.66666666666666</v>
      </c>
      <c r="AD50" s="133">
        <f t="shared" si="2"/>
        <v>-2000.0000000000002</v>
      </c>
      <c r="AE50" s="14" t="s">
        <v>102</v>
      </c>
      <c r="AF50" s="21"/>
      <c r="AG50" s="22">
        <f>-'Cpte Résultat'!AA66</f>
        <v>-166.66666666666666</v>
      </c>
      <c r="AH50" s="22">
        <f>-'Cpte Résultat'!AB66</f>
        <v>-2000.0000000000002</v>
      </c>
      <c r="AI50" s="22">
        <f>-'Cpte Résultat'!AC66</f>
        <v>-166.66666666666666</v>
      </c>
      <c r="AJ50" s="22">
        <f>-'Cpte Résultat'!AD66</f>
        <v>-166.66666666666666</v>
      </c>
      <c r="AK50" s="22">
        <f>-'Cpte Résultat'!AE66</f>
        <v>-166.66666666666666</v>
      </c>
      <c r="AL50" s="22">
        <f>-'Cpte Résultat'!AF66</f>
        <v>-166.66666666666666</v>
      </c>
      <c r="AM50" s="22">
        <f>-'Cpte Résultat'!AG66</f>
        <v>-166.66666666666666</v>
      </c>
      <c r="AN50" s="22">
        <f>-'Cpte Résultat'!AH66</f>
        <v>-166.66666666666666</v>
      </c>
      <c r="AO50" s="22">
        <f>-'Cpte Résultat'!AI66</f>
        <v>-166.66666666666666</v>
      </c>
      <c r="AP50" s="22">
        <f>-'Cpte Résultat'!AJ66</f>
        <v>-166.66666666666666</v>
      </c>
      <c r="AQ50" s="22">
        <f>-'Cpte Résultat'!AK66</f>
        <v>-166.66666666666666</v>
      </c>
      <c r="AR50" s="22">
        <f>-'Cpte Résultat'!AL66</f>
        <v>-166.66666666666666</v>
      </c>
      <c r="AS50" s="139">
        <f t="shared" si="4"/>
        <v>-3833.3333333333321</v>
      </c>
    </row>
    <row r="51" spans="1:45" ht="15" x14ac:dyDescent="0.25">
      <c r="A51" s="14" t="s">
        <v>103</v>
      </c>
      <c r="B51" s="21"/>
      <c r="C51" s="22"/>
      <c r="D51" s="22"/>
      <c r="E51" s="22">
        <f>-'Cpte Résultat'!D67</f>
        <v>0</v>
      </c>
      <c r="F51" s="22">
        <f>-'Cpte Résultat'!E67</f>
        <v>0</v>
      </c>
      <c r="G51" s="22">
        <f>-'Cpte Résultat'!F67</f>
        <v>0</v>
      </c>
      <c r="H51" s="22">
        <f>-'Cpte Résultat'!G67</f>
        <v>0</v>
      </c>
      <c r="I51" s="22">
        <f>-'Cpte Résultat'!H67</f>
        <v>0</v>
      </c>
      <c r="J51" s="22">
        <f>-'Cpte Résultat'!I67</f>
        <v>0</v>
      </c>
      <c r="K51" s="22">
        <f>-'Cpte Résultat'!J67</f>
        <v>0</v>
      </c>
      <c r="L51" s="22">
        <f>-'Cpte Résultat'!K67</f>
        <v>0</v>
      </c>
      <c r="M51" s="22">
        <f>-'Cpte Résultat'!L67</f>
        <v>-5595</v>
      </c>
      <c r="N51" s="22">
        <f>-'Cpte Résultat'!M67</f>
        <v>0</v>
      </c>
      <c r="O51" s="133">
        <f t="shared" si="23"/>
        <v>-5595</v>
      </c>
      <c r="P51" s="14" t="s">
        <v>103</v>
      </c>
      <c r="Q51" s="21"/>
      <c r="R51" s="22">
        <f>-'Cpte Résultat'!Q67</f>
        <v>-1182.5833333333333</v>
      </c>
      <c r="S51" s="22">
        <f>-'Cpte Résultat'!P67</f>
        <v>-1182.5833333333333</v>
      </c>
      <c r="T51" s="22">
        <f>-'Cpte Résultat'!Q67</f>
        <v>-1182.5833333333333</v>
      </c>
      <c r="U51" s="22">
        <f>-'Cpte Résultat'!R67</f>
        <v>-1182.5833333333333</v>
      </c>
      <c r="V51" s="22">
        <f>-'Cpte Résultat'!S67</f>
        <v>-1182.5833333333333</v>
      </c>
      <c r="W51" s="22">
        <f>-'Cpte Résultat'!T67</f>
        <v>-1182.5833333333333</v>
      </c>
      <c r="X51" s="22">
        <f>-'Cpte Résultat'!U67</f>
        <v>-1182.5833333333333</v>
      </c>
      <c r="Y51" s="22">
        <f>-'Cpte Résultat'!V67</f>
        <v>-1182.5833333333333</v>
      </c>
      <c r="Z51" s="22">
        <f>-'Cpte Résultat'!W67</f>
        <v>-1182.5833333333333</v>
      </c>
      <c r="AA51" s="22">
        <f>-'Cpte Résultat'!X67</f>
        <v>-1182.5833333333333</v>
      </c>
      <c r="AB51" s="22">
        <f>-'Cpte Résultat'!Y67</f>
        <v>-1182.5833333333333</v>
      </c>
      <c r="AC51" s="22">
        <f>-'Cpte Résultat'!Z67</f>
        <v>-1182.5833333333333</v>
      </c>
      <c r="AD51" s="133">
        <f t="shared" si="2"/>
        <v>-14191.000000000002</v>
      </c>
      <c r="AE51" s="14" t="s">
        <v>103</v>
      </c>
      <c r="AF51" s="21"/>
      <c r="AG51" s="22">
        <f>-'Cpte Résultat'!AA67</f>
        <v>-1182.5833333333333</v>
      </c>
      <c r="AH51" s="22">
        <f>-'Cpte Résultat'!AB67</f>
        <v>-14191.000000000002</v>
      </c>
      <c r="AI51" s="22">
        <f>-'Cpte Résultat'!AC67</f>
        <v>-4978.75</v>
      </c>
      <c r="AJ51" s="22">
        <f>-'Cpte Résultat'!AD67</f>
        <v>-4978.75</v>
      </c>
      <c r="AK51" s="22">
        <f>-'Cpte Résultat'!AE67</f>
        <v>-4978.75</v>
      </c>
      <c r="AL51" s="22">
        <f>-'Cpte Résultat'!AF67</f>
        <v>-4978.75</v>
      </c>
      <c r="AM51" s="22">
        <f>-'Cpte Résultat'!AG67</f>
        <v>-4978.75</v>
      </c>
      <c r="AN51" s="22">
        <f>-'Cpte Résultat'!AH67</f>
        <v>-4978.75</v>
      </c>
      <c r="AO51" s="22">
        <f>-'Cpte Résultat'!AI67</f>
        <v>-4978.75</v>
      </c>
      <c r="AP51" s="22">
        <f>-'Cpte Résultat'!AJ67</f>
        <v>-4978.75</v>
      </c>
      <c r="AQ51" s="22">
        <f>-'Cpte Résultat'!AK67</f>
        <v>-4978.75</v>
      </c>
      <c r="AR51" s="22">
        <f>-'Cpte Résultat'!AL67</f>
        <v>-4978.75</v>
      </c>
      <c r="AS51" s="139">
        <f t="shared" si="4"/>
        <v>-65161.083333333336</v>
      </c>
    </row>
    <row r="52" spans="1:45" ht="15" x14ac:dyDescent="0.25">
      <c r="A52" s="14" t="s">
        <v>104</v>
      </c>
      <c r="B52" s="21"/>
      <c r="C52" s="22"/>
      <c r="D52" s="22"/>
      <c r="E52" s="22">
        <f>-'Invest et amort'!C$8</f>
        <v>0</v>
      </c>
      <c r="F52" s="22">
        <f>-'Invest et amort'!D$8</f>
        <v>0</v>
      </c>
      <c r="G52" s="22">
        <f>-'Invest et amort'!E$8</f>
        <v>-3000</v>
      </c>
      <c r="H52" s="22">
        <f>-'Invest et amort'!F$8</f>
        <v>-9532.0833333333339</v>
      </c>
      <c r="I52" s="22">
        <f>-'Invest et amort'!G$8</f>
        <v>-9532.0833333333339</v>
      </c>
      <c r="J52" s="22">
        <f>-'Invest et amort'!H$8</f>
        <v>-9532.0833333333339</v>
      </c>
      <c r="K52" s="22">
        <f>-'Invest et amort'!I$8</f>
        <v>-9532.0833333333339</v>
      </c>
      <c r="L52" s="22">
        <f>-'Invest et amort'!J$8</f>
        <v>-9532.0833333333339</v>
      </c>
      <c r="M52" s="22">
        <f>-'Invest et amort'!K$8</f>
        <v>-9532.0833333333339</v>
      </c>
      <c r="N52" s="22">
        <f>-'Invest et amort'!L$8</f>
        <v>-9532.0833333333339</v>
      </c>
      <c r="O52" s="133">
        <f t="shared" si="23"/>
        <v>-69724.583333333343</v>
      </c>
      <c r="P52" s="14" t="s">
        <v>104</v>
      </c>
      <c r="Q52" s="21"/>
      <c r="R52" s="22">
        <f>-'Invest et amort'!P$8</f>
        <v>-13312.083333333334</v>
      </c>
      <c r="S52" s="22">
        <f>-'Invest et amort'!O$8</f>
        <v>-13312.083333333334</v>
      </c>
      <c r="T52" s="22">
        <f>-'Invest et amort'!P$8</f>
        <v>-13312.083333333334</v>
      </c>
      <c r="U52" s="22">
        <f>-'Invest et amort'!Q$8</f>
        <v>-13312.083333333334</v>
      </c>
      <c r="V52" s="22">
        <f>-'Invest et amort'!R$8</f>
        <v>-13312.083333333334</v>
      </c>
      <c r="W52" s="22">
        <f>-'Invest et amort'!S$8</f>
        <v>-13312.083333333334</v>
      </c>
      <c r="X52" s="22">
        <f>-'Invest et amort'!T$8</f>
        <v>-13312.083333333334</v>
      </c>
      <c r="Y52" s="22">
        <f>-'Invest et amort'!U$8</f>
        <v>-13312.083333333334</v>
      </c>
      <c r="Z52" s="22">
        <f>-'Invest et amort'!V$8</f>
        <v>-13312.083333333334</v>
      </c>
      <c r="AA52" s="22">
        <f>-'Invest et amort'!W$8</f>
        <v>-13312.083333333334</v>
      </c>
      <c r="AB52" s="22">
        <f>-'Invest et amort'!X$8</f>
        <v>-13312.083333333334</v>
      </c>
      <c r="AC52" s="22">
        <f>-'Invest et amort'!Y$8</f>
        <v>-13312.083333333334</v>
      </c>
      <c r="AD52" s="133">
        <f t="shared" si="2"/>
        <v>-159745</v>
      </c>
      <c r="AE52" s="14" t="s">
        <v>104</v>
      </c>
      <c r="AF52" s="21"/>
      <c r="AG52" s="22">
        <f>-'Invest et amort'!$Z$8</f>
        <v>-13312.083333333334</v>
      </c>
      <c r="AH52" s="22">
        <f>-'Invest et amort'!$AB$8</f>
        <v>-13312.083333333334</v>
      </c>
      <c r="AI52" s="22">
        <f>-'Invest et amort'!$AB$8</f>
        <v>-13312.083333333334</v>
      </c>
      <c r="AJ52" s="22">
        <f>-'Invest et amort'!$AB$8</f>
        <v>-13312.083333333334</v>
      </c>
      <c r="AK52" s="22">
        <f>-'Invest et amort'!$AB$8</f>
        <v>-13312.083333333334</v>
      </c>
      <c r="AL52" s="22">
        <f>-'Invest et amort'!$AB$8</f>
        <v>-13312.083333333334</v>
      </c>
      <c r="AM52" s="22">
        <f>-'Invest et amort'!$AB$8</f>
        <v>-13312.083333333334</v>
      </c>
      <c r="AN52" s="22">
        <f>-'Invest et amort'!$AB$8</f>
        <v>-13312.083333333334</v>
      </c>
      <c r="AO52" s="22">
        <f>-'Invest et amort'!$AB$8</f>
        <v>-13312.083333333334</v>
      </c>
      <c r="AP52" s="22">
        <f>-'Invest et amort'!$AB$8</f>
        <v>-13312.083333333334</v>
      </c>
      <c r="AQ52" s="22">
        <f>-'Invest et amort'!$AB$8</f>
        <v>-13312.083333333334</v>
      </c>
      <c r="AR52" s="22">
        <f>-'Invest et amort'!$AB$8</f>
        <v>-13312.083333333334</v>
      </c>
      <c r="AS52" s="139">
        <f t="shared" si="4"/>
        <v>-159745</v>
      </c>
    </row>
    <row r="53" spans="1:45" ht="15" x14ac:dyDescent="0.25">
      <c r="A53" s="14" t="s">
        <v>105</v>
      </c>
      <c r="B53" s="21"/>
      <c r="C53" s="22"/>
      <c r="D53" s="22"/>
      <c r="E53" s="22">
        <f>(E52+E50+E49+E48+E47+E46+E45+E44+E43+E42+E41+E40+E39+E38+E37+E36+E35+E34+E33+E32+E31)*20%</f>
        <v>-2379.166666666667</v>
      </c>
      <c r="F53" s="22">
        <f t="shared" ref="F53:N53" si="37">(F52+F50+F49+F48+F47+F46+F45+F44+F43+F42+F41+F40+F39+F38+F37+F36+F35+F34+F33+F32+F31)*20%</f>
        <v>-3027.166666666667</v>
      </c>
      <c r="G53" s="22">
        <f t="shared" si="37"/>
        <v>-3402.1666666666665</v>
      </c>
      <c r="H53" s="22">
        <f t="shared" si="37"/>
        <v>-4708.583333333333</v>
      </c>
      <c r="I53" s="22">
        <f t="shared" si="37"/>
        <v>-5542.916666666667</v>
      </c>
      <c r="J53" s="22">
        <f t="shared" si="37"/>
        <v>-4708.583333333333</v>
      </c>
      <c r="K53" s="22">
        <f t="shared" si="37"/>
        <v>-5013.25</v>
      </c>
      <c r="L53" s="22">
        <f t="shared" si="37"/>
        <v>-4933.583333333333</v>
      </c>
      <c r="M53" s="22">
        <f t="shared" si="37"/>
        <v>-4708.583333333333</v>
      </c>
      <c r="N53" s="22">
        <f t="shared" si="37"/>
        <v>-5165.583333333333</v>
      </c>
      <c r="O53" s="133">
        <f t="shared" si="23"/>
        <v>-43589.583333333336</v>
      </c>
      <c r="P53" s="14" t="s">
        <v>105</v>
      </c>
      <c r="Q53" s="21"/>
      <c r="R53" s="22">
        <f t="shared" ref="R53" si="38">(R52+R50+R49+R48+R47+R46+R45+R44+R43+R42+R41+R40+R39+R38+R37+R36+R35+R34+R33+R32+R31)*20%</f>
        <v>-6006.916666666667</v>
      </c>
      <c r="S53" s="22">
        <f t="shared" ref="S53" si="39">(S52+S50+S49+S48+S47+S46+S45+S44+S43+S42+S41+S40+S39+S38+S37+S36+S35+S34+S33+S32+S31)*20%</f>
        <v>-6093.583333333333</v>
      </c>
      <c r="T53" s="22">
        <f t="shared" ref="T53" si="40">(T52+T50+T49+T48+T47+T46+T45+T44+T43+T42+T41+T40+T39+T38+T37+T36+T35+T34+T33+T32+T31)*20%</f>
        <v>-6093.583333333333</v>
      </c>
      <c r="U53" s="22">
        <f t="shared" ref="U53" si="41">(U52+U50+U49+U48+U47+U46+U45+U44+U43+U42+U41+U40+U39+U38+U37+U36+U35+U34+U33+U32+U31)*20%</f>
        <v>-6093.583333333333</v>
      </c>
      <c r="V53" s="22">
        <f t="shared" ref="V53" si="42">(V52+V50+V49+V48+V47+V46+V45+V44+V43+V42+V41+V40+V39+V38+V37+V36+V35+V34+V33+V32+V31)*20%</f>
        <v>-6093.583333333333</v>
      </c>
      <c r="W53" s="22">
        <f t="shared" ref="W53" si="43">(W52+W50+W49+W48+W47+W46+W45+W44+W43+W42+W41+W40+W39+W38+W37+W36+W35+W34+W33+W32+W31)*20%</f>
        <v>-6093.583333333333</v>
      </c>
      <c r="X53" s="22">
        <f t="shared" ref="X53" si="44">(X52+X50+X49+X48+X47+X46+X45+X44+X43+X42+X41+X40+X39+X38+X37+X36+X35+X34+X33+X32+X31)*20%</f>
        <v>-6093.583333333333</v>
      </c>
      <c r="Y53" s="22">
        <f t="shared" ref="Y53" si="45">(Y52+Y50+Y49+Y48+Y47+Y46+Y45+Y44+Y43+Y42+Y41+Y40+Y39+Y38+Y37+Y36+Y35+Y34+Y33+Y32+Y31)*20%</f>
        <v>-6093.583333333333</v>
      </c>
      <c r="Z53" s="22">
        <f t="shared" ref="Z53" si="46">(Z52+Z50+Z49+Z48+Z47+Z46+Z45+Z44+Z43+Z42+Z41+Z40+Z39+Z38+Z37+Z36+Z35+Z34+Z33+Z32+Z31)*20%</f>
        <v>-6093.583333333333</v>
      </c>
      <c r="AA53" s="22">
        <f t="shared" ref="AA53" si="47">(AA52+AA50+AA49+AA48+AA47+AA46+AA45+AA44+AA43+AA42+AA41+AA40+AA39+AA38+AA37+AA36+AA35+AA34+AA33+AA32+AA31)*20%</f>
        <v>-6093.583333333333</v>
      </c>
      <c r="AB53" s="22">
        <f t="shared" ref="AB53" si="48">(AB52+AB50+AB49+AB48+AB47+AB46+AB45+AB44+AB43+AB42+AB41+AB40+AB39+AB38+AB37+AB36+AB35+AB34+AB33+AB32+AB31)*20%</f>
        <v>-6093.583333333333</v>
      </c>
      <c r="AC53" s="22">
        <f t="shared" ref="AC53" si="49">(AC52+AC50+AC49+AC48+AC47+AC46+AC45+AC44+AC43+AC42+AC41+AC40+AC39+AC38+AC37+AC36+AC35+AC34+AC33+AC32+AC31)*20%</f>
        <v>-6093.583333333333</v>
      </c>
      <c r="AD53" s="133">
        <f t="shared" si="2"/>
        <v>-73036.333333333328</v>
      </c>
      <c r="AE53" s="14" t="s">
        <v>105</v>
      </c>
      <c r="AF53" s="21"/>
      <c r="AG53" s="22">
        <f t="shared" ref="AG53" si="50">(AG52+AG50+AG49+AG48+AG47+AG46+AG45+AG44+AG43+AG42+AG41+AG40+AG39+AG38+AG37+AG36+AG35+AG34+AG33+AG32+AG31)*20%</f>
        <v>-6093.583333333333</v>
      </c>
      <c r="AH53" s="22">
        <f t="shared" ref="AH53" si="51">(AH52+AH50+AH49+AH48+AH47+AH46+AH45+AH44+AH43+AH42+AH41+AH40+AH39+AH38+AH37+AH36+AH35+AH34+AH33+AH32+AH31)*20%</f>
        <v>-43836.416666666672</v>
      </c>
      <c r="AI53" s="22">
        <f t="shared" ref="AI53" si="52">(AI52+AI50+AI49+AI48+AI47+AI46+AI45+AI44+AI43+AI42+AI41+AI40+AI39+AI38+AI37+AI36+AI35+AI34+AI33+AI32+AI31)*20%</f>
        <v>-6426.916666666667</v>
      </c>
      <c r="AJ53" s="22">
        <f t="shared" ref="AJ53" si="53">(AJ52+AJ50+AJ49+AJ48+AJ47+AJ46+AJ45+AJ44+AJ43+AJ42+AJ41+AJ40+AJ39+AJ38+AJ37+AJ36+AJ35+AJ34+AJ33+AJ32+AJ31)*20%</f>
        <v>-6426.916666666667</v>
      </c>
      <c r="AK53" s="22">
        <f t="shared" ref="AK53" si="54">(AK52+AK50+AK49+AK48+AK47+AK46+AK45+AK44+AK43+AK42+AK41+AK40+AK39+AK38+AK37+AK36+AK35+AK34+AK33+AK32+AK31)*20%</f>
        <v>-6426.916666666667</v>
      </c>
      <c r="AL53" s="22">
        <f t="shared" ref="AL53" si="55">(AL52+AL50+AL49+AL48+AL47+AL46+AL45+AL44+AL43+AL42+AL41+AL40+AL39+AL38+AL37+AL36+AL35+AL34+AL33+AL32+AL31)*20%</f>
        <v>-6426.916666666667</v>
      </c>
      <c r="AM53" s="22">
        <f t="shared" ref="AM53" si="56">(AM52+AM50+AM49+AM48+AM47+AM46+AM45+AM44+AM43+AM42+AM41+AM40+AM39+AM38+AM37+AM36+AM35+AM34+AM33+AM32+AM31)*20%</f>
        <v>-6426.916666666667</v>
      </c>
      <c r="AN53" s="22">
        <f t="shared" ref="AN53" si="57">(AN52+AN50+AN49+AN48+AN47+AN46+AN45+AN44+AN43+AN42+AN41+AN40+AN39+AN38+AN37+AN36+AN35+AN34+AN33+AN32+AN31)*20%</f>
        <v>-6426.916666666667</v>
      </c>
      <c r="AO53" s="22">
        <f t="shared" ref="AO53" si="58">(AO52+AO50+AO49+AO48+AO47+AO46+AO45+AO44+AO43+AO42+AO41+AO40+AO39+AO38+AO37+AO36+AO35+AO34+AO33+AO32+AO31)*20%</f>
        <v>-6426.916666666667</v>
      </c>
      <c r="AP53" s="22">
        <f t="shared" ref="AP53" si="59">(AP52+AP50+AP49+AP48+AP47+AP46+AP45+AP44+AP43+AP42+AP41+AP40+AP39+AP38+AP37+AP36+AP35+AP34+AP33+AP32+AP31)*20%</f>
        <v>-6426.916666666667</v>
      </c>
      <c r="AQ53" s="22">
        <f t="shared" ref="AQ53" si="60">(AQ52+AQ50+AQ49+AQ48+AQ47+AQ46+AQ45+AQ44+AQ43+AQ42+AQ41+AQ40+AQ39+AQ38+AQ37+AQ36+AQ35+AQ34+AQ33+AQ32+AQ31)*20%</f>
        <v>-6426.916666666667</v>
      </c>
      <c r="AR53" s="22">
        <f t="shared" ref="AR53" si="61">(AR52+AR50+AR49+AR48+AR47+AR46+AR45+AR44+AR43+AR42+AR41+AR40+AR39+AR38+AR37+AR36+AR35+AR34+AR33+AR32+AR31)*20%</f>
        <v>-6426.916666666667</v>
      </c>
      <c r="AS53" s="139">
        <f t="shared" si="4"/>
        <v>-114199.1666666667</v>
      </c>
    </row>
    <row r="54" spans="1:45" ht="15.75" thickBot="1" x14ac:dyDescent="0.3">
      <c r="A54" s="14"/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133"/>
      <c r="P54" s="14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133">
        <f t="shared" si="2"/>
        <v>0</v>
      </c>
      <c r="AE54" s="14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140"/>
    </row>
    <row r="55" spans="1:45" ht="15.75" thickBot="1" x14ac:dyDescent="0.3">
      <c r="A55" s="14" t="s">
        <v>106</v>
      </c>
      <c r="B55" s="21"/>
      <c r="C55" s="127">
        <f>+C9+C17</f>
        <v>0</v>
      </c>
      <c r="D55" s="128">
        <f t="shared" ref="D55:O55" si="62">+D9+D17</f>
        <v>13000</v>
      </c>
      <c r="E55" s="128">
        <f t="shared" si="62"/>
        <v>94048</v>
      </c>
      <c r="F55" s="128">
        <f t="shared" si="62"/>
        <v>-30696.833333333336</v>
      </c>
      <c r="G55" s="128">
        <f t="shared" si="62"/>
        <v>19601.999999999993</v>
      </c>
      <c r="H55" s="128">
        <f t="shared" si="62"/>
        <v>238435.56557304354</v>
      </c>
      <c r="I55" s="128">
        <f t="shared" si="62"/>
        <v>-95889.196690689409</v>
      </c>
      <c r="J55" s="128">
        <f t="shared" si="62"/>
        <v>-148238.95652173914</v>
      </c>
      <c r="K55" s="128">
        <f t="shared" si="62"/>
        <v>6255.4391304347664</v>
      </c>
      <c r="L55" s="128">
        <f t="shared" si="62"/>
        <v>-149331.97924010965</v>
      </c>
      <c r="M55" s="128">
        <f t="shared" si="62"/>
        <v>325595.26013043488</v>
      </c>
      <c r="N55" s="129">
        <f t="shared" si="62"/>
        <v>-16763.838260869583</v>
      </c>
      <c r="O55" s="130">
        <f t="shared" si="62"/>
        <v>256015.4607871722</v>
      </c>
      <c r="P55" s="14" t="s">
        <v>106</v>
      </c>
      <c r="Q55" s="21"/>
      <c r="R55" s="127">
        <f t="shared" ref="R55:AD55" si="63">+R9+R17</f>
        <v>-221437.40317489236</v>
      </c>
      <c r="S55" s="128">
        <f t="shared" si="63"/>
        <v>49667.212697576644</v>
      </c>
      <c r="T55" s="128">
        <f t="shared" si="63"/>
        <v>-174752.41909100497</v>
      </c>
      <c r="U55" s="128">
        <f t="shared" si="63"/>
        <v>192310.48242041992</v>
      </c>
      <c r="V55" s="128">
        <f t="shared" si="63"/>
        <v>218503.69491368171</v>
      </c>
      <c r="W55" s="128">
        <f t="shared" si="63"/>
        <v>49076.295720551105</v>
      </c>
      <c r="X55" s="128">
        <f t="shared" si="63"/>
        <v>-116712.80006936128</v>
      </c>
      <c r="Y55" s="128">
        <f t="shared" si="63"/>
        <v>-39913.506225780904</v>
      </c>
      <c r="Z55" s="128">
        <f t="shared" si="63"/>
        <v>-35541.088512180868</v>
      </c>
      <c r="AA55" s="128">
        <f t="shared" si="63"/>
        <v>-31484.999230571295</v>
      </c>
      <c r="AB55" s="128">
        <f t="shared" si="63"/>
        <v>-46479.861772138189</v>
      </c>
      <c r="AC55" s="128">
        <f t="shared" si="63"/>
        <v>-42210.083333333343</v>
      </c>
      <c r="AD55" s="130">
        <f t="shared" si="63"/>
        <v>-198974.47565703327</v>
      </c>
      <c r="AE55" s="14" t="s">
        <v>106</v>
      </c>
      <c r="AF55" s="21"/>
      <c r="AG55" s="127">
        <f t="shared" ref="AG55:AS55" si="64">+AG9+AG17</f>
        <v>-51341.474388550159</v>
      </c>
      <c r="AH55" s="128">
        <f t="shared" si="64"/>
        <v>333279.33036544267</v>
      </c>
      <c r="AI55" s="128">
        <f t="shared" si="64"/>
        <v>17386.740541427804</v>
      </c>
      <c r="AJ55" s="128">
        <f t="shared" si="64"/>
        <v>-66629.626730013639</v>
      </c>
      <c r="AK55" s="128">
        <f t="shared" si="64"/>
        <v>163439.51578353229</v>
      </c>
      <c r="AL55" s="128">
        <f t="shared" si="64"/>
        <v>91612.546398239559</v>
      </c>
      <c r="AM55" s="128">
        <f t="shared" si="64"/>
        <v>30318.222674530582</v>
      </c>
      <c r="AN55" s="128">
        <f t="shared" si="64"/>
        <v>87965.57218328095</v>
      </c>
      <c r="AO55" s="128">
        <f t="shared" si="64"/>
        <v>100751.92031293467</v>
      </c>
      <c r="AP55" s="128">
        <f t="shared" si="64"/>
        <v>-4977.8316868917318</v>
      </c>
      <c r="AQ55" s="128">
        <f t="shared" si="64"/>
        <v>-72233.896709584107</v>
      </c>
      <c r="AR55" s="129">
        <f t="shared" si="64"/>
        <v>-59525.938558518945</v>
      </c>
      <c r="AS55" s="130">
        <f t="shared" si="64"/>
        <v>570045.08018582966</v>
      </c>
    </row>
    <row r="56" spans="1:45" ht="15.75" thickBot="1" x14ac:dyDescent="0.3">
      <c r="A56" s="58" t="s">
        <v>107</v>
      </c>
      <c r="B56" s="13"/>
      <c r="C56" s="81">
        <v>0</v>
      </c>
      <c r="D56" s="81">
        <f>13000</f>
        <v>13000</v>
      </c>
      <c r="E56" s="81">
        <f>+E55+D56</f>
        <v>107048</v>
      </c>
      <c r="F56" s="81">
        <f t="shared" ref="F56:N56" si="65">+F55+E56</f>
        <v>76351.166666666657</v>
      </c>
      <c r="G56" s="81">
        <f t="shared" si="65"/>
        <v>95953.166666666657</v>
      </c>
      <c r="H56" s="81">
        <f t="shared" si="65"/>
        <v>334388.73223971017</v>
      </c>
      <c r="I56" s="81">
        <f t="shared" si="65"/>
        <v>238499.53554902074</v>
      </c>
      <c r="J56" s="81">
        <f t="shared" si="65"/>
        <v>90260.579027281608</v>
      </c>
      <c r="K56" s="81">
        <f t="shared" si="65"/>
        <v>96516.018157716375</v>
      </c>
      <c r="L56" s="81">
        <f t="shared" si="65"/>
        <v>-52815.961082393274</v>
      </c>
      <c r="M56" s="81">
        <f t="shared" si="65"/>
        <v>272779.29904804158</v>
      </c>
      <c r="N56" s="81">
        <f t="shared" si="65"/>
        <v>256015.46078717199</v>
      </c>
      <c r="O56" s="142"/>
      <c r="P56" s="58" t="s">
        <v>107</v>
      </c>
      <c r="Q56" s="13"/>
      <c r="R56" s="88">
        <f>+R55+N56</f>
        <v>34578.057612279634</v>
      </c>
      <c r="S56" s="88">
        <f t="shared" ref="S56:AC56" si="66">+R56+S55</f>
        <v>84245.270309856278</v>
      </c>
      <c r="T56" s="88">
        <f t="shared" si="66"/>
        <v>-90507.148781148688</v>
      </c>
      <c r="U56" s="88">
        <f t="shared" si="66"/>
        <v>101803.33363927124</v>
      </c>
      <c r="V56" s="88">
        <f t="shared" si="66"/>
        <v>320307.02855295292</v>
      </c>
      <c r="W56" s="88">
        <f t="shared" si="66"/>
        <v>369383.32427350403</v>
      </c>
      <c r="X56" s="88">
        <f t="shared" si="66"/>
        <v>252670.52420414274</v>
      </c>
      <c r="Y56" s="88">
        <f t="shared" si="66"/>
        <v>212757.01797836184</v>
      </c>
      <c r="Z56" s="88">
        <f t="shared" si="66"/>
        <v>177215.92946618097</v>
      </c>
      <c r="AA56" s="88">
        <f t="shared" si="66"/>
        <v>145730.93023560967</v>
      </c>
      <c r="AB56" s="88">
        <f t="shared" si="66"/>
        <v>99251.068463471485</v>
      </c>
      <c r="AC56" s="88">
        <f t="shared" si="66"/>
        <v>57040.985130138142</v>
      </c>
      <c r="AD56" s="89"/>
      <c r="AE56" s="58" t="s">
        <v>107</v>
      </c>
      <c r="AF56" s="13"/>
      <c r="AG56" s="59">
        <f>+AG55+AC56</f>
        <v>5699.5107415879829</v>
      </c>
      <c r="AH56" s="59">
        <f>+AG56+AH55</f>
        <v>338978.84110703063</v>
      </c>
      <c r="AI56" s="59">
        <f t="shared" ref="AI56:AR56" si="67">+AH56+AI55</f>
        <v>356365.58164845844</v>
      </c>
      <c r="AJ56" s="59">
        <f t="shared" si="67"/>
        <v>289735.9549184448</v>
      </c>
      <c r="AK56" s="59">
        <f t="shared" si="67"/>
        <v>453175.47070197709</v>
      </c>
      <c r="AL56" s="59">
        <f t="shared" si="67"/>
        <v>544788.01710021659</v>
      </c>
      <c r="AM56" s="59">
        <f t="shared" si="67"/>
        <v>575106.23977474717</v>
      </c>
      <c r="AN56" s="59">
        <f t="shared" si="67"/>
        <v>663071.81195802812</v>
      </c>
      <c r="AO56" s="59">
        <f t="shared" si="67"/>
        <v>763823.73227096279</v>
      </c>
      <c r="AP56" s="59">
        <f t="shared" si="67"/>
        <v>758845.90058407106</v>
      </c>
      <c r="AQ56" s="59">
        <f t="shared" si="67"/>
        <v>686612.00387448701</v>
      </c>
      <c r="AR56" s="59">
        <f t="shared" si="67"/>
        <v>627086.06531596812</v>
      </c>
      <c r="AS56" s="141"/>
    </row>
    <row r="57" spans="1:45" x14ac:dyDescent="0.2">
      <c r="D57" s="17" t="s">
        <v>108</v>
      </c>
    </row>
    <row r="108" spans="3:5" x14ac:dyDescent="0.2">
      <c r="C108" s="60"/>
      <c r="D108" s="60"/>
      <c r="E108" s="60"/>
    </row>
    <row r="109" spans="3:5" x14ac:dyDescent="0.2">
      <c r="D109" s="60"/>
    </row>
  </sheetData>
  <phoneticPr fontId="25" type="noConversion"/>
  <pageMargins left="0.7" right="0.7" top="0.75" bottom="0.75" header="0.3" footer="0.3"/>
  <pageSetup paperSize="9" scale="61" orientation="landscape" horizontalDpi="4294953554" verticalDpi="18" r:id="rId1"/>
  <headerFooter alignWithMargins="0"/>
  <colBreaks count="2" manualBreakCount="2">
    <brk id="15" max="1048575" man="1"/>
    <brk id="30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D15"/>
  <sheetViews>
    <sheetView tabSelected="1" view="pageBreakPreview" zoomScale="115" zoomScaleNormal="133" zoomScaleSheetLayoutView="160" zoomScalePageLayoutView="133" workbookViewId="0">
      <selection activeCell="I11" sqref="I11"/>
    </sheetView>
  </sheetViews>
  <sheetFormatPr baseColWidth="10" defaultColWidth="9.140625" defaultRowHeight="12.75" x14ac:dyDescent="0.2"/>
  <cols>
    <col min="1" max="1" width="45.7109375" customWidth="1"/>
    <col min="2" max="4" width="15.7109375" customWidth="1"/>
  </cols>
  <sheetData>
    <row r="2" spans="1:4" ht="23.25" x14ac:dyDescent="0.2">
      <c r="A2" s="176" t="s">
        <v>10</v>
      </c>
    </row>
    <row r="4" spans="1:4" x14ac:dyDescent="0.2">
      <c r="A4" s="212" t="s">
        <v>192</v>
      </c>
      <c r="B4" s="212">
        <v>2016</v>
      </c>
      <c r="C4" s="212" t="s">
        <v>147</v>
      </c>
      <c r="D4" s="212" t="s">
        <v>148</v>
      </c>
    </row>
    <row r="5" spans="1:4" x14ac:dyDescent="0.2">
      <c r="A5" s="149" t="s">
        <v>193</v>
      </c>
      <c r="B5" s="217">
        <f>SUM(B6:B8)</f>
        <v>50100</v>
      </c>
      <c r="C5" s="217">
        <f>SUM(C6:C8)</f>
        <v>57600</v>
      </c>
      <c r="D5" s="217">
        <f>SUM(D6:D8)</f>
        <v>63042</v>
      </c>
    </row>
    <row r="6" spans="1:4" x14ac:dyDescent="0.2">
      <c r="A6" s="215" t="s">
        <v>153</v>
      </c>
      <c r="B6" s="216">
        <f>(2500*9)</f>
        <v>22500</v>
      </c>
      <c r="C6" s="216">
        <f>(2500)*12</f>
        <v>30000</v>
      </c>
      <c r="D6" s="216">
        <f>+C6*1.1</f>
        <v>33000</v>
      </c>
    </row>
    <row r="7" spans="1:4" x14ac:dyDescent="0.2">
      <c r="A7" s="215" t="s">
        <v>154</v>
      </c>
      <c r="B7" s="216">
        <f>+(33000*0.74)</f>
        <v>24420</v>
      </c>
      <c r="C7" s="216">
        <f>+(33000*0.74)</f>
        <v>24420</v>
      </c>
      <c r="D7" s="216">
        <f>+(33000*0.74)*1.1</f>
        <v>26862.000000000004</v>
      </c>
    </row>
    <row r="8" spans="1:4" x14ac:dyDescent="0.2">
      <c r="A8" s="215" t="s">
        <v>154</v>
      </c>
      <c r="B8" s="216">
        <f>530*6</f>
        <v>3180</v>
      </c>
      <c r="C8" s="216">
        <f>530*6</f>
        <v>3180</v>
      </c>
      <c r="D8" s="216">
        <f>530*6</f>
        <v>3180</v>
      </c>
    </row>
    <row r="9" spans="1:4" x14ac:dyDescent="0.2">
      <c r="A9" s="148" t="s">
        <v>155</v>
      </c>
      <c r="B9" s="218">
        <f>SUM(B10:B11)</f>
        <v>40579.45945945946</v>
      </c>
      <c r="C9" s="218">
        <f>SUM(C10:C11)</f>
        <v>47065.945945945947</v>
      </c>
      <c r="D9" s="218">
        <f>SUM(D10:D11)</f>
        <v>51772.540540540547</v>
      </c>
    </row>
    <row r="10" spans="1:4" x14ac:dyDescent="0.2">
      <c r="A10" s="215" t="s">
        <v>153</v>
      </c>
      <c r="B10" s="216">
        <f>+(B6/0.74*24%)+(B6/0.74*40%)</f>
        <v>19459.45945945946</v>
      </c>
      <c r="C10" s="216">
        <f>+(C6/0.74*24%)+(C6/0.74*40%)</f>
        <v>25945.945945945947</v>
      </c>
      <c r="D10" s="216">
        <f>+(D6/0.74*24%)+(D6/0.74*40%)</f>
        <v>28540.54054054054</v>
      </c>
    </row>
    <row r="11" spans="1:4" x14ac:dyDescent="0.2">
      <c r="A11" s="215" t="s">
        <v>154</v>
      </c>
      <c r="B11" s="216">
        <f>+(B7/0.74*24%)+(B7/0.74*40%)</f>
        <v>21120</v>
      </c>
      <c r="C11" s="216">
        <f t="shared" ref="C11:D11" si="0">+(C7/0.74*24%)+(C7/0.74*40%)</f>
        <v>21120</v>
      </c>
      <c r="D11" s="216">
        <f t="shared" si="0"/>
        <v>23232.000000000007</v>
      </c>
    </row>
    <row r="12" spans="1:4" x14ac:dyDescent="0.2">
      <c r="A12" s="148" t="s">
        <v>156</v>
      </c>
      <c r="B12" s="218">
        <f>SUM(B13:B14)</f>
        <v>31660</v>
      </c>
      <c r="C12" s="218">
        <f>SUM(C13:C14)</f>
        <v>37960</v>
      </c>
      <c r="D12" s="218">
        <f>SUM(D13:D14)</f>
        <v>37960</v>
      </c>
    </row>
    <row r="13" spans="1:4" x14ac:dyDescent="0.2">
      <c r="A13" s="215" t="s">
        <v>194</v>
      </c>
      <c r="B13" s="216">
        <v>160</v>
      </c>
      <c r="C13" s="216">
        <v>160</v>
      </c>
      <c r="D13" s="216">
        <v>160</v>
      </c>
    </row>
    <row r="14" spans="1:4" x14ac:dyDescent="0.2">
      <c r="A14" s="215" t="s">
        <v>157</v>
      </c>
      <c r="B14" s="216">
        <f>+'Cpte Résultat'!O61</f>
        <v>31500</v>
      </c>
      <c r="C14" s="216">
        <f>+'Cpte Résultat'!AB61</f>
        <v>37800</v>
      </c>
      <c r="D14" s="216">
        <f>+'Cpte Résultat'!AO61</f>
        <v>37800</v>
      </c>
    </row>
    <row r="15" spans="1:4" ht="15" x14ac:dyDescent="0.2">
      <c r="A15" s="213" t="s">
        <v>10</v>
      </c>
      <c r="B15" s="214">
        <f>B5+B9+B12</f>
        <v>122339.45945945947</v>
      </c>
      <c r="C15" s="214">
        <f>C5+C9+C12</f>
        <v>142625.94594594595</v>
      </c>
      <c r="D15" s="214">
        <f>D5+D9+D12</f>
        <v>152774.54054054053</v>
      </c>
    </row>
  </sheetData>
  <phoneticPr fontId="25" type="noConversion"/>
  <pageMargins left="0.78740157499999996" right="0.78740157499999996" top="0.984251969" bottom="0.984251969" header="0" footer="0"/>
  <pageSetup paperSize="9" scale="94" orientation="portrait" horizontalDpi="4294953554" verticalDpi="18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D18"/>
  <sheetViews>
    <sheetView view="pageBreakPreview" zoomScaleSheetLayoutView="175" workbookViewId="0">
      <selection activeCell="D26" sqref="D26"/>
    </sheetView>
  </sheetViews>
  <sheetFormatPr baseColWidth="10" defaultColWidth="9.140625" defaultRowHeight="12.75" x14ac:dyDescent="0.2"/>
  <cols>
    <col min="1" max="1" width="45.7109375" customWidth="1"/>
    <col min="2" max="4" width="15.7109375" customWidth="1"/>
  </cols>
  <sheetData>
    <row r="2" spans="1:4" ht="18" x14ac:dyDescent="0.2">
      <c r="A2" s="61" t="s">
        <v>68</v>
      </c>
    </row>
    <row r="4" spans="1:4" ht="15" x14ac:dyDescent="0.2">
      <c r="A4" s="69" t="s">
        <v>1</v>
      </c>
      <c r="B4" s="62">
        <v>2016</v>
      </c>
      <c r="C4" s="62">
        <v>2017</v>
      </c>
      <c r="D4" s="62">
        <v>2018</v>
      </c>
    </row>
    <row r="5" spans="1:4" x14ac:dyDescent="0.2">
      <c r="A5" s="45" t="s">
        <v>139</v>
      </c>
      <c r="B5" s="51"/>
      <c r="C5" s="52"/>
      <c r="D5" s="53"/>
    </row>
    <row r="6" spans="1:4" x14ac:dyDescent="0.2">
      <c r="A6" s="72" t="s">
        <v>140</v>
      </c>
      <c r="B6" s="35">
        <f>+B7</f>
        <v>37302</v>
      </c>
      <c r="C6" s="35">
        <f t="shared" ref="C6:D6" si="0">+C7</f>
        <v>22381</v>
      </c>
      <c r="D6" s="35">
        <f t="shared" si="0"/>
        <v>7460</v>
      </c>
    </row>
    <row r="7" spans="1:4" x14ac:dyDescent="0.2">
      <c r="A7" s="63" t="s">
        <v>141</v>
      </c>
      <c r="B7" s="92">
        <v>37302</v>
      </c>
      <c r="C7" s="36">
        <v>22381</v>
      </c>
      <c r="D7" s="37">
        <v>7460</v>
      </c>
    </row>
    <row r="8" spans="1:4" x14ac:dyDescent="0.2">
      <c r="A8" s="111" t="s">
        <v>142</v>
      </c>
      <c r="B8" s="38"/>
      <c r="C8" s="39"/>
      <c r="D8" s="40"/>
    </row>
    <row r="9" spans="1:4" s="73" customFormat="1" ht="5.0999999999999996" customHeight="1" x14ac:dyDescent="0.2">
      <c r="A9" s="110"/>
      <c r="B9" s="104"/>
      <c r="C9" s="105"/>
      <c r="D9" s="106"/>
    </row>
    <row r="10" spans="1:4" x14ac:dyDescent="0.2">
      <c r="A10" s="45" t="s">
        <v>143</v>
      </c>
      <c r="B10" s="51"/>
      <c r="C10" s="52"/>
      <c r="D10" s="53"/>
    </row>
    <row r="11" spans="1:4" x14ac:dyDescent="0.2">
      <c r="A11" s="48" t="s">
        <v>140</v>
      </c>
      <c r="B11" s="35">
        <f>+B12</f>
        <v>150000</v>
      </c>
      <c r="C11" s="36"/>
      <c r="D11" s="37"/>
    </row>
    <row r="12" spans="1:4" x14ac:dyDescent="0.2">
      <c r="A12" s="63" t="s">
        <v>144</v>
      </c>
      <c r="B12" s="92">
        <v>150000</v>
      </c>
      <c r="C12" s="36"/>
      <c r="D12" s="37"/>
    </row>
    <row r="13" spans="1:4" x14ac:dyDescent="0.2">
      <c r="A13" s="49" t="s">
        <v>142</v>
      </c>
      <c r="B13" s="38"/>
      <c r="C13" s="39"/>
      <c r="D13" s="40"/>
    </row>
    <row r="14" spans="1:4" s="73" customFormat="1" ht="5.0999999999999996" customHeight="1" x14ac:dyDescent="0.2">
      <c r="A14" s="103"/>
      <c r="B14" s="104"/>
      <c r="C14" s="105"/>
      <c r="D14" s="106"/>
    </row>
    <row r="15" spans="1:4" x14ac:dyDescent="0.2">
      <c r="A15" s="45" t="s">
        <v>145</v>
      </c>
      <c r="B15" s="51"/>
      <c r="C15" s="52"/>
      <c r="D15" s="53"/>
    </row>
    <row r="16" spans="1:4" x14ac:dyDescent="0.2">
      <c r="A16" s="48" t="s">
        <v>140</v>
      </c>
      <c r="B16" s="35"/>
      <c r="C16" s="36"/>
      <c r="D16" s="37"/>
    </row>
    <row r="17" spans="1:4" x14ac:dyDescent="0.2">
      <c r="A17" s="63" t="s">
        <v>146</v>
      </c>
      <c r="B17" s="35"/>
      <c r="C17" s="36"/>
      <c r="D17" s="37"/>
    </row>
    <row r="18" spans="1:4" x14ac:dyDescent="0.2">
      <c r="A18" s="49" t="s">
        <v>142</v>
      </c>
      <c r="B18" s="38"/>
      <c r="C18" s="39"/>
      <c r="D18" s="40"/>
    </row>
  </sheetData>
  <phoneticPr fontId="25" type="noConversion"/>
  <pageMargins left="0.78740157499999996" right="0.78740157499999996" top="0.984251969" bottom="0.984251969" header="0" footer="0"/>
  <pageSetup paperSize="9" scale="94" fitToHeight="0" orientation="portrait" horizontalDpi="4294953554" verticalDpi="18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O84"/>
  <sheetViews>
    <sheetView zoomScale="75" zoomScaleNormal="75" workbookViewId="0">
      <pane xSplit="2" ySplit="7" topLeftCell="AA8" activePane="bottomRight" state="frozen"/>
      <selection activeCell="B1" sqref="B1"/>
      <selection pane="topRight" activeCell="B1" sqref="B1"/>
      <selection pane="bottomLeft" activeCell="B1" sqref="B1"/>
      <selection pane="bottomRight" activeCell="A16" sqref="A16"/>
    </sheetView>
  </sheetViews>
  <sheetFormatPr baseColWidth="10" defaultRowHeight="15" outlineLevelCol="1" x14ac:dyDescent="0.25"/>
  <cols>
    <col min="1" max="1" width="30.140625" style="219" customWidth="1"/>
    <col min="2" max="2" width="12.85546875" style="219" customWidth="1"/>
    <col min="3" max="3" width="17.85546875" style="219" customWidth="1" outlineLevel="1"/>
    <col min="4" max="28" width="11.42578125" style="219" customWidth="1" outlineLevel="1"/>
    <col min="29" max="16384" width="11.42578125" style="219"/>
  </cols>
  <sheetData>
    <row r="2" spans="1:41" s="255" customFormat="1" ht="29.25" customHeight="1" thickBot="1" x14ac:dyDescent="0.55000000000000004">
      <c r="A2" s="258" t="s">
        <v>230</v>
      </c>
      <c r="B2" s="257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</row>
    <row r="3" spans="1:41" s="254" customFormat="1" ht="16.5" x14ac:dyDescent="0.3"/>
    <row r="5" spans="1:41" x14ac:dyDescent="0.25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</row>
    <row r="6" spans="1:41" x14ac:dyDescent="0.25">
      <c r="A6" s="227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</row>
    <row r="7" spans="1:41" ht="25.5" customHeight="1" x14ac:dyDescent="0.35">
      <c r="A7" s="227"/>
      <c r="B7" s="225"/>
      <c r="C7" s="249">
        <v>42370</v>
      </c>
      <c r="D7" s="249">
        <v>42401</v>
      </c>
      <c r="E7" s="249">
        <v>42430</v>
      </c>
      <c r="F7" s="249">
        <v>42461</v>
      </c>
      <c r="G7" s="249">
        <v>42491</v>
      </c>
      <c r="H7" s="249">
        <v>42522</v>
      </c>
      <c r="I7" s="249">
        <v>42552</v>
      </c>
      <c r="J7" s="249">
        <v>42583</v>
      </c>
      <c r="K7" s="249">
        <v>42614</v>
      </c>
      <c r="L7" s="249">
        <v>42644</v>
      </c>
      <c r="M7" s="249">
        <v>42675</v>
      </c>
      <c r="N7" s="249">
        <v>42705</v>
      </c>
      <c r="O7" s="248" t="s">
        <v>58</v>
      </c>
      <c r="P7" s="249">
        <v>42736</v>
      </c>
      <c r="Q7" s="249">
        <v>42767</v>
      </c>
      <c r="R7" s="249">
        <v>42795</v>
      </c>
      <c r="S7" s="249">
        <v>42826</v>
      </c>
      <c r="T7" s="249">
        <v>42856</v>
      </c>
      <c r="U7" s="249">
        <v>42887</v>
      </c>
      <c r="V7" s="249">
        <v>42917</v>
      </c>
      <c r="W7" s="249">
        <v>42948</v>
      </c>
      <c r="X7" s="249">
        <v>42979</v>
      </c>
      <c r="Y7" s="249">
        <v>43009</v>
      </c>
      <c r="Z7" s="249">
        <v>43040</v>
      </c>
      <c r="AA7" s="249">
        <v>43070</v>
      </c>
      <c r="AB7" s="248" t="s">
        <v>59</v>
      </c>
      <c r="AC7" s="249">
        <v>43101</v>
      </c>
      <c r="AD7" s="249">
        <v>43132</v>
      </c>
      <c r="AE7" s="249">
        <v>43160</v>
      </c>
      <c r="AF7" s="249">
        <v>43191</v>
      </c>
      <c r="AG7" s="249">
        <v>43221</v>
      </c>
      <c r="AH7" s="249">
        <v>43252</v>
      </c>
      <c r="AI7" s="249">
        <v>43282</v>
      </c>
      <c r="AJ7" s="249">
        <v>43313</v>
      </c>
      <c r="AK7" s="249">
        <v>43344</v>
      </c>
      <c r="AL7" s="249">
        <v>43374</v>
      </c>
      <c r="AM7" s="249">
        <v>43405</v>
      </c>
      <c r="AN7" s="249">
        <v>43435</v>
      </c>
      <c r="AO7" s="248" t="s">
        <v>60</v>
      </c>
    </row>
    <row r="8" spans="1:41" ht="25.5" customHeight="1" thickBot="1" x14ac:dyDescent="0.4">
      <c r="A8" s="227" t="s">
        <v>229</v>
      </c>
      <c r="B8" s="225"/>
      <c r="C8" s="249"/>
      <c r="D8" s="249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35">
        <f>SUM(C8:N8)</f>
        <v>0</v>
      </c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20">
        <f>SUM(P8:AA8)</f>
        <v>0</v>
      </c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20">
        <f>SUM(AC8:AN8)</f>
        <v>0</v>
      </c>
    </row>
    <row r="9" spans="1:41" s="222" customFormat="1" ht="15.75" thickBot="1" x14ac:dyDescent="0.3">
      <c r="A9" s="223" t="s">
        <v>228</v>
      </c>
      <c r="C9" s="247">
        <f t="shared" ref="C9:N9" si="0">SUM(C10:C11)</f>
        <v>0</v>
      </c>
      <c r="D9" s="247">
        <f t="shared" si="0"/>
        <v>0</v>
      </c>
      <c r="E9" s="247">
        <f t="shared" si="0"/>
        <v>0</v>
      </c>
      <c r="F9" s="247">
        <f t="shared" si="0"/>
        <v>0</v>
      </c>
      <c r="G9" s="247">
        <f t="shared" si="0"/>
        <v>0</v>
      </c>
      <c r="H9" s="247">
        <f t="shared" si="0"/>
        <v>0</v>
      </c>
      <c r="I9" s="247">
        <f t="shared" si="0"/>
        <v>0</v>
      </c>
      <c r="J9" s="247">
        <f t="shared" si="0"/>
        <v>0</v>
      </c>
      <c r="K9" s="247">
        <f t="shared" si="0"/>
        <v>0</v>
      </c>
      <c r="L9" s="247">
        <f t="shared" si="0"/>
        <v>0</v>
      </c>
      <c r="M9" s="247">
        <f t="shared" si="0"/>
        <v>0</v>
      </c>
      <c r="N9" s="247">
        <f t="shared" si="0"/>
        <v>0</v>
      </c>
      <c r="O9" s="235">
        <f>SUM(C9:N9)</f>
        <v>0</v>
      </c>
      <c r="P9" s="247">
        <f t="shared" ref="P9:AA9" si="1">SUM(P10:P11)</f>
        <v>0</v>
      </c>
      <c r="Q9" s="247">
        <f t="shared" si="1"/>
        <v>0</v>
      </c>
      <c r="R9" s="247">
        <f t="shared" si="1"/>
        <v>0</v>
      </c>
      <c r="S9" s="247">
        <f t="shared" si="1"/>
        <v>0</v>
      </c>
      <c r="T9" s="247">
        <f t="shared" si="1"/>
        <v>0</v>
      </c>
      <c r="U9" s="247">
        <f t="shared" si="1"/>
        <v>0</v>
      </c>
      <c r="V9" s="247">
        <f t="shared" si="1"/>
        <v>0</v>
      </c>
      <c r="W9" s="247">
        <f t="shared" si="1"/>
        <v>0</v>
      </c>
      <c r="X9" s="247">
        <f t="shared" si="1"/>
        <v>0</v>
      </c>
      <c r="Y9" s="247">
        <f t="shared" si="1"/>
        <v>0</v>
      </c>
      <c r="Z9" s="247">
        <f t="shared" si="1"/>
        <v>0</v>
      </c>
      <c r="AA9" s="247">
        <f t="shared" si="1"/>
        <v>0</v>
      </c>
      <c r="AB9" s="220">
        <f>SUM(P9:AA9)</f>
        <v>0</v>
      </c>
      <c r="AC9" s="247">
        <f t="shared" ref="AC9:AN9" si="2">SUM(AC10:AC11)</f>
        <v>0</v>
      </c>
      <c r="AD9" s="247">
        <f t="shared" si="2"/>
        <v>0</v>
      </c>
      <c r="AE9" s="247">
        <f t="shared" si="2"/>
        <v>0</v>
      </c>
      <c r="AF9" s="247">
        <f t="shared" si="2"/>
        <v>0</v>
      </c>
      <c r="AG9" s="247">
        <f t="shared" si="2"/>
        <v>0</v>
      </c>
      <c r="AH9" s="247">
        <f t="shared" si="2"/>
        <v>0</v>
      </c>
      <c r="AI9" s="247">
        <f t="shared" si="2"/>
        <v>0</v>
      </c>
      <c r="AJ9" s="247">
        <f t="shared" si="2"/>
        <v>0</v>
      </c>
      <c r="AK9" s="247">
        <f t="shared" si="2"/>
        <v>0</v>
      </c>
      <c r="AL9" s="247">
        <f t="shared" si="2"/>
        <v>0</v>
      </c>
      <c r="AM9" s="247">
        <f t="shared" si="2"/>
        <v>0</v>
      </c>
      <c r="AN9" s="247">
        <f t="shared" si="2"/>
        <v>0</v>
      </c>
      <c r="AO9" s="220">
        <f>SUM(AC9:AN9)</f>
        <v>0</v>
      </c>
    </row>
    <row r="10" spans="1:41" x14ac:dyDescent="0.25">
      <c r="A10" s="227" t="s">
        <v>227</v>
      </c>
      <c r="B10" s="225"/>
      <c r="C10" s="228">
        <v>0</v>
      </c>
      <c r="D10" s="228">
        <v>0</v>
      </c>
      <c r="E10" s="228">
        <v>0</v>
      </c>
      <c r="F10" s="228">
        <v>0</v>
      </c>
      <c r="G10" s="228">
        <v>0</v>
      </c>
      <c r="H10" s="228">
        <v>0</v>
      </c>
      <c r="I10" s="228">
        <v>0</v>
      </c>
      <c r="J10" s="228">
        <v>0</v>
      </c>
      <c r="K10" s="228">
        <v>0</v>
      </c>
      <c r="L10" s="228">
        <v>0</v>
      </c>
      <c r="M10" s="228">
        <v>0</v>
      </c>
      <c r="N10" s="228">
        <v>0</v>
      </c>
      <c r="O10" s="235">
        <f>SUM(C10:N10)</f>
        <v>0</v>
      </c>
      <c r="P10" s="228">
        <v>0</v>
      </c>
      <c r="Q10" s="228">
        <v>0</v>
      </c>
      <c r="R10" s="228">
        <v>0</v>
      </c>
      <c r="S10" s="228">
        <v>0</v>
      </c>
      <c r="T10" s="228">
        <v>0</v>
      </c>
      <c r="U10" s="228">
        <v>0</v>
      </c>
      <c r="V10" s="228">
        <v>0</v>
      </c>
      <c r="W10" s="228">
        <v>0</v>
      </c>
      <c r="X10" s="228">
        <v>0</v>
      </c>
      <c r="Y10" s="228">
        <v>0</v>
      </c>
      <c r="Z10" s="228">
        <v>0</v>
      </c>
      <c r="AA10" s="228">
        <v>0</v>
      </c>
      <c r="AB10" s="220">
        <f>SUM(P10:AA10)</f>
        <v>0</v>
      </c>
      <c r="AC10" s="228">
        <v>0</v>
      </c>
      <c r="AD10" s="228">
        <v>0</v>
      </c>
      <c r="AE10" s="228">
        <v>0</v>
      </c>
      <c r="AF10" s="228">
        <v>0</v>
      </c>
      <c r="AG10" s="228">
        <v>0</v>
      </c>
      <c r="AH10" s="228">
        <v>0</v>
      </c>
      <c r="AI10" s="228">
        <v>0</v>
      </c>
      <c r="AJ10" s="228">
        <v>0</v>
      </c>
      <c r="AK10" s="228">
        <v>0</v>
      </c>
      <c r="AL10" s="228">
        <v>0</v>
      </c>
      <c r="AM10" s="228">
        <v>0</v>
      </c>
      <c r="AN10" s="228">
        <v>0</v>
      </c>
      <c r="AO10" s="220">
        <f>SUM(AC10:AN10)</f>
        <v>0</v>
      </c>
    </row>
    <row r="11" spans="1:41" x14ac:dyDescent="0.25">
      <c r="A11" s="227" t="s">
        <v>226</v>
      </c>
      <c r="B11" s="225"/>
      <c r="C11" s="228">
        <v>0</v>
      </c>
      <c r="D11" s="228">
        <v>0</v>
      </c>
      <c r="E11" s="228">
        <v>0</v>
      </c>
      <c r="F11" s="228">
        <v>0</v>
      </c>
      <c r="G11" s="228">
        <v>0</v>
      </c>
      <c r="H11" s="228">
        <v>0</v>
      </c>
      <c r="I11" s="228">
        <v>0</v>
      </c>
      <c r="J11" s="228">
        <v>0</v>
      </c>
      <c r="K11" s="228">
        <v>0</v>
      </c>
      <c r="L11" s="228">
        <v>0</v>
      </c>
      <c r="M11" s="228">
        <v>0</v>
      </c>
      <c r="N11" s="228">
        <v>0</v>
      </c>
      <c r="O11" s="235">
        <f>SUM(C11:N11)</f>
        <v>0</v>
      </c>
      <c r="P11" s="228">
        <v>0</v>
      </c>
      <c r="Q11" s="228">
        <v>0</v>
      </c>
      <c r="R11" s="228">
        <v>0</v>
      </c>
      <c r="S11" s="228">
        <v>0</v>
      </c>
      <c r="T11" s="228">
        <v>0</v>
      </c>
      <c r="U11" s="228">
        <v>0</v>
      </c>
      <c r="V11" s="228">
        <v>0</v>
      </c>
      <c r="W11" s="228">
        <v>0</v>
      </c>
      <c r="X11" s="228">
        <v>0</v>
      </c>
      <c r="Y11" s="228">
        <v>0</v>
      </c>
      <c r="Z11" s="228">
        <v>0</v>
      </c>
      <c r="AA11" s="228">
        <v>0</v>
      </c>
      <c r="AB11" s="220">
        <f>SUM(P11:AA11)</f>
        <v>0</v>
      </c>
      <c r="AC11" s="228">
        <v>0</v>
      </c>
      <c r="AD11" s="228">
        <v>0</v>
      </c>
      <c r="AE11" s="228">
        <v>0</v>
      </c>
      <c r="AF11" s="228">
        <v>0</v>
      </c>
      <c r="AG11" s="228">
        <v>0</v>
      </c>
      <c r="AH11" s="228">
        <v>0</v>
      </c>
      <c r="AI11" s="228">
        <v>0</v>
      </c>
      <c r="AJ11" s="228">
        <v>0</v>
      </c>
      <c r="AK11" s="228">
        <v>0</v>
      </c>
      <c r="AL11" s="228">
        <v>0</v>
      </c>
      <c r="AM11" s="228">
        <v>0</v>
      </c>
      <c r="AN11" s="228">
        <v>0</v>
      </c>
      <c r="AO11" s="220">
        <f>SUM(AC11:AN11)</f>
        <v>0</v>
      </c>
    </row>
    <row r="12" spans="1:41" x14ac:dyDescent="0.25">
      <c r="A12" s="253" t="s">
        <v>225</v>
      </c>
      <c r="B12" s="225"/>
      <c r="C12" s="251">
        <f t="shared" ref="C12:N12" si="3">-(SUM(C10:C11)-SUM(C16:C17))</f>
        <v>0</v>
      </c>
      <c r="D12" s="251">
        <f t="shared" si="3"/>
        <v>0</v>
      </c>
      <c r="E12" s="251">
        <f t="shared" si="3"/>
        <v>0</v>
      </c>
      <c r="F12" s="251">
        <f t="shared" si="3"/>
        <v>0</v>
      </c>
      <c r="G12" s="251">
        <f t="shared" si="3"/>
        <v>189026.72131086959</v>
      </c>
      <c r="H12" s="251">
        <f t="shared" si="3"/>
        <v>0</v>
      </c>
      <c r="I12" s="251">
        <f t="shared" si="3"/>
        <v>50869.235507246383</v>
      </c>
      <c r="J12" s="251">
        <f t="shared" si="3"/>
        <v>0</v>
      </c>
      <c r="K12" s="251">
        <f t="shared" si="3"/>
        <v>0</v>
      </c>
      <c r="L12" s="251">
        <f t="shared" si="3"/>
        <v>318240.18416666676</v>
      </c>
      <c r="M12" s="251">
        <f t="shared" si="3"/>
        <v>105678.19637681161</v>
      </c>
      <c r="N12" s="251">
        <f t="shared" si="3"/>
        <v>0</v>
      </c>
      <c r="O12" s="252">
        <f>SUM(C12:N12)</f>
        <v>663814.33736159431</v>
      </c>
      <c r="P12" s="251">
        <f t="shared" ref="P12:AA12" si="4">-(SUM(P10:P11)-SUM(P16:P17))</f>
        <v>171552.45521705598</v>
      </c>
      <c r="Q12" s="251">
        <f t="shared" si="4"/>
        <v>6142.8867768595037</v>
      </c>
      <c r="R12" s="251">
        <f t="shared" si="4"/>
        <v>399241.77732722485</v>
      </c>
      <c r="S12" s="251">
        <f t="shared" si="4"/>
        <v>464176.26383711229</v>
      </c>
      <c r="T12" s="251">
        <f t="shared" si="4"/>
        <v>276447.60966942151</v>
      </c>
      <c r="U12" s="251">
        <f t="shared" si="4"/>
        <v>118328.63132231406</v>
      </c>
      <c r="V12" s="251">
        <f t="shared" si="4"/>
        <v>167649.30204545456</v>
      </c>
      <c r="W12" s="251">
        <f t="shared" si="4"/>
        <v>196729.16064545457</v>
      </c>
      <c r="X12" s="251">
        <f t="shared" si="4"/>
        <v>162359.99184793388</v>
      </c>
      <c r="Y12" s="251">
        <f t="shared" si="4"/>
        <v>120453.21297520664</v>
      </c>
      <c r="Z12" s="251">
        <f t="shared" si="4"/>
        <v>0</v>
      </c>
      <c r="AA12" s="251">
        <f t="shared" si="4"/>
        <v>0</v>
      </c>
      <c r="AB12" s="250">
        <f>SUM(P12:AA12)</f>
        <v>2083081.2916640379</v>
      </c>
      <c r="AC12" s="251">
        <f t="shared" ref="AC12:AN12" si="5">-(SUM(AC10:AC11)-SUM(AC16:AC17))</f>
        <v>551772.99169269658</v>
      </c>
      <c r="AD12" s="251">
        <f t="shared" si="5"/>
        <v>306151.59399193316</v>
      </c>
      <c r="AE12" s="251">
        <f t="shared" si="5"/>
        <v>442842.73459999991</v>
      </c>
      <c r="AF12" s="251">
        <f t="shared" si="5"/>
        <v>877301.37853258406</v>
      </c>
      <c r="AG12" s="251">
        <f t="shared" si="5"/>
        <v>613032.65734214918</v>
      </c>
      <c r="AH12" s="251">
        <f t="shared" si="5"/>
        <v>552006.76822771528</v>
      </c>
      <c r="AI12" s="251">
        <f t="shared" si="5"/>
        <v>638222.49161423219</v>
      </c>
      <c r="AJ12" s="251">
        <f t="shared" si="5"/>
        <v>735108.58126816468</v>
      </c>
      <c r="AK12" s="251">
        <f t="shared" si="5"/>
        <v>514547.42214635538</v>
      </c>
      <c r="AL12" s="251">
        <f t="shared" si="5"/>
        <v>328703.7309287237</v>
      </c>
      <c r="AM12" s="251">
        <f t="shared" si="5"/>
        <v>193232.6636605589</v>
      </c>
      <c r="AN12" s="251">
        <f t="shared" si="5"/>
        <v>80919.864199999982</v>
      </c>
      <c r="AO12" s="250">
        <f>SUM(AC12:AN12)</f>
        <v>5833842.8782051131</v>
      </c>
    </row>
    <row r="13" spans="1:41" x14ac:dyDescent="0.25">
      <c r="A13" s="233" t="s">
        <v>224</v>
      </c>
      <c r="B13" s="225"/>
      <c r="C13" s="232" t="e">
        <f t="shared" ref="C13:N13" si="6">-C12/C9</f>
        <v>#DIV/0!</v>
      </c>
      <c r="D13" s="232" t="e">
        <f t="shared" si="6"/>
        <v>#DIV/0!</v>
      </c>
      <c r="E13" s="232" t="e">
        <f t="shared" si="6"/>
        <v>#DIV/0!</v>
      </c>
      <c r="F13" s="232" t="e">
        <f t="shared" si="6"/>
        <v>#DIV/0!</v>
      </c>
      <c r="G13" s="232" t="e">
        <f t="shared" si="6"/>
        <v>#DIV/0!</v>
      </c>
      <c r="H13" s="232" t="e">
        <f t="shared" si="6"/>
        <v>#DIV/0!</v>
      </c>
      <c r="I13" s="232" t="e">
        <f t="shared" si="6"/>
        <v>#DIV/0!</v>
      </c>
      <c r="J13" s="232" t="e">
        <f t="shared" si="6"/>
        <v>#DIV/0!</v>
      </c>
      <c r="K13" s="232" t="e">
        <f t="shared" si="6"/>
        <v>#DIV/0!</v>
      </c>
      <c r="L13" s="232" t="e">
        <f t="shared" si="6"/>
        <v>#DIV/0!</v>
      </c>
      <c r="M13" s="232" t="e">
        <f t="shared" si="6"/>
        <v>#DIV/0!</v>
      </c>
      <c r="N13" s="232" t="e">
        <f t="shared" si="6"/>
        <v>#DIV/0!</v>
      </c>
      <c r="O13" s="231" t="e">
        <f>AVERAGE(C13:N13)</f>
        <v>#DIV/0!</v>
      </c>
      <c r="P13" s="232" t="e">
        <f t="shared" ref="P13:AA13" si="7">-P12/P9</f>
        <v>#DIV/0!</v>
      </c>
      <c r="Q13" s="232" t="e">
        <f t="shared" si="7"/>
        <v>#DIV/0!</v>
      </c>
      <c r="R13" s="232" t="e">
        <f t="shared" si="7"/>
        <v>#DIV/0!</v>
      </c>
      <c r="S13" s="232" t="e">
        <f t="shared" si="7"/>
        <v>#DIV/0!</v>
      </c>
      <c r="T13" s="232" t="e">
        <f t="shared" si="7"/>
        <v>#DIV/0!</v>
      </c>
      <c r="U13" s="232" t="e">
        <f t="shared" si="7"/>
        <v>#DIV/0!</v>
      </c>
      <c r="V13" s="232" t="e">
        <f t="shared" si="7"/>
        <v>#DIV/0!</v>
      </c>
      <c r="W13" s="232" t="e">
        <f t="shared" si="7"/>
        <v>#DIV/0!</v>
      </c>
      <c r="X13" s="232" t="e">
        <f t="shared" si="7"/>
        <v>#DIV/0!</v>
      </c>
      <c r="Y13" s="232" t="e">
        <f t="shared" si="7"/>
        <v>#DIV/0!</v>
      </c>
      <c r="Z13" s="232" t="e">
        <f t="shared" si="7"/>
        <v>#DIV/0!</v>
      </c>
      <c r="AA13" s="232" t="e">
        <f t="shared" si="7"/>
        <v>#DIV/0!</v>
      </c>
      <c r="AB13" s="231" t="e">
        <f>AVERAGE(P13:AA13)</f>
        <v>#DIV/0!</v>
      </c>
      <c r="AC13" s="232" t="e">
        <f t="shared" ref="AC13:AN13" si="8">-AC12/AC9</f>
        <v>#DIV/0!</v>
      </c>
      <c r="AD13" s="232" t="e">
        <f t="shared" si="8"/>
        <v>#DIV/0!</v>
      </c>
      <c r="AE13" s="232" t="e">
        <f t="shared" si="8"/>
        <v>#DIV/0!</v>
      </c>
      <c r="AF13" s="232" t="e">
        <f t="shared" si="8"/>
        <v>#DIV/0!</v>
      </c>
      <c r="AG13" s="232" t="e">
        <f t="shared" si="8"/>
        <v>#DIV/0!</v>
      </c>
      <c r="AH13" s="232" t="e">
        <f t="shared" si="8"/>
        <v>#DIV/0!</v>
      </c>
      <c r="AI13" s="232" t="e">
        <f t="shared" si="8"/>
        <v>#DIV/0!</v>
      </c>
      <c r="AJ13" s="232" t="e">
        <f t="shared" si="8"/>
        <v>#DIV/0!</v>
      </c>
      <c r="AK13" s="232" t="e">
        <f t="shared" si="8"/>
        <v>#DIV/0!</v>
      </c>
      <c r="AL13" s="232" t="e">
        <f t="shared" si="8"/>
        <v>#DIV/0!</v>
      </c>
      <c r="AM13" s="232" t="e">
        <f t="shared" si="8"/>
        <v>#DIV/0!</v>
      </c>
      <c r="AN13" s="232" t="e">
        <f t="shared" si="8"/>
        <v>#DIV/0!</v>
      </c>
      <c r="AO13" s="231" t="e">
        <f>AVERAGE(AC13:AN13)</f>
        <v>#DIV/0!</v>
      </c>
    </row>
    <row r="14" spans="1:41" ht="25.5" customHeight="1" x14ac:dyDescent="0.35">
      <c r="A14" s="227"/>
      <c r="B14" s="225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8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8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8"/>
    </row>
    <row r="15" spans="1:41" s="222" customFormat="1" ht="15.75" thickBot="1" x14ac:dyDescent="0.3">
      <c r="A15" s="223" t="s">
        <v>223</v>
      </c>
      <c r="C15" s="247">
        <f t="shared" ref="C15:N15" si="9">SUM(C16:C18)</f>
        <v>0</v>
      </c>
      <c r="D15" s="247">
        <f t="shared" si="9"/>
        <v>0</v>
      </c>
      <c r="E15" s="247">
        <f t="shared" si="9"/>
        <v>0</v>
      </c>
      <c r="F15" s="247">
        <f t="shared" si="9"/>
        <v>0</v>
      </c>
      <c r="G15" s="247">
        <f t="shared" si="9"/>
        <v>189026.72131086959</v>
      </c>
      <c r="H15" s="247">
        <f t="shared" si="9"/>
        <v>0</v>
      </c>
      <c r="I15" s="247">
        <f t="shared" si="9"/>
        <v>50869.235507246383</v>
      </c>
      <c r="J15" s="247">
        <f t="shared" si="9"/>
        <v>0</v>
      </c>
      <c r="K15" s="247">
        <f t="shared" si="9"/>
        <v>0</v>
      </c>
      <c r="L15" s="247">
        <f t="shared" si="9"/>
        <v>318240.18416666676</v>
      </c>
      <c r="M15" s="247">
        <f t="shared" si="9"/>
        <v>105678.19637681161</v>
      </c>
      <c r="N15" s="247">
        <f t="shared" si="9"/>
        <v>0</v>
      </c>
      <c r="O15" s="235">
        <f>SUM(C15:N15)</f>
        <v>663814.33736159431</v>
      </c>
      <c r="P15" s="247">
        <f>SUM(P16:P18)</f>
        <v>171552.45521705598</v>
      </c>
      <c r="Q15" s="247">
        <f t="shared" ref="Q15:AA15" si="10">SUM(Q16:Q18)</f>
        <v>6142.8867768595037</v>
      </c>
      <c r="R15" s="247">
        <f t="shared" si="10"/>
        <v>399241.77732722485</v>
      </c>
      <c r="S15" s="247">
        <f t="shared" si="10"/>
        <v>464176.26383711229</v>
      </c>
      <c r="T15" s="247">
        <f t="shared" si="10"/>
        <v>276447.60966942151</v>
      </c>
      <c r="U15" s="247">
        <f t="shared" si="10"/>
        <v>191119.63132231406</v>
      </c>
      <c r="V15" s="247">
        <f t="shared" si="10"/>
        <v>167649.30204545456</v>
      </c>
      <c r="W15" s="247">
        <f t="shared" si="10"/>
        <v>196729.16064545457</v>
      </c>
      <c r="X15" s="247">
        <f t="shared" si="10"/>
        <v>162359.99184793388</v>
      </c>
      <c r="Y15" s="247">
        <f t="shared" si="10"/>
        <v>120453.21297520664</v>
      </c>
      <c r="Z15" s="247">
        <f t="shared" si="10"/>
        <v>0</v>
      </c>
      <c r="AA15" s="247">
        <f t="shared" si="10"/>
        <v>0</v>
      </c>
      <c r="AB15" s="220">
        <f t="shared" ref="AB15:AB30" si="11">SUM(P15:AA15)</f>
        <v>2155872.2916640379</v>
      </c>
      <c r="AC15" s="221">
        <f t="shared" ref="AC15:AO15" si="12">SUM(AC16:AC18)</f>
        <v>551772.99169269658</v>
      </c>
      <c r="AD15" s="221">
        <f t="shared" si="12"/>
        <v>306151.59399193316</v>
      </c>
      <c r="AE15" s="221">
        <f t="shared" si="12"/>
        <v>442842.73459999991</v>
      </c>
      <c r="AF15" s="221">
        <f t="shared" si="12"/>
        <v>877301.37853258406</v>
      </c>
      <c r="AG15" s="221">
        <f t="shared" si="12"/>
        <v>613032.65734214918</v>
      </c>
      <c r="AH15" s="221">
        <f t="shared" si="12"/>
        <v>585951.76822771528</v>
      </c>
      <c r="AI15" s="221">
        <f t="shared" si="12"/>
        <v>638222.49161423219</v>
      </c>
      <c r="AJ15" s="221">
        <f t="shared" si="12"/>
        <v>735108.58126816468</v>
      </c>
      <c r="AK15" s="221">
        <f t="shared" si="12"/>
        <v>514547.42214635538</v>
      </c>
      <c r="AL15" s="221">
        <f t="shared" si="12"/>
        <v>328703.7309287237</v>
      </c>
      <c r="AM15" s="221">
        <f t="shared" si="12"/>
        <v>193232.6636605589</v>
      </c>
      <c r="AN15" s="221">
        <f t="shared" si="12"/>
        <v>80919.864199999982</v>
      </c>
      <c r="AO15" s="220">
        <f t="shared" si="12"/>
        <v>5867787.8782051131</v>
      </c>
    </row>
    <row r="16" spans="1:41" x14ac:dyDescent="0.25">
      <c r="A16" s="271" t="s">
        <v>62</v>
      </c>
      <c r="B16" s="225"/>
      <c r="C16" s="228">
        <v>0</v>
      </c>
      <c r="D16" s="228">
        <v>0</v>
      </c>
      <c r="E16" s="228">
        <v>0</v>
      </c>
      <c r="F16" s="228">
        <v>0</v>
      </c>
      <c r="G16" s="228">
        <f>+[3]Feuil1!$H$49</f>
        <v>189026.72131086959</v>
      </c>
      <c r="H16" s="228">
        <v>0</v>
      </c>
      <c r="I16" s="228">
        <f>+[3]Feuil1!$L$49</f>
        <v>50869.235507246383</v>
      </c>
      <c r="J16" s="228">
        <v>0</v>
      </c>
      <c r="K16" s="228">
        <v>0</v>
      </c>
      <c r="L16" s="228">
        <f>+[3]Feuil1!$R$49</f>
        <v>318240.18416666676</v>
      </c>
      <c r="M16" s="228">
        <f>+[3]Feuil1!$T$49</f>
        <v>105678.19637681161</v>
      </c>
      <c r="N16" s="228">
        <v>0</v>
      </c>
      <c r="O16" s="220">
        <f>SUM(C16:N16)</f>
        <v>663814.33736159431</v>
      </c>
      <c r="P16" s="228">
        <f>+[3]Feuil1!$X$49+[3]Feuil1!$Y$50</f>
        <v>171552.45521705598</v>
      </c>
      <c r="Q16" s="228">
        <f>+[3]Feuil1!$AA$50</f>
        <v>6142.8867768595037</v>
      </c>
      <c r="R16" s="228">
        <f>+[3]Feuil1!$AB$49+[3]Feuil1!$AC$50</f>
        <v>399241.77732722485</v>
      </c>
      <c r="S16" s="228">
        <f>+[3]Feuil1!$AD$49+[3]Feuil1!$AE$50</f>
        <v>464176.26383711229</v>
      </c>
      <c r="T16" s="228">
        <f>+[3]Feuil1!$AG$50</f>
        <v>276447.60966942151</v>
      </c>
      <c r="U16" s="228">
        <f>+[3]Feuil1!$AI$50</f>
        <v>118328.63132231406</v>
      </c>
      <c r="V16" s="228">
        <f>+[3]Feuil1!$AK$50</f>
        <v>167649.30204545456</v>
      </c>
      <c r="W16" s="228">
        <f>+[3]Feuil1!$AL$51+[3]Feuil1!$AM$50</f>
        <v>196729.16064545457</v>
      </c>
      <c r="X16" s="228">
        <f>+[3]Feuil1!$AN$51+[3]Feuil1!$AO$50</f>
        <v>162359.99184793388</v>
      </c>
      <c r="Y16" s="228">
        <f>+[3]Feuil1!$AP$51+[3]Feuil1!$AQ$50</f>
        <v>120453.21297520664</v>
      </c>
      <c r="Z16" s="228">
        <f>+[3]Feuil1!$AR$51</f>
        <v>0</v>
      </c>
      <c r="AA16" s="228">
        <f>+[3]Feuil1!$AT$51</f>
        <v>0</v>
      </c>
      <c r="AB16" s="220">
        <f t="shared" si="11"/>
        <v>2083081.2916640379</v>
      </c>
      <c r="AC16" s="228">
        <f>+[3]Feuil1!$AV$51+[3]Feuil1!$AW$52</f>
        <v>551772.99169269658</v>
      </c>
      <c r="AD16" s="228">
        <f>+[3]Feuil1!$AX$51+[3]Feuil1!$AY$52</f>
        <v>306151.59399193316</v>
      </c>
      <c r="AE16" s="228">
        <f>+[3]Feuil1!$AZ$51+[3]Feuil1!$BA$52</f>
        <v>442842.73459999991</v>
      </c>
      <c r="AF16" s="228">
        <f>+[3]Feuil1!$BB$51+[3]Feuil1!$BC$52</f>
        <v>877301.37853258406</v>
      </c>
      <c r="AG16" s="228">
        <f>+[3]Feuil1!$BD$51+[3]Feuil1!$BE$52</f>
        <v>613032.65734214918</v>
      </c>
      <c r="AH16" s="228">
        <f>+[3]Feuil1!$BF$51+[3]Feuil1!$BG$52</f>
        <v>552006.76822771528</v>
      </c>
      <c r="AI16" s="228">
        <f>+[3]Feuil1!$BH$51+[3]Feuil1!$BI$52</f>
        <v>638222.49161423219</v>
      </c>
      <c r="AJ16" s="228">
        <f>+[3]Feuil1!$BJ$51+[3]Feuil1!$BK$52</f>
        <v>735108.58126816468</v>
      </c>
      <c r="AK16" s="228">
        <f>+[3]Feuil1!$BL$51+[3]Feuil1!$BM$52</f>
        <v>514547.42214635538</v>
      </c>
      <c r="AL16" s="228">
        <f>+[3]Feuil1!$BN$51+[3]Feuil1!$BO$52</f>
        <v>328703.7309287237</v>
      </c>
      <c r="AM16" s="228">
        <f>+[3]Feuil1!$BP$51+[3]Feuil1!$BQ$52</f>
        <v>193232.6636605589</v>
      </c>
      <c r="AN16" s="228">
        <f>+[3]Feuil1!$BS$52</f>
        <v>80919.864199999982</v>
      </c>
      <c r="AO16" s="220">
        <f t="shared" ref="AO16:AO30" si="13">SUM(AC16:AN16)</f>
        <v>5833842.8782051131</v>
      </c>
    </row>
    <row r="17" spans="1:41" x14ac:dyDescent="0.25">
      <c r="A17" s="271" t="s">
        <v>63</v>
      </c>
      <c r="B17" s="225"/>
      <c r="C17" s="228">
        <v>0</v>
      </c>
      <c r="D17" s="228">
        <v>0</v>
      </c>
      <c r="E17" s="228">
        <v>0</v>
      </c>
      <c r="F17" s="228">
        <v>0</v>
      </c>
      <c r="G17" s="228">
        <v>0</v>
      </c>
      <c r="H17" s="228">
        <v>0</v>
      </c>
      <c r="I17" s="228">
        <v>0</v>
      </c>
      <c r="J17" s="228">
        <v>0</v>
      </c>
      <c r="K17" s="228">
        <v>0</v>
      </c>
      <c r="L17" s="228">
        <v>0</v>
      </c>
      <c r="M17" s="228">
        <v>0</v>
      </c>
      <c r="N17" s="228">
        <v>0</v>
      </c>
      <c r="O17" s="220">
        <f>SUM(C17:N17)</f>
        <v>0</v>
      </c>
      <c r="P17" s="228">
        <v>0</v>
      </c>
      <c r="Q17" s="228">
        <v>0</v>
      </c>
      <c r="R17" s="228">
        <v>0</v>
      </c>
      <c r="S17" s="228">
        <v>0</v>
      </c>
      <c r="T17" s="228">
        <v>0</v>
      </c>
      <c r="U17" s="228">
        <v>0</v>
      </c>
      <c r="V17" s="228">
        <v>0</v>
      </c>
      <c r="W17" s="228">
        <v>0</v>
      </c>
      <c r="X17" s="228">
        <v>0</v>
      </c>
      <c r="Y17" s="228">
        <v>0</v>
      </c>
      <c r="Z17" s="228">
        <v>0</v>
      </c>
      <c r="AA17" s="228">
        <v>0</v>
      </c>
      <c r="AB17" s="220">
        <f t="shared" si="11"/>
        <v>0</v>
      </c>
      <c r="AC17" s="228">
        <v>0</v>
      </c>
      <c r="AD17" s="228">
        <v>0</v>
      </c>
      <c r="AE17" s="228">
        <v>0</v>
      </c>
      <c r="AF17" s="228">
        <v>0</v>
      </c>
      <c r="AG17" s="228">
        <v>0</v>
      </c>
      <c r="AH17" s="228">
        <v>0</v>
      </c>
      <c r="AI17" s="228">
        <v>0</v>
      </c>
      <c r="AJ17" s="228">
        <v>0</v>
      </c>
      <c r="AK17" s="228">
        <v>0</v>
      </c>
      <c r="AL17" s="228">
        <v>0</v>
      </c>
      <c r="AM17" s="228">
        <v>0</v>
      </c>
      <c r="AN17" s="228">
        <v>0</v>
      </c>
      <c r="AO17" s="220">
        <f t="shared" si="13"/>
        <v>0</v>
      </c>
    </row>
    <row r="18" spans="1:41" x14ac:dyDescent="0.25">
      <c r="A18" s="325" t="s">
        <v>246</v>
      </c>
      <c r="B18" s="225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0"/>
      <c r="P18" s="228"/>
      <c r="Q18" s="228"/>
      <c r="R18" s="228"/>
      <c r="S18" s="228"/>
      <c r="T18" s="228"/>
      <c r="U18" s="228">
        <v>72791</v>
      </c>
      <c r="V18" s="228"/>
      <c r="W18" s="228"/>
      <c r="X18" s="228"/>
      <c r="Y18" s="228"/>
      <c r="Z18" s="228"/>
      <c r="AA18" s="228"/>
      <c r="AB18" s="220">
        <f t="shared" si="11"/>
        <v>72791</v>
      </c>
      <c r="AC18" s="228"/>
      <c r="AD18" s="228"/>
      <c r="AE18" s="228"/>
      <c r="AF18" s="228"/>
      <c r="AG18" s="228"/>
      <c r="AH18" s="228">
        <v>33945</v>
      </c>
      <c r="AI18" s="228"/>
      <c r="AJ18" s="228"/>
      <c r="AK18" s="228"/>
      <c r="AL18" s="228"/>
      <c r="AM18" s="228"/>
      <c r="AN18" s="228"/>
      <c r="AO18" s="220">
        <f t="shared" si="13"/>
        <v>33945</v>
      </c>
    </row>
    <row r="19" spans="1:41" ht="15.75" thickBot="1" x14ac:dyDescent="0.3">
      <c r="A19" s="223" t="s">
        <v>222</v>
      </c>
      <c r="B19" s="222"/>
      <c r="C19" s="243">
        <f>SUM(C20:C30)</f>
        <v>560</v>
      </c>
      <c r="D19" s="243">
        <f t="shared" ref="D19:N19" si="14">SUM(D20:D30)</f>
        <v>-740</v>
      </c>
      <c r="E19" s="243">
        <f t="shared" si="14"/>
        <v>3800</v>
      </c>
      <c r="F19" s="243">
        <f t="shared" si="14"/>
        <v>4000</v>
      </c>
      <c r="G19" s="243">
        <f t="shared" si="14"/>
        <v>4000</v>
      </c>
      <c r="H19" s="243">
        <f t="shared" si="14"/>
        <v>17810.652173913044</v>
      </c>
      <c r="I19" s="243">
        <f t="shared" si="14"/>
        <v>146537.94927536233</v>
      </c>
      <c r="J19" s="243">
        <f t="shared" si="14"/>
        <v>90400.050724637695</v>
      </c>
      <c r="K19" s="243">
        <f t="shared" si="14"/>
        <v>132791.35507246378</v>
      </c>
      <c r="L19" s="243">
        <f t="shared" si="14"/>
        <v>45911.217391304352</v>
      </c>
      <c r="M19" s="243">
        <f t="shared" si="14"/>
        <v>89940.978260869568</v>
      </c>
      <c r="N19" s="243">
        <f t="shared" si="14"/>
        <v>126387.18115942032</v>
      </c>
      <c r="O19" s="220">
        <f>SUM(C19:N19)</f>
        <v>661399.38405797107</v>
      </c>
      <c r="P19" s="243">
        <f>SUM(P20:P30)</f>
        <v>94930.541857964301</v>
      </c>
      <c r="Q19" s="243">
        <f t="shared" ref="Q19:AA19" si="15">SUM(Q20:Q30)</f>
        <v>116537.33324158582</v>
      </c>
      <c r="R19" s="243">
        <f t="shared" si="15"/>
        <v>237958.50228231205</v>
      </c>
      <c r="S19" s="243">
        <f t="shared" si="15"/>
        <v>246415.61529793323</v>
      </c>
      <c r="T19" s="243">
        <f t="shared" si="15"/>
        <v>260402.29379118458</v>
      </c>
      <c r="U19" s="243">
        <f t="shared" si="15"/>
        <v>122095.48828654374</v>
      </c>
      <c r="V19" s="243">
        <f t="shared" si="15"/>
        <v>165236.32112249421</v>
      </c>
      <c r="W19" s="243">
        <f t="shared" si="15"/>
        <v>190672.4982944942</v>
      </c>
      <c r="X19" s="243">
        <f t="shared" si="15"/>
        <v>160609.75697194491</v>
      </c>
      <c r="Y19" s="243">
        <f t="shared" si="15"/>
        <v>123953.86167421065</v>
      </c>
      <c r="Z19" s="243">
        <f t="shared" si="15"/>
        <v>18593.333333333332</v>
      </c>
      <c r="AA19" s="243">
        <f t="shared" si="15"/>
        <v>18593.333333333332</v>
      </c>
      <c r="AB19" s="220">
        <f t="shared" si="11"/>
        <v>1755998.8794873341</v>
      </c>
      <c r="AC19" s="243">
        <f>SUM(AC20:AC30)</f>
        <v>38433.549721494383</v>
      </c>
      <c r="AD19" s="243">
        <f t="shared" ref="AD19:AN19" si="16">SUM(AD20:AD30)</f>
        <v>250780.35187407662</v>
      </c>
      <c r="AE19" s="243">
        <f t="shared" si="16"/>
        <v>404443.80469199998</v>
      </c>
      <c r="AF19" s="243">
        <f t="shared" si="16"/>
        <v>700219.49037964037</v>
      </c>
      <c r="AG19" s="243">
        <f t="shared" si="16"/>
        <v>523720.74367694958</v>
      </c>
      <c r="AH19" s="243">
        <f t="shared" si="16"/>
        <v>442941.92809863668</v>
      </c>
      <c r="AI19" s="243">
        <f t="shared" si="16"/>
        <v>524477.22312816489</v>
      </c>
      <c r="AJ19" s="243">
        <f t="shared" si="16"/>
        <v>610708.02267405239</v>
      </c>
      <c r="AK19" s="243">
        <f t="shared" si="16"/>
        <v>428267.97140460962</v>
      </c>
      <c r="AL19" s="243">
        <f t="shared" si="16"/>
        <v>299946.76985337719</v>
      </c>
      <c r="AM19" s="243">
        <f t="shared" si="16"/>
        <v>212770.73745932471</v>
      </c>
      <c r="AN19" s="243">
        <f t="shared" si="16"/>
        <v>104449.687284</v>
      </c>
      <c r="AO19" s="220">
        <f t="shared" si="13"/>
        <v>4541160.2802463258</v>
      </c>
    </row>
    <row r="20" spans="1:41" x14ac:dyDescent="0.25">
      <c r="A20" s="271" t="s">
        <v>72</v>
      </c>
      <c r="B20" s="225"/>
      <c r="C20" s="228"/>
      <c r="D20" s="228"/>
      <c r="E20" s="228"/>
      <c r="F20" s="228"/>
      <c r="G20" s="228"/>
      <c r="H20" s="228">
        <f>+[3]Feuil1!$H$43</f>
        <v>13810.652173913044</v>
      </c>
      <c r="I20" s="228">
        <f>+[3]Feuil1!$J$43</f>
        <v>142537.94927536233</v>
      </c>
      <c r="J20" s="228">
        <f>+[3]Feuil1!$L$43</f>
        <v>86400.050724637695</v>
      </c>
      <c r="K20" s="228">
        <f>+[3]Feuil1!$N$43</f>
        <v>128791.35507246378</v>
      </c>
      <c r="L20" s="228">
        <f>+[3]Feuil1!$P$43</f>
        <v>41911.217391304352</v>
      </c>
      <c r="M20" s="228">
        <f>+[3]Feuil1!$R$43</f>
        <v>85940.978260869568</v>
      </c>
      <c r="N20" s="228">
        <f>+[3]Feuil1!$T$43</f>
        <v>122387.18115942032</v>
      </c>
      <c r="O20" s="220">
        <f>SUM(D20:N20)</f>
        <v>621779.38405797107</v>
      </c>
      <c r="P20" s="228">
        <f>+[3]Feuil1!$V$43</f>
        <v>72906.159420289856</v>
      </c>
      <c r="Q20" s="228">
        <f>+[3]Feuil1!$X$43+[3]Feuil1!$Y$44</f>
        <v>97821.142172715307</v>
      </c>
      <c r="R20" s="228">
        <f>+[3]Feuil1!$Z$43+[3]Feuil1!$AA$44</f>
        <v>211380.33340243419</v>
      </c>
      <c r="S20" s="228">
        <f>+[3]Feuil1!$AB$43+[3]Feuil1!$AC$44</f>
        <v>218538.75668785762</v>
      </c>
      <c r="T20" s="228">
        <f>+[3]Feuil1!$AE$44</f>
        <v>236280.00826446278</v>
      </c>
      <c r="U20" s="228">
        <f>+[3]Feuil1!$AG$44</f>
        <v>101135.58232676414</v>
      </c>
      <c r="V20" s="228">
        <f>+[3]Feuil1!$AI$44</f>
        <v>143290.00174825176</v>
      </c>
      <c r="W20" s="228">
        <f>+[3]Feuil1!$AK$44</f>
        <v>168144.58174825175</v>
      </c>
      <c r="X20" s="228">
        <f>+[3]Feuil1!$AL$45+[3]Feuil1!$AM$44</f>
        <v>138769.22380165287</v>
      </c>
      <c r="Y20" s="228">
        <f>+[3]Feuil1!$AN$45+[3]Feuil1!$AO$44</f>
        <v>102951.4640813732</v>
      </c>
      <c r="Z20" s="228">
        <f>+[3]Feuil1!$AP$45</f>
        <v>0</v>
      </c>
      <c r="AA20" s="228">
        <f>+[3]Feuil1!$AR$45</f>
        <v>0</v>
      </c>
      <c r="AB20" s="220">
        <f t="shared" si="11"/>
        <v>1491217.2536540537</v>
      </c>
      <c r="AC20" s="228">
        <f>+[3]Feuil1!$AU$47</f>
        <v>7138.089887640449</v>
      </c>
      <c r="AD20" s="228">
        <f>+[3]Feuil1!$AW$47</f>
        <v>224397.31999423797</v>
      </c>
      <c r="AE20" s="228">
        <f>+[3]Feuil1!$AY$47</f>
        <v>375326.94999999995</v>
      </c>
      <c r="AF20" s="228">
        <f>+[3]Feuil1!$BA$47</f>
        <v>662413.46280898876</v>
      </c>
      <c r="AG20" s="228">
        <f>+[3]Feuil1!$BC$47</f>
        <v>491200.09053010656</v>
      </c>
      <c r="AH20" s="228">
        <f>+[3]Feuil1!$BE$47</f>
        <v>411641.79273408238</v>
      </c>
      <c r="AI20" s="228">
        <f>+[3]Feuil1!$BG$47</f>
        <v>491452.77329588018</v>
      </c>
      <c r="AJ20" s="228">
        <f>+[3]Feuil1!$BI$47</f>
        <v>575745.8510486891</v>
      </c>
      <c r="AK20" s="228">
        <f>+[3]Feuil1!$BK$47</f>
        <v>397717.02296168247</v>
      </c>
      <c r="AL20" s="228">
        <f>+[3]Feuil1!$BM$47</f>
        <v>273112.69523480267</v>
      </c>
      <c r="AM20" s="228">
        <f>+[3]Feuil1!$BO$47</f>
        <v>188646.08418611353</v>
      </c>
      <c r="AN20" s="228">
        <f>+[3]Feuil1!$BQ$47</f>
        <v>82571.289999999994</v>
      </c>
      <c r="AO20" s="220">
        <f t="shared" si="13"/>
        <v>4181363.4226822238</v>
      </c>
    </row>
    <row r="21" spans="1:41" x14ac:dyDescent="0.25">
      <c r="A21" s="271" t="s">
        <v>70</v>
      </c>
      <c r="B21" s="225"/>
      <c r="D21" s="228"/>
      <c r="E21" s="228">
        <f>+'[4]charges externes'!$B$22/10</f>
        <v>1500</v>
      </c>
      <c r="F21" s="228">
        <f>+E21+200</f>
        <v>1700</v>
      </c>
      <c r="G21" s="228">
        <f t="shared" ref="G21:N30" si="17">+F21</f>
        <v>1700</v>
      </c>
      <c r="H21" s="228">
        <f t="shared" si="17"/>
        <v>1700</v>
      </c>
      <c r="I21" s="228">
        <f t="shared" si="17"/>
        <v>1700</v>
      </c>
      <c r="J21" s="228">
        <f t="shared" si="17"/>
        <v>1700</v>
      </c>
      <c r="K21" s="228">
        <f t="shared" si="17"/>
        <v>1700</v>
      </c>
      <c r="L21" s="228">
        <f t="shared" si="17"/>
        <v>1700</v>
      </c>
      <c r="M21" s="228">
        <f t="shared" si="17"/>
        <v>1700</v>
      </c>
      <c r="N21" s="228">
        <f t="shared" si="17"/>
        <v>1700</v>
      </c>
      <c r="O21" s="220">
        <f>SUM(D21:N21)</f>
        <v>16800</v>
      </c>
      <c r="P21" s="228">
        <f>+'[4]charges externes'!$C$22/12+P16*2%</f>
        <v>6347.7157710077863</v>
      </c>
      <c r="Q21" s="228">
        <f>+'[4]charges externes'!$C$22/12+Q16*2%</f>
        <v>3039.5244022038564</v>
      </c>
      <c r="R21" s="228">
        <f>+'[4]charges externes'!$C$22/12+R16*2%</f>
        <v>10901.502213211164</v>
      </c>
      <c r="S21" s="228">
        <f>+'[4]charges externes'!$C$22/12+S16*2%</f>
        <v>12200.191943408912</v>
      </c>
      <c r="T21" s="228">
        <f>+'[4]charges externes'!$C$22/12+T16*2%</f>
        <v>8445.6188600550977</v>
      </c>
      <c r="U21" s="228">
        <f>+'[4]charges externes'!$C$22/12+U16*2%</f>
        <v>5283.239293112948</v>
      </c>
      <c r="V21" s="228">
        <f>+'[4]charges externes'!$C$22/12+V16*2%</f>
        <v>6269.6527075757576</v>
      </c>
      <c r="W21" s="228">
        <f>+'[4]charges externes'!$C$22/12+W16*2%</f>
        <v>6851.2498795757583</v>
      </c>
      <c r="X21" s="228">
        <f>+'[4]charges externes'!$C$22/12+X16*2%</f>
        <v>6163.8665036253442</v>
      </c>
      <c r="Y21" s="228">
        <f>+'[4]charges externes'!$C$22/12+Y16*2%</f>
        <v>5325.7309261707996</v>
      </c>
      <c r="Z21" s="228">
        <f>+'[4]charges externes'!$C$22/12+Z16*2%</f>
        <v>2916.6666666666665</v>
      </c>
      <c r="AA21" s="228">
        <f>+'[4]charges externes'!$C$22/12+AA16*2%</f>
        <v>2916.6666666666665</v>
      </c>
      <c r="AB21" s="220">
        <f t="shared" si="11"/>
        <v>76661.625833280763</v>
      </c>
      <c r="AC21" s="228">
        <f>+'[4]charges externes'!$D$22/12+AC16*2%</f>
        <v>14368.793167187267</v>
      </c>
      <c r="AD21" s="228">
        <f>+'[4]charges externes'!$D$22/12+AD16*2%</f>
        <v>9456.3652131719973</v>
      </c>
      <c r="AE21" s="228">
        <f>+'[4]charges externes'!$D$22/12+AE16*2%</f>
        <v>12190.188025333333</v>
      </c>
      <c r="AF21" s="228">
        <f>+'[4]charges externes'!$D$22/12+AF16*2%</f>
        <v>20879.360903985013</v>
      </c>
      <c r="AG21" s="228">
        <f>+'[4]charges externes'!$D$22/12+AG16*2%</f>
        <v>15593.986480176318</v>
      </c>
      <c r="AH21" s="228">
        <f>+'[4]charges externes'!$D$22/12+AH16*2%</f>
        <v>14373.46869788764</v>
      </c>
      <c r="AI21" s="228">
        <f>+'[4]charges externes'!$D$22/12+AI16*2%</f>
        <v>16097.783165617979</v>
      </c>
      <c r="AJ21" s="228">
        <f>+'[4]charges externes'!$D$22/12+AJ16*2%</f>
        <v>18035.504958696627</v>
      </c>
      <c r="AK21" s="228">
        <f>+'[4]charges externes'!$D$22/12+AK16*2%</f>
        <v>13624.281776260443</v>
      </c>
      <c r="AL21" s="228">
        <f>+'[4]charges externes'!$D$22/12+AL16*2%</f>
        <v>9907.4079519078077</v>
      </c>
      <c r="AM21" s="228">
        <f>+'[4]charges externes'!$D$22/12+AM16*2%</f>
        <v>7197.9866065445112</v>
      </c>
      <c r="AN21" s="228">
        <f>+'[4]charges externes'!$D$22/12+AN16*2%</f>
        <v>4951.7306173333327</v>
      </c>
      <c r="AO21" s="220">
        <f t="shared" si="13"/>
        <v>156676.85756410228</v>
      </c>
    </row>
    <row r="22" spans="1:41" x14ac:dyDescent="0.25">
      <c r="A22" s="271" t="s">
        <v>221</v>
      </c>
      <c r="B22" s="225"/>
      <c r="C22" s="228">
        <f>+'[4]charges externes'!B23/12</f>
        <v>0</v>
      </c>
      <c r="D22" s="228">
        <f t="shared" ref="D22:F23" si="18">+C22</f>
        <v>0</v>
      </c>
      <c r="E22" s="228">
        <f t="shared" si="18"/>
        <v>0</v>
      </c>
      <c r="F22" s="228">
        <f t="shared" si="18"/>
        <v>0</v>
      </c>
      <c r="G22" s="228">
        <f t="shared" si="17"/>
        <v>0</v>
      </c>
      <c r="H22" s="228">
        <f t="shared" si="17"/>
        <v>0</v>
      </c>
      <c r="I22" s="228">
        <f t="shared" si="17"/>
        <v>0</v>
      </c>
      <c r="J22" s="228">
        <f t="shared" si="17"/>
        <v>0</v>
      </c>
      <c r="K22" s="228">
        <f t="shared" si="17"/>
        <v>0</v>
      </c>
      <c r="L22" s="228">
        <f t="shared" si="17"/>
        <v>0</v>
      </c>
      <c r="M22" s="228">
        <f t="shared" si="17"/>
        <v>0</v>
      </c>
      <c r="N22" s="228">
        <f t="shared" si="17"/>
        <v>0</v>
      </c>
      <c r="O22" s="220">
        <f>SUM(C22:N22)</f>
        <v>0</v>
      </c>
      <c r="P22" s="228">
        <f>+'[4]charges externes'!C23/12</f>
        <v>0</v>
      </c>
      <c r="Q22" s="228">
        <f t="shared" ref="Q22:AA22" si="19">+P22</f>
        <v>0</v>
      </c>
      <c r="R22" s="228">
        <f t="shared" si="19"/>
        <v>0</v>
      </c>
      <c r="S22" s="228">
        <f t="shared" si="19"/>
        <v>0</v>
      </c>
      <c r="T22" s="228">
        <f t="shared" si="19"/>
        <v>0</v>
      </c>
      <c r="U22" s="228">
        <f t="shared" si="19"/>
        <v>0</v>
      </c>
      <c r="V22" s="228">
        <f t="shared" si="19"/>
        <v>0</v>
      </c>
      <c r="W22" s="228">
        <f t="shared" si="19"/>
        <v>0</v>
      </c>
      <c r="X22" s="228">
        <f t="shared" si="19"/>
        <v>0</v>
      </c>
      <c r="Y22" s="228">
        <f t="shared" si="19"/>
        <v>0</v>
      </c>
      <c r="Z22" s="228">
        <f t="shared" si="19"/>
        <v>0</v>
      </c>
      <c r="AA22" s="228">
        <f t="shared" si="19"/>
        <v>0</v>
      </c>
      <c r="AB22" s="220">
        <f t="shared" si="11"/>
        <v>0</v>
      </c>
      <c r="AC22" s="228">
        <f>+'[4]charges externes'!D23/12</f>
        <v>0</v>
      </c>
      <c r="AD22" s="228">
        <f t="shared" ref="AD22:AN22" si="20">+AC22</f>
        <v>0</v>
      </c>
      <c r="AE22" s="228">
        <f t="shared" si="20"/>
        <v>0</v>
      </c>
      <c r="AF22" s="228">
        <f t="shared" si="20"/>
        <v>0</v>
      </c>
      <c r="AG22" s="228">
        <f t="shared" si="20"/>
        <v>0</v>
      </c>
      <c r="AH22" s="228">
        <f t="shared" si="20"/>
        <v>0</v>
      </c>
      <c r="AI22" s="228">
        <f t="shared" si="20"/>
        <v>0</v>
      </c>
      <c r="AJ22" s="228">
        <f t="shared" si="20"/>
        <v>0</v>
      </c>
      <c r="AK22" s="228">
        <f t="shared" si="20"/>
        <v>0</v>
      </c>
      <c r="AL22" s="228">
        <f t="shared" si="20"/>
        <v>0</v>
      </c>
      <c r="AM22" s="228">
        <f t="shared" si="20"/>
        <v>0</v>
      </c>
      <c r="AN22" s="228">
        <f t="shared" si="20"/>
        <v>0</v>
      </c>
      <c r="AO22" s="220">
        <f t="shared" si="13"/>
        <v>0</v>
      </c>
    </row>
    <row r="23" spans="1:41" x14ac:dyDescent="0.25">
      <c r="A23" s="271" t="s">
        <v>220</v>
      </c>
      <c r="B23" s="225"/>
      <c r="C23" s="228">
        <f>+'[4]charges externes'!B24/12</f>
        <v>0</v>
      </c>
      <c r="D23" s="228">
        <f t="shared" si="18"/>
        <v>0</v>
      </c>
      <c r="E23" s="228">
        <f t="shared" si="18"/>
        <v>0</v>
      </c>
      <c r="F23" s="228">
        <f t="shared" si="18"/>
        <v>0</v>
      </c>
      <c r="G23" s="228">
        <f t="shared" si="17"/>
        <v>0</v>
      </c>
      <c r="H23" s="228">
        <f t="shared" si="17"/>
        <v>0</v>
      </c>
      <c r="I23" s="228">
        <f t="shared" si="17"/>
        <v>0</v>
      </c>
      <c r="J23" s="228">
        <f t="shared" si="17"/>
        <v>0</v>
      </c>
      <c r="K23" s="228">
        <f t="shared" si="17"/>
        <v>0</v>
      </c>
      <c r="L23" s="228">
        <f t="shared" si="17"/>
        <v>0</v>
      </c>
      <c r="M23" s="228">
        <f t="shared" si="17"/>
        <v>0</v>
      </c>
      <c r="N23" s="228">
        <f t="shared" si="17"/>
        <v>0</v>
      </c>
      <c r="O23" s="220">
        <f>SUM(C23:N23)</f>
        <v>0</v>
      </c>
      <c r="P23" s="228">
        <f>+'[4]charges externes'!C24/12</f>
        <v>0</v>
      </c>
      <c r="Q23" s="228">
        <f t="shared" ref="Q23:AA23" si="21">+P23</f>
        <v>0</v>
      </c>
      <c r="R23" s="228">
        <f t="shared" si="21"/>
        <v>0</v>
      </c>
      <c r="S23" s="228">
        <f t="shared" si="21"/>
        <v>0</v>
      </c>
      <c r="T23" s="228">
        <f t="shared" si="21"/>
        <v>0</v>
      </c>
      <c r="U23" s="228">
        <f t="shared" si="21"/>
        <v>0</v>
      </c>
      <c r="V23" s="228">
        <f t="shared" si="21"/>
        <v>0</v>
      </c>
      <c r="W23" s="228">
        <f t="shared" si="21"/>
        <v>0</v>
      </c>
      <c r="X23" s="228">
        <f t="shared" si="21"/>
        <v>0</v>
      </c>
      <c r="Y23" s="228">
        <f t="shared" si="21"/>
        <v>0</v>
      </c>
      <c r="Z23" s="228">
        <f t="shared" si="21"/>
        <v>0</v>
      </c>
      <c r="AA23" s="228">
        <f t="shared" si="21"/>
        <v>0</v>
      </c>
      <c r="AB23" s="220">
        <f t="shared" si="11"/>
        <v>0</v>
      </c>
      <c r="AC23" s="228">
        <f>+'[4]charges externes'!D24/12</f>
        <v>0</v>
      </c>
      <c r="AD23" s="228">
        <f t="shared" ref="AD23:AN23" si="22">+AC23</f>
        <v>0</v>
      </c>
      <c r="AE23" s="228">
        <f t="shared" si="22"/>
        <v>0</v>
      </c>
      <c r="AF23" s="228">
        <f t="shared" si="22"/>
        <v>0</v>
      </c>
      <c r="AG23" s="228">
        <f t="shared" si="22"/>
        <v>0</v>
      </c>
      <c r="AH23" s="228">
        <f t="shared" si="22"/>
        <v>0</v>
      </c>
      <c r="AI23" s="228">
        <f t="shared" si="22"/>
        <v>0</v>
      </c>
      <c r="AJ23" s="228">
        <f t="shared" si="22"/>
        <v>0</v>
      </c>
      <c r="AK23" s="228">
        <f t="shared" si="22"/>
        <v>0</v>
      </c>
      <c r="AL23" s="228">
        <f t="shared" si="22"/>
        <v>0</v>
      </c>
      <c r="AM23" s="228">
        <f t="shared" si="22"/>
        <v>0</v>
      </c>
      <c r="AN23" s="228">
        <f t="shared" si="22"/>
        <v>0</v>
      </c>
      <c r="AO23" s="220">
        <f t="shared" si="13"/>
        <v>0</v>
      </c>
    </row>
    <row r="24" spans="1:41" x14ac:dyDescent="0.25">
      <c r="A24" s="271" t="s">
        <v>219</v>
      </c>
      <c r="B24" s="225"/>
      <c r="D24" s="228">
        <v>0</v>
      </c>
      <c r="E24" s="228">
        <f>+'[4]charges externes'!$B$25/10</f>
        <v>500</v>
      </c>
      <c r="F24" s="228">
        <f t="shared" ref="F24:F30" si="23">+E24</f>
        <v>500</v>
      </c>
      <c r="G24" s="228">
        <f t="shared" si="17"/>
        <v>500</v>
      </c>
      <c r="H24" s="228">
        <f t="shared" si="17"/>
        <v>500</v>
      </c>
      <c r="I24" s="228">
        <f t="shared" si="17"/>
        <v>500</v>
      </c>
      <c r="J24" s="228">
        <f t="shared" si="17"/>
        <v>500</v>
      </c>
      <c r="K24" s="228">
        <f t="shared" si="17"/>
        <v>500</v>
      </c>
      <c r="L24" s="228">
        <f t="shared" si="17"/>
        <v>500</v>
      </c>
      <c r="M24" s="228">
        <f t="shared" si="17"/>
        <v>500</v>
      </c>
      <c r="N24" s="228">
        <f t="shared" si="17"/>
        <v>500</v>
      </c>
      <c r="O24" s="220">
        <f>SUM(D24:N24)</f>
        <v>5000</v>
      </c>
      <c r="P24" s="228">
        <f>+'[4]charges externes'!C25/12</f>
        <v>2000</v>
      </c>
      <c r="Q24" s="228">
        <f t="shared" ref="Q24:AA24" si="24">+P24</f>
        <v>2000</v>
      </c>
      <c r="R24" s="228">
        <f t="shared" si="24"/>
        <v>2000</v>
      </c>
      <c r="S24" s="228">
        <f t="shared" si="24"/>
        <v>2000</v>
      </c>
      <c r="T24" s="228">
        <f t="shared" si="24"/>
        <v>2000</v>
      </c>
      <c r="U24" s="228">
        <f t="shared" si="24"/>
        <v>2000</v>
      </c>
      <c r="V24" s="228">
        <f t="shared" si="24"/>
        <v>2000</v>
      </c>
      <c r="W24" s="228">
        <f t="shared" si="24"/>
        <v>2000</v>
      </c>
      <c r="X24" s="228">
        <f t="shared" si="24"/>
        <v>2000</v>
      </c>
      <c r="Y24" s="228">
        <f t="shared" si="24"/>
        <v>2000</v>
      </c>
      <c r="Z24" s="228">
        <f t="shared" si="24"/>
        <v>2000</v>
      </c>
      <c r="AA24" s="228">
        <f t="shared" si="24"/>
        <v>2000</v>
      </c>
      <c r="AB24" s="220">
        <f t="shared" si="11"/>
        <v>24000</v>
      </c>
      <c r="AC24" s="228">
        <f>+'[4]charges externes'!D25/12</f>
        <v>2000</v>
      </c>
      <c r="AD24" s="228">
        <f t="shared" ref="AD24:AN24" si="25">+AC24</f>
        <v>2000</v>
      </c>
      <c r="AE24" s="228">
        <f t="shared" si="25"/>
        <v>2000</v>
      </c>
      <c r="AF24" s="228">
        <f t="shared" si="25"/>
        <v>2000</v>
      </c>
      <c r="AG24" s="228">
        <f t="shared" si="25"/>
        <v>2000</v>
      </c>
      <c r="AH24" s="228">
        <f t="shared" si="25"/>
        <v>2000</v>
      </c>
      <c r="AI24" s="228">
        <f t="shared" si="25"/>
        <v>2000</v>
      </c>
      <c r="AJ24" s="228">
        <f t="shared" si="25"/>
        <v>2000</v>
      </c>
      <c r="AK24" s="228">
        <f t="shared" si="25"/>
        <v>2000</v>
      </c>
      <c r="AL24" s="228">
        <f t="shared" si="25"/>
        <v>2000</v>
      </c>
      <c r="AM24" s="228">
        <f t="shared" si="25"/>
        <v>2000</v>
      </c>
      <c r="AN24" s="228">
        <f t="shared" si="25"/>
        <v>2000</v>
      </c>
      <c r="AO24" s="220">
        <f t="shared" si="13"/>
        <v>24000</v>
      </c>
    </row>
    <row r="25" spans="1:41" x14ac:dyDescent="0.25">
      <c r="A25" s="271" t="s">
        <v>218</v>
      </c>
      <c r="B25" s="225"/>
      <c r="C25" s="228">
        <f>+'[4]charges externes'!B26/12</f>
        <v>560</v>
      </c>
      <c r="D25" s="228">
        <f>+C25</f>
        <v>560</v>
      </c>
      <c r="E25" s="228">
        <f>+D25</f>
        <v>560</v>
      </c>
      <c r="F25" s="228">
        <f t="shared" si="23"/>
        <v>560</v>
      </c>
      <c r="G25" s="228">
        <f t="shared" si="17"/>
        <v>560</v>
      </c>
      <c r="H25" s="228">
        <f t="shared" si="17"/>
        <v>560</v>
      </c>
      <c r="I25" s="228">
        <f t="shared" si="17"/>
        <v>560</v>
      </c>
      <c r="J25" s="228">
        <f t="shared" si="17"/>
        <v>560</v>
      </c>
      <c r="K25" s="228">
        <f t="shared" si="17"/>
        <v>560</v>
      </c>
      <c r="L25" s="228">
        <f t="shared" si="17"/>
        <v>560</v>
      </c>
      <c r="M25" s="228">
        <f t="shared" si="17"/>
        <v>560</v>
      </c>
      <c r="N25" s="228">
        <f t="shared" si="17"/>
        <v>560</v>
      </c>
      <c r="O25" s="220">
        <f>SUM(C25:N25)</f>
        <v>6720</v>
      </c>
      <c r="P25" s="228">
        <f>+'[4]charges externes'!C26/12</f>
        <v>560</v>
      </c>
      <c r="Q25" s="228">
        <f t="shared" ref="Q25:AA25" si="26">+P25</f>
        <v>560</v>
      </c>
      <c r="R25" s="228">
        <f t="shared" si="26"/>
        <v>560</v>
      </c>
      <c r="S25" s="228">
        <f t="shared" si="26"/>
        <v>560</v>
      </c>
      <c r="T25" s="228">
        <f t="shared" si="26"/>
        <v>560</v>
      </c>
      <c r="U25" s="228">
        <f t="shared" si="26"/>
        <v>560</v>
      </c>
      <c r="V25" s="228">
        <f t="shared" si="26"/>
        <v>560</v>
      </c>
      <c r="W25" s="228">
        <f t="shared" si="26"/>
        <v>560</v>
      </c>
      <c r="X25" s="228">
        <f t="shared" si="26"/>
        <v>560</v>
      </c>
      <c r="Y25" s="228">
        <f t="shared" si="26"/>
        <v>560</v>
      </c>
      <c r="Z25" s="228">
        <f t="shared" si="26"/>
        <v>560</v>
      </c>
      <c r="AA25" s="228">
        <f t="shared" si="26"/>
        <v>560</v>
      </c>
      <c r="AB25" s="220">
        <f t="shared" si="11"/>
        <v>6720</v>
      </c>
      <c r="AC25" s="228">
        <f>+'[4]charges externes'!D26/12</f>
        <v>560</v>
      </c>
      <c r="AD25" s="228">
        <f t="shared" ref="AD25:AN25" si="27">+AC25</f>
        <v>560</v>
      </c>
      <c r="AE25" s="228">
        <f t="shared" si="27"/>
        <v>560</v>
      </c>
      <c r="AF25" s="228">
        <f t="shared" si="27"/>
        <v>560</v>
      </c>
      <c r="AG25" s="228">
        <f t="shared" si="27"/>
        <v>560</v>
      </c>
      <c r="AH25" s="228">
        <f t="shared" si="27"/>
        <v>560</v>
      </c>
      <c r="AI25" s="228">
        <f t="shared" si="27"/>
        <v>560</v>
      </c>
      <c r="AJ25" s="228">
        <f t="shared" si="27"/>
        <v>560</v>
      </c>
      <c r="AK25" s="228">
        <f t="shared" si="27"/>
        <v>560</v>
      </c>
      <c r="AL25" s="228">
        <f t="shared" si="27"/>
        <v>560</v>
      </c>
      <c r="AM25" s="228">
        <f t="shared" si="27"/>
        <v>560</v>
      </c>
      <c r="AN25" s="228">
        <f t="shared" si="27"/>
        <v>560</v>
      </c>
      <c r="AO25" s="220">
        <f t="shared" si="13"/>
        <v>6720</v>
      </c>
    </row>
    <row r="26" spans="1:41" x14ac:dyDescent="0.25">
      <c r="A26" s="271" t="s">
        <v>217</v>
      </c>
      <c r="B26" s="225"/>
      <c r="D26" s="228">
        <v>0</v>
      </c>
      <c r="E26" s="228">
        <f>+'[4]charges externes'!$B$27/10</f>
        <v>500</v>
      </c>
      <c r="F26" s="228">
        <f t="shared" si="23"/>
        <v>500</v>
      </c>
      <c r="G26" s="228">
        <f t="shared" si="17"/>
        <v>500</v>
      </c>
      <c r="H26" s="228">
        <f t="shared" si="17"/>
        <v>500</v>
      </c>
      <c r="I26" s="228">
        <f t="shared" si="17"/>
        <v>500</v>
      </c>
      <c r="J26" s="228">
        <f t="shared" si="17"/>
        <v>500</v>
      </c>
      <c r="K26" s="228">
        <f t="shared" si="17"/>
        <v>500</v>
      </c>
      <c r="L26" s="228">
        <f t="shared" si="17"/>
        <v>500</v>
      </c>
      <c r="M26" s="228">
        <f t="shared" si="17"/>
        <v>500</v>
      </c>
      <c r="N26" s="228">
        <f t="shared" si="17"/>
        <v>500</v>
      </c>
      <c r="O26" s="220">
        <f>SUM(D26:N26)</f>
        <v>5000</v>
      </c>
      <c r="P26" s="228">
        <f>+'[4]charges externes'!C27/12</f>
        <v>2083.3333333333335</v>
      </c>
      <c r="Q26" s="228">
        <f t="shared" ref="Q26:AA26" si="28">+P26</f>
        <v>2083.3333333333335</v>
      </c>
      <c r="R26" s="228">
        <f t="shared" si="28"/>
        <v>2083.3333333333335</v>
      </c>
      <c r="S26" s="228">
        <f t="shared" si="28"/>
        <v>2083.3333333333335</v>
      </c>
      <c r="T26" s="228">
        <f t="shared" si="28"/>
        <v>2083.3333333333335</v>
      </c>
      <c r="U26" s="228">
        <f t="shared" si="28"/>
        <v>2083.3333333333335</v>
      </c>
      <c r="V26" s="228">
        <f t="shared" si="28"/>
        <v>2083.3333333333335</v>
      </c>
      <c r="W26" s="228">
        <f t="shared" si="28"/>
        <v>2083.3333333333335</v>
      </c>
      <c r="X26" s="228">
        <f t="shared" si="28"/>
        <v>2083.3333333333335</v>
      </c>
      <c r="Y26" s="228">
        <f t="shared" si="28"/>
        <v>2083.3333333333335</v>
      </c>
      <c r="Z26" s="228">
        <f t="shared" si="28"/>
        <v>2083.3333333333335</v>
      </c>
      <c r="AA26" s="228">
        <f t="shared" si="28"/>
        <v>2083.3333333333335</v>
      </c>
      <c r="AB26" s="220">
        <f t="shared" si="11"/>
        <v>24999.999999999996</v>
      </c>
      <c r="AC26" s="228">
        <f>+'[4]charges externes'!D27/12</f>
        <v>2916.6666666666665</v>
      </c>
      <c r="AD26" s="228">
        <f t="shared" ref="AD26:AN26" si="29">+AC26</f>
        <v>2916.6666666666665</v>
      </c>
      <c r="AE26" s="228">
        <f t="shared" si="29"/>
        <v>2916.6666666666665</v>
      </c>
      <c r="AF26" s="228">
        <f t="shared" si="29"/>
        <v>2916.6666666666665</v>
      </c>
      <c r="AG26" s="228">
        <f t="shared" si="29"/>
        <v>2916.6666666666665</v>
      </c>
      <c r="AH26" s="228">
        <f t="shared" si="29"/>
        <v>2916.6666666666665</v>
      </c>
      <c r="AI26" s="228">
        <f t="shared" si="29"/>
        <v>2916.6666666666665</v>
      </c>
      <c r="AJ26" s="228">
        <f t="shared" si="29"/>
        <v>2916.6666666666665</v>
      </c>
      <c r="AK26" s="228">
        <f t="shared" si="29"/>
        <v>2916.6666666666665</v>
      </c>
      <c r="AL26" s="228">
        <f t="shared" si="29"/>
        <v>2916.6666666666665</v>
      </c>
      <c r="AM26" s="228">
        <f t="shared" si="29"/>
        <v>2916.6666666666665</v>
      </c>
      <c r="AN26" s="228">
        <f t="shared" si="29"/>
        <v>2916.6666666666665</v>
      </c>
      <c r="AO26" s="220">
        <f t="shared" si="13"/>
        <v>35000.000000000007</v>
      </c>
    </row>
    <row r="27" spans="1:41" x14ac:dyDescent="0.25">
      <c r="A27" s="271" t="s">
        <v>216</v>
      </c>
      <c r="B27" s="225"/>
      <c r="D27" s="228">
        <v>0</v>
      </c>
      <c r="E27" s="228">
        <f>+'[4]charges externes'!$B$28/10</f>
        <v>500</v>
      </c>
      <c r="F27" s="228">
        <f t="shared" si="23"/>
        <v>500</v>
      </c>
      <c r="G27" s="228">
        <f t="shared" si="17"/>
        <v>500</v>
      </c>
      <c r="H27" s="228">
        <f t="shared" si="17"/>
        <v>500</v>
      </c>
      <c r="I27" s="228">
        <f t="shared" si="17"/>
        <v>500</v>
      </c>
      <c r="J27" s="228">
        <f t="shared" si="17"/>
        <v>500</v>
      </c>
      <c r="K27" s="228">
        <f t="shared" si="17"/>
        <v>500</v>
      </c>
      <c r="L27" s="228">
        <f t="shared" si="17"/>
        <v>500</v>
      </c>
      <c r="M27" s="228">
        <f t="shared" si="17"/>
        <v>500</v>
      </c>
      <c r="N27" s="228">
        <f t="shared" si="17"/>
        <v>500</v>
      </c>
      <c r="O27" s="220">
        <f>SUM(D27:N27)</f>
        <v>5000</v>
      </c>
      <c r="P27" s="228">
        <f>+'[4]charges externes'!C28/12</f>
        <v>5000</v>
      </c>
      <c r="Q27" s="228">
        <f t="shared" ref="Q27:AA27" si="30">+P27</f>
        <v>5000</v>
      </c>
      <c r="R27" s="228">
        <f t="shared" si="30"/>
        <v>5000</v>
      </c>
      <c r="S27" s="228">
        <f t="shared" si="30"/>
        <v>5000</v>
      </c>
      <c r="T27" s="228">
        <f t="shared" si="30"/>
        <v>5000</v>
      </c>
      <c r="U27" s="228">
        <f t="shared" si="30"/>
        <v>5000</v>
      </c>
      <c r="V27" s="228">
        <f t="shared" si="30"/>
        <v>5000</v>
      </c>
      <c r="W27" s="228">
        <f t="shared" si="30"/>
        <v>5000</v>
      </c>
      <c r="X27" s="228">
        <f t="shared" si="30"/>
        <v>5000</v>
      </c>
      <c r="Y27" s="228">
        <f t="shared" si="30"/>
        <v>5000</v>
      </c>
      <c r="Z27" s="228">
        <f t="shared" si="30"/>
        <v>5000</v>
      </c>
      <c r="AA27" s="228">
        <f t="shared" si="30"/>
        <v>5000</v>
      </c>
      <c r="AB27" s="220">
        <f t="shared" si="11"/>
        <v>60000</v>
      </c>
      <c r="AC27" s="228">
        <f>+'[4]charges externes'!D28/12</f>
        <v>5000</v>
      </c>
      <c r="AD27" s="228">
        <f t="shared" ref="AD27:AN27" si="31">+AC27</f>
        <v>5000</v>
      </c>
      <c r="AE27" s="228">
        <f t="shared" si="31"/>
        <v>5000</v>
      </c>
      <c r="AF27" s="228">
        <f t="shared" si="31"/>
        <v>5000</v>
      </c>
      <c r="AG27" s="228">
        <f t="shared" si="31"/>
        <v>5000</v>
      </c>
      <c r="AH27" s="228">
        <f t="shared" si="31"/>
        <v>5000</v>
      </c>
      <c r="AI27" s="228">
        <f t="shared" si="31"/>
        <v>5000</v>
      </c>
      <c r="AJ27" s="228">
        <f t="shared" si="31"/>
        <v>5000</v>
      </c>
      <c r="AK27" s="228">
        <f t="shared" si="31"/>
        <v>5000</v>
      </c>
      <c r="AL27" s="228">
        <f t="shared" si="31"/>
        <v>5000</v>
      </c>
      <c r="AM27" s="228">
        <f t="shared" si="31"/>
        <v>5000</v>
      </c>
      <c r="AN27" s="228">
        <f t="shared" si="31"/>
        <v>5000</v>
      </c>
      <c r="AO27" s="220">
        <f t="shared" si="13"/>
        <v>60000</v>
      </c>
    </row>
    <row r="28" spans="1:41" x14ac:dyDescent="0.25">
      <c r="A28" s="271" t="s">
        <v>215</v>
      </c>
      <c r="B28" s="225"/>
      <c r="C28" s="228">
        <v>0</v>
      </c>
      <c r="D28" s="228">
        <f>+'[4]charges externes'!$B$29/11-1300</f>
        <v>-1300</v>
      </c>
      <c r="E28" s="228">
        <f>+D28+1300</f>
        <v>0</v>
      </c>
      <c r="F28" s="228">
        <f t="shared" si="23"/>
        <v>0</v>
      </c>
      <c r="G28" s="228">
        <f t="shared" si="17"/>
        <v>0</v>
      </c>
      <c r="H28" s="228">
        <f t="shared" si="17"/>
        <v>0</v>
      </c>
      <c r="I28" s="228">
        <f t="shared" si="17"/>
        <v>0</v>
      </c>
      <c r="J28" s="228">
        <f t="shared" si="17"/>
        <v>0</v>
      </c>
      <c r="K28" s="228">
        <f t="shared" si="17"/>
        <v>0</v>
      </c>
      <c r="L28" s="228">
        <f t="shared" si="17"/>
        <v>0</v>
      </c>
      <c r="M28" s="228">
        <f t="shared" si="17"/>
        <v>0</v>
      </c>
      <c r="N28" s="228">
        <f t="shared" si="17"/>
        <v>0</v>
      </c>
      <c r="O28" s="220">
        <f>SUM(C28:N28)</f>
        <v>-1300</v>
      </c>
      <c r="P28" s="228">
        <f>+'[4]charges externes'!C29/12</f>
        <v>5000</v>
      </c>
      <c r="Q28" s="228">
        <f t="shared" ref="Q28:AA28" si="32">+P28</f>
        <v>5000</v>
      </c>
      <c r="R28" s="228">
        <f t="shared" si="32"/>
        <v>5000</v>
      </c>
      <c r="S28" s="228">
        <f t="shared" si="32"/>
        <v>5000</v>
      </c>
      <c r="T28" s="228">
        <f t="shared" si="32"/>
        <v>5000</v>
      </c>
      <c r="U28" s="228">
        <f t="shared" si="32"/>
        <v>5000</v>
      </c>
      <c r="V28" s="228">
        <f t="shared" si="32"/>
        <v>5000</v>
      </c>
      <c r="W28" s="228">
        <f t="shared" si="32"/>
        <v>5000</v>
      </c>
      <c r="X28" s="228">
        <f t="shared" si="32"/>
        <v>5000</v>
      </c>
      <c r="Y28" s="228">
        <f t="shared" si="32"/>
        <v>5000</v>
      </c>
      <c r="Z28" s="228">
        <f t="shared" si="32"/>
        <v>5000</v>
      </c>
      <c r="AA28" s="228">
        <f t="shared" si="32"/>
        <v>5000</v>
      </c>
      <c r="AB28" s="220">
        <f t="shared" si="11"/>
        <v>60000</v>
      </c>
      <c r="AC28" s="228">
        <f>+'[4]charges externes'!D29/12</f>
        <v>5000</v>
      </c>
      <c r="AD28" s="228">
        <f t="shared" ref="AD28:AN28" si="33">+AC28</f>
        <v>5000</v>
      </c>
      <c r="AE28" s="228">
        <f t="shared" si="33"/>
        <v>5000</v>
      </c>
      <c r="AF28" s="228">
        <f t="shared" si="33"/>
        <v>5000</v>
      </c>
      <c r="AG28" s="228">
        <f t="shared" si="33"/>
        <v>5000</v>
      </c>
      <c r="AH28" s="228">
        <f t="shared" si="33"/>
        <v>5000</v>
      </c>
      <c r="AI28" s="228">
        <f t="shared" si="33"/>
        <v>5000</v>
      </c>
      <c r="AJ28" s="228">
        <f t="shared" si="33"/>
        <v>5000</v>
      </c>
      <c r="AK28" s="228">
        <f t="shared" si="33"/>
        <v>5000</v>
      </c>
      <c r="AL28" s="228">
        <f t="shared" si="33"/>
        <v>5000</v>
      </c>
      <c r="AM28" s="228">
        <f t="shared" si="33"/>
        <v>5000</v>
      </c>
      <c r="AN28" s="228">
        <f t="shared" si="33"/>
        <v>5000</v>
      </c>
      <c r="AO28" s="220">
        <f t="shared" si="13"/>
        <v>60000</v>
      </c>
    </row>
    <row r="29" spans="1:41" x14ac:dyDescent="0.25">
      <c r="A29" s="271" t="s">
        <v>214</v>
      </c>
      <c r="B29" s="225"/>
      <c r="D29" s="228">
        <v>0</v>
      </c>
      <c r="E29" s="228">
        <f>+'[4]charges externes'!$B$30/10</f>
        <v>0</v>
      </c>
      <c r="F29" s="228">
        <f t="shared" si="23"/>
        <v>0</v>
      </c>
      <c r="G29" s="228">
        <f t="shared" si="17"/>
        <v>0</v>
      </c>
      <c r="H29" s="228">
        <f t="shared" si="17"/>
        <v>0</v>
      </c>
      <c r="I29" s="228">
        <f t="shared" si="17"/>
        <v>0</v>
      </c>
      <c r="J29" s="228">
        <f t="shared" si="17"/>
        <v>0</v>
      </c>
      <c r="K29" s="228">
        <f t="shared" si="17"/>
        <v>0</v>
      </c>
      <c r="L29" s="228">
        <f t="shared" si="17"/>
        <v>0</v>
      </c>
      <c r="M29" s="228">
        <f t="shared" si="17"/>
        <v>0</v>
      </c>
      <c r="N29" s="228">
        <f t="shared" si="17"/>
        <v>0</v>
      </c>
      <c r="O29" s="220">
        <f>SUM(D29:N29)</f>
        <v>0</v>
      </c>
      <c r="P29" s="228">
        <f>+'[4]charges externes'!C30/12</f>
        <v>833.33333333333337</v>
      </c>
      <c r="Q29" s="228">
        <f t="shared" ref="Q29:AA29" si="34">+P29</f>
        <v>833.33333333333337</v>
      </c>
      <c r="R29" s="228">
        <f t="shared" si="34"/>
        <v>833.33333333333337</v>
      </c>
      <c r="S29" s="228">
        <f t="shared" si="34"/>
        <v>833.33333333333337</v>
      </c>
      <c r="T29" s="228">
        <f t="shared" si="34"/>
        <v>833.33333333333337</v>
      </c>
      <c r="U29" s="228">
        <f t="shared" si="34"/>
        <v>833.33333333333337</v>
      </c>
      <c r="V29" s="228">
        <f t="shared" si="34"/>
        <v>833.33333333333337</v>
      </c>
      <c r="W29" s="228">
        <f t="shared" si="34"/>
        <v>833.33333333333337</v>
      </c>
      <c r="X29" s="228">
        <f t="shared" si="34"/>
        <v>833.33333333333337</v>
      </c>
      <c r="Y29" s="228">
        <f t="shared" si="34"/>
        <v>833.33333333333337</v>
      </c>
      <c r="Z29" s="228">
        <f t="shared" si="34"/>
        <v>833.33333333333337</v>
      </c>
      <c r="AA29" s="228">
        <f t="shared" si="34"/>
        <v>833.33333333333337</v>
      </c>
      <c r="AB29" s="220">
        <f t="shared" si="11"/>
        <v>10000</v>
      </c>
      <c r="AC29" s="228">
        <f>+'[4]charges externes'!D30/12</f>
        <v>1250</v>
      </c>
      <c r="AD29" s="228">
        <f t="shared" ref="AD29:AN29" si="35">+AC29</f>
        <v>1250</v>
      </c>
      <c r="AE29" s="228">
        <f t="shared" si="35"/>
        <v>1250</v>
      </c>
      <c r="AF29" s="228">
        <f t="shared" si="35"/>
        <v>1250</v>
      </c>
      <c r="AG29" s="228">
        <f t="shared" si="35"/>
        <v>1250</v>
      </c>
      <c r="AH29" s="228">
        <f t="shared" si="35"/>
        <v>1250</v>
      </c>
      <c r="AI29" s="228">
        <f t="shared" si="35"/>
        <v>1250</v>
      </c>
      <c r="AJ29" s="228">
        <f t="shared" si="35"/>
        <v>1250</v>
      </c>
      <c r="AK29" s="228">
        <f t="shared" si="35"/>
        <v>1250</v>
      </c>
      <c r="AL29" s="228">
        <f t="shared" si="35"/>
        <v>1250</v>
      </c>
      <c r="AM29" s="228">
        <f t="shared" si="35"/>
        <v>1250</v>
      </c>
      <c r="AN29" s="228">
        <f t="shared" si="35"/>
        <v>1250</v>
      </c>
      <c r="AO29" s="220">
        <f t="shared" si="13"/>
        <v>15000</v>
      </c>
    </row>
    <row r="30" spans="1:41" x14ac:dyDescent="0.25">
      <c r="A30" s="271" t="s">
        <v>213</v>
      </c>
      <c r="B30" s="225"/>
      <c r="D30" s="228">
        <v>0</v>
      </c>
      <c r="E30" s="228">
        <f>+'[4]charges externes'!$B$31/10</f>
        <v>240</v>
      </c>
      <c r="F30" s="228">
        <f t="shared" si="23"/>
        <v>240</v>
      </c>
      <c r="G30" s="228">
        <f t="shared" si="17"/>
        <v>240</v>
      </c>
      <c r="H30" s="228">
        <f t="shared" si="17"/>
        <v>240</v>
      </c>
      <c r="I30" s="228">
        <f t="shared" si="17"/>
        <v>240</v>
      </c>
      <c r="J30" s="228">
        <f t="shared" si="17"/>
        <v>240</v>
      </c>
      <c r="K30" s="228">
        <f t="shared" si="17"/>
        <v>240</v>
      </c>
      <c r="L30" s="228">
        <f t="shared" si="17"/>
        <v>240</v>
      </c>
      <c r="M30" s="228">
        <f t="shared" si="17"/>
        <v>240</v>
      </c>
      <c r="N30" s="228">
        <f t="shared" si="17"/>
        <v>240</v>
      </c>
      <c r="O30" s="220">
        <f>SUM(D30:N30)</f>
        <v>2400</v>
      </c>
      <c r="P30" s="228">
        <f>+'[4]charges externes'!C31/12</f>
        <v>200</v>
      </c>
      <c r="Q30" s="228">
        <f t="shared" ref="Q30:AA30" si="36">+P30</f>
        <v>200</v>
      </c>
      <c r="R30" s="228">
        <f t="shared" si="36"/>
        <v>200</v>
      </c>
      <c r="S30" s="228">
        <f t="shared" si="36"/>
        <v>200</v>
      </c>
      <c r="T30" s="228">
        <f t="shared" si="36"/>
        <v>200</v>
      </c>
      <c r="U30" s="228">
        <f t="shared" si="36"/>
        <v>200</v>
      </c>
      <c r="V30" s="228">
        <f t="shared" si="36"/>
        <v>200</v>
      </c>
      <c r="W30" s="228">
        <f t="shared" si="36"/>
        <v>200</v>
      </c>
      <c r="X30" s="228">
        <f t="shared" si="36"/>
        <v>200</v>
      </c>
      <c r="Y30" s="228">
        <f t="shared" si="36"/>
        <v>200</v>
      </c>
      <c r="Z30" s="228">
        <f t="shared" si="36"/>
        <v>200</v>
      </c>
      <c r="AA30" s="228">
        <f t="shared" si="36"/>
        <v>200</v>
      </c>
      <c r="AB30" s="220">
        <f t="shared" si="11"/>
        <v>2400</v>
      </c>
      <c r="AC30" s="228">
        <f>+'[4]charges externes'!D31/12</f>
        <v>200</v>
      </c>
      <c r="AD30" s="228">
        <f t="shared" ref="AD30:AN30" si="37">+AC30</f>
        <v>200</v>
      </c>
      <c r="AE30" s="228">
        <f t="shared" si="37"/>
        <v>200</v>
      </c>
      <c r="AF30" s="228">
        <f t="shared" si="37"/>
        <v>200</v>
      </c>
      <c r="AG30" s="228">
        <f t="shared" si="37"/>
        <v>200</v>
      </c>
      <c r="AH30" s="228">
        <f t="shared" si="37"/>
        <v>200</v>
      </c>
      <c r="AI30" s="228">
        <f t="shared" si="37"/>
        <v>200</v>
      </c>
      <c r="AJ30" s="228">
        <f t="shared" si="37"/>
        <v>200</v>
      </c>
      <c r="AK30" s="228">
        <f t="shared" si="37"/>
        <v>200</v>
      </c>
      <c r="AL30" s="228">
        <f t="shared" si="37"/>
        <v>200</v>
      </c>
      <c r="AM30" s="228">
        <f t="shared" si="37"/>
        <v>200</v>
      </c>
      <c r="AN30" s="228">
        <f t="shared" si="37"/>
        <v>200</v>
      </c>
      <c r="AO30" s="220">
        <f t="shared" si="13"/>
        <v>2400</v>
      </c>
    </row>
    <row r="31" spans="1:41" x14ac:dyDescent="0.25">
      <c r="A31" s="233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4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4"/>
      <c r="AC31" s="225"/>
      <c r="AD31" s="225"/>
      <c r="AE31" s="225"/>
      <c r="AF31" s="225"/>
      <c r="AG31" s="225"/>
      <c r="AH31" s="225"/>
      <c r="AI31" s="225"/>
      <c r="AJ31" s="225"/>
      <c r="AK31" s="225"/>
      <c r="AL31" s="225"/>
      <c r="AM31" s="225"/>
      <c r="AN31" s="225"/>
      <c r="AO31" s="224"/>
    </row>
    <row r="32" spans="1:41" ht="15.75" thickBot="1" x14ac:dyDescent="0.3">
      <c r="A32" s="223"/>
      <c r="B32" s="246"/>
      <c r="C32" s="221">
        <f t="shared" ref="C32:N32" si="38">C15-C19</f>
        <v>-560</v>
      </c>
      <c r="D32" s="221">
        <f t="shared" si="38"/>
        <v>740</v>
      </c>
      <c r="E32" s="221">
        <f t="shared" si="38"/>
        <v>-3800</v>
      </c>
      <c r="F32" s="221">
        <f t="shared" si="38"/>
        <v>-4000</v>
      </c>
      <c r="G32" s="221">
        <f t="shared" si="38"/>
        <v>185026.72131086959</v>
      </c>
      <c r="H32" s="221">
        <f t="shared" si="38"/>
        <v>-17810.652173913044</v>
      </c>
      <c r="I32" s="221">
        <f t="shared" si="38"/>
        <v>-95668.713768115951</v>
      </c>
      <c r="J32" s="221">
        <f t="shared" si="38"/>
        <v>-90400.050724637695</v>
      </c>
      <c r="K32" s="221">
        <f t="shared" si="38"/>
        <v>-132791.35507246378</v>
      </c>
      <c r="L32" s="221">
        <f t="shared" si="38"/>
        <v>272328.96677536238</v>
      </c>
      <c r="M32" s="221">
        <f t="shared" si="38"/>
        <v>15737.218115942043</v>
      </c>
      <c r="N32" s="221">
        <f t="shared" si="38"/>
        <v>-126387.18115942032</v>
      </c>
      <c r="O32" s="245">
        <f>SUM(C32:N32)</f>
        <v>2414.9533036232315</v>
      </c>
      <c r="P32" s="221">
        <f t="shared" ref="P32:AA32" si="39">P15-P19</f>
        <v>76621.913359091675</v>
      </c>
      <c r="Q32" s="221">
        <f t="shared" si="39"/>
        <v>-110394.44646472631</v>
      </c>
      <c r="R32" s="221">
        <f t="shared" si="39"/>
        <v>161283.27504491279</v>
      </c>
      <c r="S32" s="221">
        <f t="shared" si="39"/>
        <v>217760.64853917906</v>
      </c>
      <c r="T32" s="221">
        <f t="shared" si="39"/>
        <v>16045.315878236928</v>
      </c>
      <c r="U32" s="221">
        <f t="shared" si="39"/>
        <v>69024.143035770321</v>
      </c>
      <c r="V32" s="221">
        <f t="shared" si="39"/>
        <v>2412.9809229603561</v>
      </c>
      <c r="W32" s="221">
        <f t="shared" si="39"/>
        <v>6056.6623509603669</v>
      </c>
      <c r="X32" s="221">
        <f t="shared" si="39"/>
        <v>1750.2348759889719</v>
      </c>
      <c r="Y32" s="221">
        <f t="shared" si="39"/>
        <v>-3500.6486990040139</v>
      </c>
      <c r="Z32" s="221">
        <f t="shared" si="39"/>
        <v>-18593.333333333332</v>
      </c>
      <c r="AA32" s="221">
        <f t="shared" si="39"/>
        <v>-18593.333333333332</v>
      </c>
      <c r="AB32" s="245">
        <f>SUM(P32:AA32)</f>
        <v>399873.41217670351</v>
      </c>
      <c r="AC32" s="221">
        <f t="shared" ref="AC32:AN32" si="40">AC15-AC19</f>
        <v>513339.44197120221</v>
      </c>
      <c r="AD32" s="221">
        <f t="shared" si="40"/>
        <v>55371.242117856542</v>
      </c>
      <c r="AE32" s="221">
        <f t="shared" si="40"/>
        <v>38398.929907999933</v>
      </c>
      <c r="AF32" s="221">
        <f t="shared" si="40"/>
        <v>177081.88815294369</v>
      </c>
      <c r="AG32" s="221">
        <f t="shared" si="40"/>
        <v>89311.913665199594</v>
      </c>
      <c r="AH32" s="221">
        <f t="shared" si="40"/>
        <v>143009.8401290786</v>
      </c>
      <c r="AI32" s="221">
        <f t="shared" si="40"/>
        <v>113745.2684860673</v>
      </c>
      <c r="AJ32" s="221">
        <f t="shared" si="40"/>
        <v>124400.55859411228</v>
      </c>
      <c r="AK32" s="221">
        <f t="shared" si="40"/>
        <v>86279.450741745764</v>
      </c>
      <c r="AL32" s="221">
        <f t="shared" si="40"/>
        <v>28756.961075346509</v>
      </c>
      <c r="AM32" s="221">
        <f t="shared" si="40"/>
        <v>-19538.073798765807</v>
      </c>
      <c r="AN32" s="221">
        <f t="shared" si="40"/>
        <v>-23529.823084000018</v>
      </c>
      <c r="AO32" s="245">
        <f>SUM(AC32:AN32)</f>
        <v>1326627.5979587866</v>
      </c>
    </row>
    <row r="33" spans="1:41" x14ac:dyDescent="0.25">
      <c r="A33" s="233"/>
      <c r="B33" s="225"/>
      <c r="C33" s="232" t="e">
        <f t="shared" ref="C33:N33" si="41">C32/C15</f>
        <v>#DIV/0!</v>
      </c>
      <c r="D33" s="232" t="e">
        <f t="shared" si="41"/>
        <v>#DIV/0!</v>
      </c>
      <c r="E33" s="232" t="e">
        <f t="shared" si="41"/>
        <v>#DIV/0!</v>
      </c>
      <c r="F33" s="232" t="e">
        <f t="shared" si="41"/>
        <v>#DIV/0!</v>
      </c>
      <c r="G33" s="232">
        <f t="shared" si="41"/>
        <v>0.97883897063726943</v>
      </c>
      <c r="H33" s="232" t="e">
        <f t="shared" si="41"/>
        <v>#DIV/0!</v>
      </c>
      <c r="I33" s="232">
        <f t="shared" si="41"/>
        <v>-1.8806792123795104</v>
      </c>
      <c r="J33" s="232" t="e">
        <f t="shared" si="41"/>
        <v>#DIV/0!</v>
      </c>
      <c r="K33" s="232" t="e">
        <f t="shared" si="41"/>
        <v>#DIV/0!</v>
      </c>
      <c r="L33" s="232">
        <f t="shared" si="41"/>
        <v>0.85573406604346347</v>
      </c>
      <c r="M33" s="232">
        <f t="shared" si="41"/>
        <v>0.14891641469569189</v>
      </c>
      <c r="N33" s="232" t="e">
        <f t="shared" si="41"/>
        <v>#DIV/0!</v>
      </c>
      <c r="O33" s="231" t="e">
        <f>AVERAGE(C33:N33)</f>
        <v>#DIV/0!</v>
      </c>
      <c r="P33" s="232">
        <f t="shared" ref="P33:AA33" si="42">P32/P15</f>
        <v>0.44663839559828006</v>
      </c>
      <c r="Q33" s="232">
        <f t="shared" si="42"/>
        <v>-17.971102264262225</v>
      </c>
      <c r="R33" s="232">
        <f t="shared" si="42"/>
        <v>0.40397394311949092</v>
      </c>
      <c r="S33" s="232">
        <f t="shared" si="42"/>
        <v>0.46913352858472562</v>
      </c>
      <c r="T33" s="232">
        <f t="shared" si="42"/>
        <v>5.8041072944794346E-2</v>
      </c>
      <c r="U33" s="232">
        <f t="shared" si="42"/>
        <v>0.36115674019569671</v>
      </c>
      <c r="V33" s="232">
        <f t="shared" si="42"/>
        <v>1.4393026952812051E-2</v>
      </c>
      <c r="W33" s="232">
        <f t="shared" si="42"/>
        <v>3.0786805225462677E-2</v>
      </c>
      <c r="X33" s="232">
        <f t="shared" si="42"/>
        <v>1.07799640543727E-2</v>
      </c>
      <c r="Y33" s="232">
        <f t="shared" si="42"/>
        <v>-2.906231068925132E-2</v>
      </c>
      <c r="Z33" s="232" t="e">
        <f t="shared" si="42"/>
        <v>#DIV/0!</v>
      </c>
      <c r="AA33" s="232" t="e">
        <f t="shared" si="42"/>
        <v>#DIV/0!</v>
      </c>
      <c r="AB33" s="231" t="e">
        <f>AVERAGE(P33:AA33)</f>
        <v>#DIV/0!</v>
      </c>
      <c r="AC33" s="232">
        <f t="shared" ref="AC33:AN33" si="43">AC32/AC15</f>
        <v>0.93034535887015746</v>
      </c>
      <c r="AD33" s="232">
        <f t="shared" si="43"/>
        <v>0.1808621715662716</v>
      </c>
      <c r="AE33" s="232">
        <f t="shared" si="43"/>
        <v>8.6710082175524394E-2</v>
      </c>
      <c r="AF33" s="232">
        <f t="shared" si="43"/>
        <v>0.20184840977810756</v>
      </c>
      <c r="AG33" s="232">
        <f t="shared" si="43"/>
        <v>0.14568867187666371</v>
      </c>
      <c r="AH33" s="232">
        <f t="shared" si="43"/>
        <v>0.24406418392017115</v>
      </c>
      <c r="AI33" s="232">
        <f t="shared" si="43"/>
        <v>0.17822196801365567</v>
      </c>
      <c r="AJ33" s="232">
        <f t="shared" si="43"/>
        <v>0.16922746076437306</v>
      </c>
      <c r="AK33" s="232">
        <f t="shared" si="43"/>
        <v>0.16768027013301187</v>
      </c>
      <c r="AL33" s="232">
        <f t="shared" si="43"/>
        <v>8.7485958842317441E-2</v>
      </c>
      <c r="AM33" s="232">
        <f t="shared" si="43"/>
        <v>-0.10111165177067194</v>
      </c>
      <c r="AN33" s="232">
        <f t="shared" si="43"/>
        <v>-0.29077931996826095</v>
      </c>
      <c r="AO33" s="231">
        <f>AVERAGE(AC33:AN33)</f>
        <v>0.16668696368344341</v>
      </c>
    </row>
    <row r="34" spans="1:41" x14ac:dyDescent="0.25">
      <c r="A34" s="233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4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4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4"/>
    </row>
    <row r="35" spans="1:41" ht="15.75" thickBot="1" x14ac:dyDescent="0.3">
      <c r="A35" s="223" t="s">
        <v>212</v>
      </c>
      <c r="B35" s="222"/>
      <c r="C35" s="221">
        <f t="shared" ref="C35:N35" si="44">SUM(C36:C43)</f>
        <v>3915</v>
      </c>
      <c r="D35" s="221">
        <f t="shared" si="44"/>
        <v>3915</v>
      </c>
      <c r="E35" s="221">
        <f t="shared" si="44"/>
        <v>3915</v>
      </c>
      <c r="F35" s="221">
        <f t="shared" si="44"/>
        <v>9107.1621621621616</v>
      </c>
      <c r="G35" s="221">
        <f t="shared" si="44"/>
        <v>9107.1621621621616</v>
      </c>
      <c r="H35" s="221">
        <f t="shared" si="44"/>
        <v>9267.1621621621616</v>
      </c>
      <c r="I35" s="221">
        <f t="shared" si="44"/>
        <v>9107.1621621621616</v>
      </c>
      <c r="J35" s="221">
        <f t="shared" si="44"/>
        <v>9107.1621621621616</v>
      </c>
      <c r="K35" s="221">
        <f t="shared" si="44"/>
        <v>9107.1621621621616</v>
      </c>
      <c r="L35" s="221">
        <f t="shared" si="44"/>
        <v>8577.1621621621616</v>
      </c>
      <c r="M35" s="221">
        <f t="shared" si="44"/>
        <v>8577.1621621621616</v>
      </c>
      <c r="N35" s="221">
        <f t="shared" si="44"/>
        <v>8577.1621621621616</v>
      </c>
      <c r="O35" s="220">
        <f t="shared" ref="O35:O43" si="45">SUM(C35:N35)</f>
        <v>92279.459459459438</v>
      </c>
      <c r="P35" s="221">
        <f t="shared" ref="P35:AA35" si="46">SUM(P36:P43)</f>
        <v>7417.1301621621624</v>
      </c>
      <c r="Q35" s="221">
        <f t="shared" si="46"/>
        <v>7417.1301621621624</v>
      </c>
      <c r="R35" s="221">
        <f t="shared" si="46"/>
        <v>7417.1301621621624</v>
      </c>
      <c r="S35" s="221">
        <f t="shared" si="46"/>
        <v>7947.1301621621624</v>
      </c>
      <c r="T35" s="221">
        <f t="shared" si="46"/>
        <v>7947.1301621621624</v>
      </c>
      <c r="U35" s="221">
        <f t="shared" si="46"/>
        <v>8107.1301621621624</v>
      </c>
      <c r="V35" s="221">
        <f t="shared" si="46"/>
        <v>7947.1301621621624</v>
      </c>
      <c r="W35" s="221">
        <f t="shared" si="46"/>
        <v>7947.1301621621624</v>
      </c>
      <c r="X35" s="221">
        <f t="shared" si="46"/>
        <v>7947.1301621621624</v>
      </c>
      <c r="Y35" s="221">
        <f t="shared" si="46"/>
        <v>7417.1301621621624</v>
      </c>
      <c r="Z35" s="221">
        <f t="shared" si="46"/>
        <v>7417.1301621621624</v>
      </c>
      <c r="AA35" s="221">
        <f t="shared" si="46"/>
        <v>7417.1301621621624</v>
      </c>
      <c r="AB35" s="220">
        <f t="shared" ref="AB35:AB43" si="47">SUM(P35:AA35)</f>
        <v>92345.561945945956</v>
      </c>
      <c r="AC35" s="221">
        <f t="shared" ref="AC35:AN35" si="48">SUM(AC36:AC43)</f>
        <v>8262.8463783783791</v>
      </c>
      <c r="AD35" s="221">
        <f t="shared" si="48"/>
        <v>8262.8463783783791</v>
      </c>
      <c r="AE35" s="221">
        <f t="shared" si="48"/>
        <v>8262.8463783783791</v>
      </c>
      <c r="AF35" s="221">
        <f t="shared" si="48"/>
        <v>8792.8463783783791</v>
      </c>
      <c r="AG35" s="221">
        <f t="shared" si="48"/>
        <v>8792.8463783783791</v>
      </c>
      <c r="AH35" s="221">
        <f t="shared" si="48"/>
        <v>8952.8463783783791</v>
      </c>
      <c r="AI35" s="221">
        <f t="shared" si="48"/>
        <v>8792.8463783783791</v>
      </c>
      <c r="AJ35" s="221">
        <f t="shared" si="48"/>
        <v>8792.8463783783791</v>
      </c>
      <c r="AK35" s="221">
        <f t="shared" si="48"/>
        <v>8792.8463783783791</v>
      </c>
      <c r="AL35" s="221">
        <f t="shared" si="48"/>
        <v>8262.8463783783791</v>
      </c>
      <c r="AM35" s="221">
        <f t="shared" si="48"/>
        <v>8262.8463783783791</v>
      </c>
      <c r="AN35" s="221">
        <f t="shared" si="48"/>
        <v>8262.8463783783791</v>
      </c>
      <c r="AO35" s="220">
        <f t="shared" ref="AO35:AO43" si="49">SUM(AC35:AN35)</f>
        <v>102494.15654054056</v>
      </c>
    </row>
    <row r="36" spans="1:41" x14ac:dyDescent="0.25">
      <c r="A36" s="326" t="s">
        <v>211</v>
      </c>
      <c r="B36" s="228"/>
      <c r="C36" s="228">
        <f>+[4]salaires!$C$9/12</f>
        <v>2035</v>
      </c>
      <c r="D36" s="228">
        <f>+C36</f>
        <v>2035</v>
      </c>
      <c r="E36" s="228">
        <f>+D36</f>
        <v>2035</v>
      </c>
      <c r="F36" s="228">
        <f>+[4]salaires!$C$7/9+[4]salaires!$C$9/12+[4]salaires!$C$10/6</f>
        <v>5065</v>
      </c>
      <c r="G36" s="228">
        <f>+F36</f>
        <v>5065</v>
      </c>
      <c r="H36" s="228">
        <f>+G36</f>
        <v>5065</v>
      </c>
      <c r="I36" s="228">
        <f>+H36</f>
        <v>5065</v>
      </c>
      <c r="J36" s="228">
        <f>+I36</f>
        <v>5065</v>
      </c>
      <c r="K36" s="228">
        <f>+J36</f>
        <v>5065</v>
      </c>
      <c r="L36" s="228">
        <f>+[4]salaires!$C$7/9+[4]salaires!$C$9/12</f>
        <v>4535</v>
      </c>
      <c r="M36" s="228">
        <f>+L36</f>
        <v>4535</v>
      </c>
      <c r="N36" s="228">
        <f>+M36</f>
        <v>4535</v>
      </c>
      <c r="O36" s="220">
        <f t="shared" si="45"/>
        <v>50100</v>
      </c>
      <c r="P36" s="228">
        <f>+[4]salaires!$D$7/12+[4]salaires!$D$9/12</f>
        <v>4535</v>
      </c>
      <c r="Q36" s="228">
        <f>+P36</f>
        <v>4535</v>
      </c>
      <c r="R36" s="228">
        <f>+Q36</f>
        <v>4535</v>
      </c>
      <c r="S36" s="228">
        <f>+[4]salaires!$D$7/12+[4]salaires!$D$9/12+[4]salaires!$D$10/6</f>
        <v>5065</v>
      </c>
      <c r="T36" s="228">
        <f>+S36</f>
        <v>5065</v>
      </c>
      <c r="U36" s="228">
        <f>+T36</f>
        <v>5065</v>
      </c>
      <c r="V36" s="228">
        <f>+U36</f>
        <v>5065</v>
      </c>
      <c r="W36" s="228">
        <f>+V36</f>
        <v>5065</v>
      </c>
      <c r="X36" s="228">
        <f>+W36</f>
        <v>5065</v>
      </c>
      <c r="Y36" s="228">
        <f>+[4]salaires!$D$7/12+[4]salaires!$D$9/12</f>
        <v>4535</v>
      </c>
      <c r="Z36" s="228">
        <f>+Y36</f>
        <v>4535</v>
      </c>
      <c r="AA36" s="228">
        <f>+Z36</f>
        <v>4535</v>
      </c>
      <c r="AB36" s="220">
        <f t="shared" si="47"/>
        <v>57600</v>
      </c>
      <c r="AC36" s="228">
        <f>+[4]salaires!$E$7/12+[4]salaires!$E$9/12</f>
        <v>4988.5</v>
      </c>
      <c r="AD36" s="228">
        <f>+[4]salaires!$E$7/12+[4]salaires!$E$9/12</f>
        <v>4988.5</v>
      </c>
      <c r="AE36" s="228">
        <f>+[4]salaires!$E$7/12+[4]salaires!$E$9/12</f>
        <v>4988.5</v>
      </c>
      <c r="AF36" s="228">
        <f>+[4]salaires!$E$7/12+[4]salaires!$E$9/12+[4]salaires!$E$10/6</f>
        <v>5518.5</v>
      </c>
      <c r="AG36" s="228">
        <f>+[4]salaires!$E$7/12+[4]salaires!$E$9/12+[4]salaires!$E$10/6</f>
        <v>5518.5</v>
      </c>
      <c r="AH36" s="228">
        <f>+[4]salaires!$E$7/12+[4]salaires!$E$9/12+[4]salaires!$E$10/6</f>
        <v>5518.5</v>
      </c>
      <c r="AI36" s="228">
        <f>+[4]salaires!$E$7/12+[4]salaires!$E$9/12+[4]salaires!$E$10/6</f>
        <v>5518.5</v>
      </c>
      <c r="AJ36" s="228">
        <f>+[4]salaires!$E$7/12+[4]salaires!$E$9/12+[4]salaires!$E$10/6</f>
        <v>5518.5</v>
      </c>
      <c r="AK36" s="228">
        <f>+[4]salaires!$E$7/12+[4]salaires!$E$9/12+[4]salaires!$E$10/6</f>
        <v>5518.5</v>
      </c>
      <c r="AL36" s="228">
        <f>+[4]salaires!$E$7/12+[4]salaires!$E$9/12</f>
        <v>4988.5</v>
      </c>
      <c r="AM36" s="228">
        <f>+[4]salaires!$E$7/12+[4]salaires!$E$9/12</f>
        <v>4988.5</v>
      </c>
      <c r="AN36" s="228">
        <f>+[4]salaires!$E$7/12+[4]salaires!$E$9/12</f>
        <v>4988.5</v>
      </c>
      <c r="AO36" s="220">
        <f t="shared" si="49"/>
        <v>63042</v>
      </c>
    </row>
    <row r="37" spans="1:41" x14ac:dyDescent="0.25">
      <c r="A37" s="326" t="s">
        <v>76</v>
      </c>
      <c r="B37" s="225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0">
        <f t="shared" si="45"/>
        <v>0</v>
      </c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35">
        <f t="shared" si="47"/>
        <v>0</v>
      </c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35">
        <f t="shared" si="49"/>
        <v>0</v>
      </c>
    </row>
    <row r="38" spans="1:41" x14ac:dyDescent="0.25">
      <c r="A38" s="326" t="s">
        <v>77</v>
      </c>
      <c r="B38" s="225"/>
      <c r="C38" s="228"/>
      <c r="D38" s="228"/>
      <c r="E38" s="228"/>
      <c r="F38" s="228"/>
      <c r="G38" s="228">
        <v>0</v>
      </c>
      <c r="H38" s="244">
        <v>0</v>
      </c>
      <c r="I38" s="228"/>
      <c r="J38" s="228"/>
      <c r="K38" s="228"/>
      <c r="L38" s="228"/>
      <c r="M38" s="228"/>
      <c r="N38" s="228"/>
      <c r="O38" s="220">
        <f t="shared" si="45"/>
        <v>0</v>
      </c>
      <c r="P38" s="228"/>
      <c r="Q38" s="228"/>
      <c r="R38" s="228"/>
      <c r="S38" s="228"/>
      <c r="T38" s="228">
        <v>0</v>
      </c>
      <c r="U38" s="228">
        <v>0</v>
      </c>
      <c r="V38" s="228"/>
      <c r="W38" s="228"/>
      <c r="X38" s="228"/>
      <c r="Y38" s="228"/>
      <c r="Z38" s="228"/>
      <c r="AA38" s="228"/>
      <c r="AB38" s="220">
        <f t="shared" si="47"/>
        <v>0</v>
      </c>
      <c r="AC38" s="225"/>
      <c r="AD38" s="225">
        <v>0</v>
      </c>
      <c r="AE38" s="225"/>
      <c r="AF38" s="225"/>
      <c r="AG38" s="225"/>
      <c r="AH38" s="225"/>
      <c r="AI38" s="225"/>
      <c r="AJ38" s="225"/>
      <c r="AK38" s="225"/>
      <c r="AL38" s="225">
        <v>0</v>
      </c>
      <c r="AM38" s="225"/>
      <c r="AN38" s="225"/>
      <c r="AO38" s="235">
        <f t="shared" si="49"/>
        <v>0</v>
      </c>
    </row>
    <row r="39" spans="1:41" x14ac:dyDescent="0.25">
      <c r="A39" s="326" t="s">
        <v>78</v>
      </c>
      <c r="B39" s="225"/>
      <c r="C39" s="228">
        <f>+[4]salaires!$C$16/12</f>
        <v>1760</v>
      </c>
      <c r="D39" s="228">
        <f>+C39</f>
        <v>1760</v>
      </c>
      <c r="E39" s="228">
        <f>+D39</f>
        <v>1760</v>
      </c>
      <c r="F39" s="228">
        <f>+[4]salaires!$C$14/9+[4]salaires!$C$16/12</f>
        <v>3922.1621621621621</v>
      </c>
      <c r="G39" s="228">
        <f t="shared" ref="G39:N39" si="50">+F39</f>
        <v>3922.1621621621621</v>
      </c>
      <c r="H39" s="228">
        <f t="shared" si="50"/>
        <v>3922.1621621621621</v>
      </c>
      <c r="I39" s="228">
        <f t="shared" si="50"/>
        <v>3922.1621621621621</v>
      </c>
      <c r="J39" s="228">
        <f t="shared" si="50"/>
        <v>3922.1621621621621</v>
      </c>
      <c r="K39" s="228">
        <f t="shared" si="50"/>
        <v>3922.1621621621621</v>
      </c>
      <c r="L39" s="228">
        <f t="shared" si="50"/>
        <v>3922.1621621621621</v>
      </c>
      <c r="M39" s="228">
        <f t="shared" si="50"/>
        <v>3922.1621621621621</v>
      </c>
      <c r="N39" s="228">
        <f t="shared" si="50"/>
        <v>3922.1621621621621</v>
      </c>
      <c r="O39" s="220">
        <f t="shared" si="45"/>
        <v>40579.45945945946</v>
      </c>
      <c r="P39" s="228">
        <f>+[4]salaires!$D$14/12+[4]salaires!$D$16/12</f>
        <v>2882.1301621621619</v>
      </c>
      <c r="Q39" s="228">
        <f t="shared" ref="Q39:AA39" si="51">+P39</f>
        <v>2882.1301621621619</v>
      </c>
      <c r="R39" s="228">
        <f t="shared" si="51"/>
        <v>2882.1301621621619</v>
      </c>
      <c r="S39" s="228">
        <f t="shared" si="51"/>
        <v>2882.1301621621619</v>
      </c>
      <c r="T39" s="228">
        <f t="shared" si="51"/>
        <v>2882.1301621621619</v>
      </c>
      <c r="U39" s="228">
        <f t="shared" si="51"/>
        <v>2882.1301621621619</v>
      </c>
      <c r="V39" s="228">
        <f t="shared" si="51"/>
        <v>2882.1301621621619</v>
      </c>
      <c r="W39" s="228">
        <f t="shared" si="51"/>
        <v>2882.1301621621619</v>
      </c>
      <c r="X39" s="228">
        <f t="shared" si="51"/>
        <v>2882.1301621621619</v>
      </c>
      <c r="Y39" s="228">
        <f t="shared" si="51"/>
        <v>2882.1301621621619</v>
      </c>
      <c r="Z39" s="228">
        <f t="shared" si="51"/>
        <v>2882.1301621621619</v>
      </c>
      <c r="AA39" s="228">
        <f t="shared" si="51"/>
        <v>2882.1301621621619</v>
      </c>
      <c r="AB39" s="220">
        <f t="shared" si="47"/>
        <v>34585.561945945934</v>
      </c>
      <c r="AC39" s="228">
        <f>+[4]salaires!$E$14/12+[4]salaires!$E$16/12</f>
        <v>3274.3463783783791</v>
      </c>
      <c r="AD39" s="228">
        <f t="shared" ref="AD39:AN39" si="52">+AC39</f>
        <v>3274.3463783783791</v>
      </c>
      <c r="AE39" s="228">
        <f t="shared" si="52"/>
        <v>3274.3463783783791</v>
      </c>
      <c r="AF39" s="228">
        <f t="shared" si="52"/>
        <v>3274.3463783783791</v>
      </c>
      <c r="AG39" s="228">
        <f t="shared" si="52"/>
        <v>3274.3463783783791</v>
      </c>
      <c r="AH39" s="228">
        <f t="shared" si="52"/>
        <v>3274.3463783783791</v>
      </c>
      <c r="AI39" s="228">
        <f t="shared" si="52"/>
        <v>3274.3463783783791</v>
      </c>
      <c r="AJ39" s="228">
        <f t="shared" si="52"/>
        <v>3274.3463783783791</v>
      </c>
      <c r="AK39" s="228">
        <f t="shared" si="52"/>
        <v>3274.3463783783791</v>
      </c>
      <c r="AL39" s="228">
        <f t="shared" si="52"/>
        <v>3274.3463783783791</v>
      </c>
      <c r="AM39" s="228">
        <f t="shared" si="52"/>
        <v>3274.3463783783791</v>
      </c>
      <c r="AN39" s="228">
        <f t="shared" si="52"/>
        <v>3274.3463783783791</v>
      </c>
      <c r="AO39" s="220">
        <f t="shared" si="49"/>
        <v>39292.156540540556</v>
      </c>
    </row>
    <row r="40" spans="1:41" x14ac:dyDescent="0.25">
      <c r="A40" s="326" t="s">
        <v>79</v>
      </c>
      <c r="B40" s="225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35">
        <f t="shared" si="45"/>
        <v>0</v>
      </c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35">
        <f t="shared" si="47"/>
        <v>0</v>
      </c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35">
        <f t="shared" si="49"/>
        <v>0</v>
      </c>
    </row>
    <row r="41" spans="1:41" x14ac:dyDescent="0.25">
      <c r="A41" s="326" t="s">
        <v>80</v>
      </c>
      <c r="B41" s="225"/>
      <c r="C41" s="228">
        <v>120</v>
      </c>
      <c r="D41" s="228">
        <f t="shared" ref="D41:N41" si="53">+C41</f>
        <v>120</v>
      </c>
      <c r="E41" s="228">
        <f t="shared" si="53"/>
        <v>120</v>
      </c>
      <c r="F41" s="228">
        <f t="shared" si="53"/>
        <v>120</v>
      </c>
      <c r="G41" s="228">
        <f t="shared" si="53"/>
        <v>120</v>
      </c>
      <c r="H41" s="228">
        <f t="shared" si="53"/>
        <v>120</v>
      </c>
      <c r="I41" s="228">
        <f t="shared" si="53"/>
        <v>120</v>
      </c>
      <c r="J41" s="228">
        <f t="shared" si="53"/>
        <v>120</v>
      </c>
      <c r="K41" s="228">
        <f t="shared" si="53"/>
        <v>120</v>
      </c>
      <c r="L41" s="228">
        <f t="shared" si="53"/>
        <v>120</v>
      </c>
      <c r="M41" s="228">
        <f t="shared" si="53"/>
        <v>120</v>
      </c>
      <c r="N41" s="228">
        <f t="shared" si="53"/>
        <v>120</v>
      </c>
      <c r="O41" s="235">
        <f t="shared" si="45"/>
        <v>1440</v>
      </c>
      <c r="P41" s="228">
        <v>0</v>
      </c>
      <c r="Q41" s="228">
        <v>0</v>
      </c>
      <c r="R41" s="228">
        <v>0</v>
      </c>
      <c r="S41" s="228">
        <v>0</v>
      </c>
      <c r="T41" s="228">
        <v>0</v>
      </c>
      <c r="U41" s="228">
        <v>0</v>
      </c>
      <c r="V41" s="228">
        <v>0</v>
      </c>
      <c r="W41" s="228">
        <v>0</v>
      </c>
      <c r="X41" s="228">
        <v>0</v>
      </c>
      <c r="Y41" s="228">
        <v>0</v>
      </c>
      <c r="Z41" s="228">
        <v>0</v>
      </c>
      <c r="AA41" s="228">
        <v>0</v>
      </c>
      <c r="AB41" s="235">
        <f t="shared" si="47"/>
        <v>0</v>
      </c>
      <c r="AC41" s="228">
        <v>0</v>
      </c>
      <c r="AD41" s="228">
        <v>0</v>
      </c>
      <c r="AE41" s="228">
        <v>0</v>
      </c>
      <c r="AF41" s="228">
        <v>0</v>
      </c>
      <c r="AG41" s="228">
        <v>0</v>
      </c>
      <c r="AH41" s="228">
        <v>0</v>
      </c>
      <c r="AI41" s="228">
        <v>0</v>
      </c>
      <c r="AJ41" s="228">
        <v>0</v>
      </c>
      <c r="AK41" s="228">
        <v>0</v>
      </c>
      <c r="AL41" s="228">
        <v>0</v>
      </c>
      <c r="AM41" s="228">
        <v>0</v>
      </c>
      <c r="AN41" s="228">
        <v>0</v>
      </c>
      <c r="AO41" s="235">
        <f t="shared" si="49"/>
        <v>0</v>
      </c>
    </row>
    <row r="42" spans="1:41" x14ac:dyDescent="0.25">
      <c r="A42" s="326" t="s">
        <v>81</v>
      </c>
      <c r="B42" s="225"/>
      <c r="C42" s="228">
        <v>0</v>
      </c>
      <c r="D42" s="228">
        <v>0</v>
      </c>
      <c r="E42" s="228">
        <v>0</v>
      </c>
      <c r="F42" s="228">
        <v>0</v>
      </c>
      <c r="G42" s="228">
        <v>0</v>
      </c>
      <c r="H42" s="228">
        <v>0</v>
      </c>
      <c r="I42" s="228">
        <v>0</v>
      </c>
      <c r="J42" s="228">
        <v>0</v>
      </c>
      <c r="K42" s="228">
        <v>0</v>
      </c>
      <c r="L42" s="228">
        <v>0</v>
      </c>
      <c r="M42" s="228">
        <v>0</v>
      </c>
      <c r="N42" s="228">
        <v>0</v>
      </c>
      <c r="O42" s="235">
        <f t="shared" si="45"/>
        <v>0</v>
      </c>
      <c r="P42" s="228">
        <v>0</v>
      </c>
      <c r="Q42" s="228">
        <v>0</v>
      </c>
      <c r="R42" s="228">
        <v>0</v>
      </c>
      <c r="S42" s="228">
        <v>0</v>
      </c>
      <c r="T42" s="228">
        <v>0</v>
      </c>
      <c r="U42" s="228">
        <v>0</v>
      </c>
      <c r="V42" s="228">
        <v>0</v>
      </c>
      <c r="W42" s="228">
        <v>0</v>
      </c>
      <c r="X42" s="228">
        <v>0</v>
      </c>
      <c r="Y42" s="228">
        <v>0</v>
      </c>
      <c r="Z42" s="228">
        <v>0</v>
      </c>
      <c r="AA42" s="228">
        <v>0</v>
      </c>
      <c r="AB42" s="235">
        <f t="shared" si="47"/>
        <v>0</v>
      </c>
      <c r="AC42" s="228">
        <v>0</v>
      </c>
      <c r="AD42" s="228">
        <v>0</v>
      </c>
      <c r="AE42" s="228">
        <v>0</v>
      </c>
      <c r="AF42" s="228">
        <v>0</v>
      </c>
      <c r="AG42" s="228">
        <v>0</v>
      </c>
      <c r="AH42" s="228">
        <v>0</v>
      </c>
      <c r="AI42" s="228">
        <v>0</v>
      </c>
      <c r="AJ42" s="228">
        <v>0</v>
      </c>
      <c r="AK42" s="228">
        <v>0</v>
      </c>
      <c r="AL42" s="228">
        <v>0</v>
      </c>
      <c r="AM42" s="228">
        <v>0</v>
      </c>
      <c r="AN42" s="228">
        <v>0</v>
      </c>
      <c r="AO42" s="235">
        <f t="shared" si="49"/>
        <v>0</v>
      </c>
    </row>
    <row r="43" spans="1:41" x14ac:dyDescent="0.25">
      <c r="A43" s="326" t="s">
        <v>82</v>
      </c>
      <c r="B43" s="225"/>
      <c r="C43" s="228">
        <v>0</v>
      </c>
      <c r="D43" s="228">
        <v>0</v>
      </c>
      <c r="E43" s="228">
        <v>0</v>
      </c>
      <c r="F43" s="228">
        <v>0</v>
      </c>
      <c r="G43" s="228">
        <v>0</v>
      </c>
      <c r="H43" s="228">
        <f>+[4]salaires!$C$19</f>
        <v>160</v>
      </c>
      <c r="I43" s="228">
        <v>0</v>
      </c>
      <c r="J43" s="228">
        <v>0</v>
      </c>
      <c r="K43" s="228">
        <v>0</v>
      </c>
      <c r="L43" s="228">
        <v>0</v>
      </c>
      <c r="M43" s="228">
        <v>0</v>
      </c>
      <c r="N43" s="228">
        <v>0</v>
      </c>
      <c r="O43" s="235">
        <f t="shared" si="45"/>
        <v>160</v>
      </c>
      <c r="P43" s="228">
        <v>0</v>
      </c>
      <c r="Q43" s="228">
        <v>0</v>
      </c>
      <c r="R43" s="228">
        <v>0</v>
      </c>
      <c r="S43" s="228">
        <v>0</v>
      </c>
      <c r="T43" s="228">
        <v>0</v>
      </c>
      <c r="U43" s="228">
        <f>+[4]salaires!$D$19</f>
        <v>160</v>
      </c>
      <c r="V43" s="228">
        <v>0</v>
      </c>
      <c r="W43" s="228">
        <v>0</v>
      </c>
      <c r="X43" s="228">
        <v>0</v>
      </c>
      <c r="Y43" s="228">
        <v>0</v>
      </c>
      <c r="Z43" s="228">
        <v>0</v>
      </c>
      <c r="AA43" s="228">
        <v>0</v>
      </c>
      <c r="AB43" s="235">
        <f t="shared" si="47"/>
        <v>160</v>
      </c>
      <c r="AC43" s="228">
        <v>0</v>
      </c>
      <c r="AD43" s="228">
        <v>0</v>
      </c>
      <c r="AE43" s="228">
        <v>0</v>
      </c>
      <c r="AF43" s="228">
        <v>0</v>
      </c>
      <c r="AG43" s="228">
        <v>0</v>
      </c>
      <c r="AH43" s="228">
        <f>+[4]salaires!$E$19</f>
        <v>160</v>
      </c>
      <c r="AI43" s="228">
        <v>0</v>
      </c>
      <c r="AJ43" s="228">
        <v>0</v>
      </c>
      <c r="AK43" s="228">
        <v>0</v>
      </c>
      <c r="AL43" s="228">
        <v>0</v>
      </c>
      <c r="AM43" s="228">
        <v>0</v>
      </c>
      <c r="AN43" s="228">
        <v>0</v>
      </c>
      <c r="AO43" s="235">
        <f t="shared" si="49"/>
        <v>160</v>
      </c>
    </row>
    <row r="44" spans="1:41" x14ac:dyDescent="0.25">
      <c r="A44" s="233" t="s">
        <v>210</v>
      </c>
      <c r="B44" s="225"/>
      <c r="C44" s="232" t="e">
        <f t="shared" ref="C44:N44" si="54">C35/C15</f>
        <v>#DIV/0!</v>
      </c>
      <c r="D44" s="232" t="e">
        <f t="shared" si="54"/>
        <v>#DIV/0!</v>
      </c>
      <c r="E44" s="232" t="e">
        <f t="shared" si="54"/>
        <v>#DIV/0!</v>
      </c>
      <c r="F44" s="232" t="e">
        <f t="shared" si="54"/>
        <v>#DIV/0!</v>
      </c>
      <c r="G44" s="232">
        <f t="shared" si="54"/>
        <v>4.8179231481165583E-2</v>
      </c>
      <c r="H44" s="232" t="e">
        <f t="shared" si="54"/>
        <v>#DIV/0!</v>
      </c>
      <c r="I44" s="232">
        <f t="shared" si="54"/>
        <v>0.17903084391478294</v>
      </c>
      <c r="J44" s="232" t="e">
        <f t="shared" si="54"/>
        <v>#DIV/0!</v>
      </c>
      <c r="K44" s="232" t="e">
        <f t="shared" si="54"/>
        <v>#DIV/0!</v>
      </c>
      <c r="L44" s="232">
        <f t="shared" si="54"/>
        <v>2.6951851428260183E-2</v>
      </c>
      <c r="M44" s="232">
        <f t="shared" si="54"/>
        <v>8.1163025640397859E-2</v>
      </c>
      <c r="N44" s="232" t="e">
        <f t="shared" si="54"/>
        <v>#DIV/0!</v>
      </c>
      <c r="O44" s="231" t="e">
        <f>AVERAGE(C44:N44)</f>
        <v>#DIV/0!</v>
      </c>
      <c r="P44" s="232">
        <f t="shared" ref="P44:AA44" si="55">P35/P15</f>
        <v>4.3235348353235004E-2</v>
      </c>
      <c r="Q44" s="232">
        <f t="shared" si="55"/>
        <v>1.2074339690099423</v>
      </c>
      <c r="R44" s="232">
        <f t="shared" si="55"/>
        <v>1.8578041135416962E-2</v>
      </c>
      <c r="S44" s="232">
        <f t="shared" si="55"/>
        <v>1.7120931812555914E-2</v>
      </c>
      <c r="T44" s="232">
        <f t="shared" si="55"/>
        <v>2.8747328188749439E-2</v>
      </c>
      <c r="U44" s="232">
        <f t="shared" si="55"/>
        <v>4.2419138767015918E-2</v>
      </c>
      <c r="V44" s="232">
        <f t="shared" si="55"/>
        <v>4.7403300014976897E-2</v>
      </c>
      <c r="W44" s="232">
        <f t="shared" si="55"/>
        <v>4.0396299847405365E-2</v>
      </c>
      <c r="X44" s="232">
        <f t="shared" si="55"/>
        <v>4.8947589068650807E-2</v>
      </c>
      <c r="Y44" s="232">
        <f t="shared" si="55"/>
        <v>6.1576856100043258E-2</v>
      </c>
      <c r="Z44" s="232" t="e">
        <f t="shared" si="55"/>
        <v>#DIV/0!</v>
      </c>
      <c r="AA44" s="232" t="e">
        <f t="shared" si="55"/>
        <v>#DIV/0!</v>
      </c>
      <c r="AB44" s="231" t="e">
        <f>AVERAGE(P44:AA44)</f>
        <v>#DIV/0!</v>
      </c>
      <c r="AC44" s="232">
        <f t="shared" ref="AC44:AN44" si="56">AC35/AC15</f>
        <v>1.4975083055497346E-2</v>
      </c>
      <c r="AD44" s="232">
        <f t="shared" si="56"/>
        <v>2.6989395255593861E-2</v>
      </c>
      <c r="AE44" s="232">
        <f t="shared" si="56"/>
        <v>1.8658647264117E-2</v>
      </c>
      <c r="AF44" s="232">
        <f t="shared" si="56"/>
        <v>1.0022606362577147E-2</v>
      </c>
      <c r="AG44" s="232">
        <f t="shared" si="56"/>
        <v>1.4343194074685105E-2</v>
      </c>
      <c r="AH44" s="232">
        <f t="shared" si="56"/>
        <v>1.5279152421465315E-2</v>
      </c>
      <c r="AI44" s="232">
        <f t="shared" si="56"/>
        <v>1.377708635140539E-2</v>
      </c>
      <c r="AJ44" s="232">
        <f t="shared" si="56"/>
        <v>1.1961289260437546E-2</v>
      </c>
      <c r="AK44" s="232">
        <f t="shared" si="56"/>
        <v>1.708850535427886E-2</v>
      </c>
      <c r="AL44" s="232">
        <f t="shared" si="56"/>
        <v>2.5137671407113111E-2</v>
      </c>
      <c r="AM44" s="232">
        <f t="shared" si="56"/>
        <v>4.2761126518926752E-2</v>
      </c>
      <c r="AN44" s="232">
        <f t="shared" si="56"/>
        <v>0.10211147114577561</v>
      </c>
      <c r="AO44" s="231">
        <f>AVERAGE(AC44:AN44)</f>
        <v>2.6092102372656089E-2</v>
      </c>
    </row>
    <row r="45" spans="1:41" x14ac:dyDescent="0.25">
      <c r="A45" s="233"/>
      <c r="B45" s="225"/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1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1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31"/>
    </row>
    <row r="46" spans="1:41" ht="15.75" thickBot="1" x14ac:dyDescent="0.3">
      <c r="A46" s="234" t="s">
        <v>209</v>
      </c>
      <c r="B46" s="222"/>
      <c r="C46" s="243">
        <f t="shared" ref="C46:N46" si="57">SUM(C47:C67)</f>
        <v>10372.499999999998</v>
      </c>
      <c r="D46" s="243">
        <f t="shared" si="57"/>
        <v>10372.499999999998</v>
      </c>
      <c r="E46" s="243">
        <f t="shared" si="57"/>
        <v>15564.166666666666</v>
      </c>
      <c r="F46" s="243">
        <f t="shared" si="57"/>
        <v>14439.166666666664</v>
      </c>
      <c r="G46" s="243">
        <f t="shared" si="57"/>
        <v>14439.166666666664</v>
      </c>
      <c r="H46" s="243">
        <f t="shared" si="57"/>
        <v>15564.166666666666</v>
      </c>
      <c r="I46" s="243">
        <f t="shared" si="57"/>
        <v>14439.166666666664</v>
      </c>
      <c r="J46" s="243">
        <f t="shared" si="57"/>
        <v>14439.166666666664</v>
      </c>
      <c r="K46" s="243">
        <f t="shared" si="57"/>
        <v>15564.166666666666</v>
      </c>
      <c r="L46" s="243">
        <f t="shared" si="57"/>
        <v>20034.166666666664</v>
      </c>
      <c r="M46" s="243">
        <f t="shared" si="57"/>
        <v>14439.166666666664</v>
      </c>
      <c r="N46" s="243">
        <f t="shared" si="57"/>
        <v>15564.166666666666</v>
      </c>
      <c r="O46" s="220">
        <f t="shared" ref="O46:O52" si="58">SUM(C46:N46)</f>
        <v>175231.66666666663</v>
      </c>
      <c r="P46" s="243">
        <f t="shared" ref="P46:AA46" si="59">SUM(P47:P67)</f>
        <v>18338.416666666668</v>
      </c>
      <c r="Q46" s="243">
        <f t="shared" si="59"/>
        <v>18338.416666666668</v>
      </c>
      <c r="R46" s="243">
        <f t="shared" si="59"/>
        <v>18338.416666666668</v>
      </c>
      <c r="S46" s="243">
        <f t="shared" si="59"/>
        <v>18338.416666666668</v>
      </c>
      <c r="T46" s="243">
        <f t="shared" si="59"/>
        <v>18338.416666666668</v>
      </c>
      <c r="U46" s="243">
        <f t="shared" si="59"/>
        <v>18338.416666666668</v>
      </c>
      <c r="V46" s="243">
        <f t="shared" si="59"/>
        <v>18338.416666666668</v>
      </c>
      <c r="W46" s="243">
        <f t="shared" si="59"/>
        <v>18338.416666666668</v>
      </c>
      <c r="X46" s="243">
        <f t="shared" si="59"/>
        <v>18338.416666666668</v>
      </c>
      <c r="Y46" s="243">
        <f t="shared" si="59"/>
        <v>18338.416666666668</v>
      </c>
      <c r="Z46" s="243">
        <f t="shared" si="59"/>
        <v>18338.416666666668</v>
      </c>
      <c r="AA46" s="243">
        <f t="shared" si="59"/>
        <v>18338.416666666668</v>
      </c>
      <c r="AB46" s="220">
        <f t="shared" ref="AB46:AB67" si="60">SUM(P46:AA46)</f>
        <v>220060.99999999997</v>
      </c>
      <c r="AC46" s="243">
        <f t="shared" ref="AC46:AN46" si="61">SUM(AC47:AC67)</f>
        <v>23801.25</v>
      </c>
      <c r="AD46" s="243">
        <f t="shared" si="61"/>
        <v>23801.25</v>
      </c>
      <c r="AE46" s="243">
        <f t="shared" si="61"/>
        <v>23801.25</v>
      </c>
      <c r="AF46" s="243">
        <f t="shared" si="61"/>
        <v>23801.25</v>
      </c>
      <c r="AG46" s="243">
        <f t="shared" si="61"/>
        <v>23801.25</v>
      </c>
      <c r="AH46" s="243">
        <f t="shared" si="61"/>
        <v>23801.25</v>
      </c>
      <c r="AI46" s="243">
        <f t="shared" si="61"/>
        <v>23801.25</v>
      </c>
      <c r="AJ46" s="243">
        <f t="shared" si="61"/>
        <v>23801.25</v>
      </c>
      <c r="AK46" s="243">
        <f t="shared" si="61"/>
        <v>23801.25</v>
      </c>
      <c r="AL46" s="243">
        <f t="shared" si="61"/>
        <v>23801.25</v>
      </c>
      <c r="AM46" s="243">
        <f t="shared" si="61"/>
        <v>23801.25</v>
      </c>
      <c r="AN46" s="243">
        <f t="shared" si="61"/>
        <v>23801.25</v>
      </c>
      <c r="AO46" s="220">
        <f t="shared" ref="AO46:AO67" si="62">SUM(AC46:AN46)</f>
        <v>285615</v>
      </c>
    </row>
    <row r="47" spans="1:41" x14ac:dyDescent="0.25">
      <c r="A47" s="326" t="s">
        <v>83</v>
      </c>
      <c r="B47" s="225"/>
      <c r="C47" s="228">
        <f>+'[4]charges externes'!B5/12</f>
        <v>600</v>
      </c>
      <c r="D47" s="228">
        <f t="shared" ref="D47:N47" si="63">+C47</f>
        <v>600</v>
      </c>
      <c r="E47" s="228">
        <f t="shared" si="63"/>
        <v>600</v>
      </c>
      <c r="F47" s="228">
        <f t="shared" si="63"/>
        <v>600</v>
      </c>
      <c r="G47" s="228">
        <f t="shared" si="63"/>
        <v>600</v>
      </c>
      <c r="H47" s="228">
        <f t="shared" si="63"/>
        <v>600</v>
      </c>
      <c r="I47" s="228">
        <f t="shared" si="63"/>
        <v>600</v>
      </c>
      <c r="J47" s="228">
        <f t="shared" si="63"/>
        <v>600</v>
      </c>
      <c r="K47" s="228">
        <f t="shared" si="63"/>
        <v>600</v>
      </c>
      <c r="L47" s="228">
        <f t="shared" si="63"/>
        <v>600</v>
      </c>
      <c r="M47" s="228">
        <f t="shared" si="63"/>
        <v>600</v>
      </c>
      <c r="N47" s="228">
        <f t="shared" si="63"/>
        <v>600</v>
      </c>
      <c r="O47" s="220">
        <f t="shared" si="58"/>
        <v>7200</v>
      </c>
      <c r="P47" s="228">
        <f>+'[4]charges externes'!C5/12</f>
        <v>600</v>
      </c>
      <c r="Q47" s="228">
        <f t="shared" ref="Q47:AA47" si="64">+P47</f>
        <v>600</v>
      </c>
      <c r="R47" s="228">
        <f t="shared" si="64"/>
        <v>600</v>
      </c>
      <c r="S47" s="228">
        <f t="shared" si="64"/>
        <v>600</v>
      </c>
      <c r="T47" s="228">
        <f t="shared" si="64"/>
        <v>600</v>
      </c>
      <c r="U47" s="228">
        <f t="shared" si="64"/>
        <v>600</v>
      </c>
      <c r="V47" s="228">
        <f t="shared" si="64"/>
        <v>600</v>
      </c>
      <c r="W47" s="228">
        <f t="shared" si="64"/>
        <v>600</v>
      </c>
      <c r="X47" s="228">
        <f t="shared" si="64"/>
        <v>600</v>
      </c>
      <c r="Y47" s="228">
        <f t="shared" si="64"/>
        <v>600</v>
      </c>
      <c r="Z47" s="228">
        <f t="shared" si="64"/>
        <v>600</v>
      </c>
      <c r="AA47" s="228">
        <f t="shared" si="64"/>
        <v>600</v>
      </c>
      <c r="AB47" s="220">
        <f t="shared" si="60"/>
        <v>7200</v>
      </c>
      <c r="AC47" s="228">
        <f>+'[4]charges externes'!D5/12</f>
        <v>600</v>
      </c>
      <c r="AD47" s="228">
        <f t="shared" ref="AD47:AN47" si="65">+AC47</f>
        <v>600</v>
      </c>
      <c r="AE47" s="228">
        <f t="shared" si="65"/>
        <v>600</v>
      </c>
      <c r="AF47" s="228">
        <f t="shared" si="65"/>
        <v>600</v>
      </c>
      <c r="AG47" s="228">
        <f t="shared" si="65"/>
        <v>600</v>
      </c>
      <c r="AH47" s="228">
        <f t="shared" si="65"/>
        <v>600</v>
      </c>
      <c r="AI47" s="228">
        <f t="shared" si="65"/>
        <v>600</v>
      </c>
      <c r="AJ47" s="228">
        <f t="shared" si="65"/>
        <v>600</v>
      </c>
      <c r="AK47" s="228">
        <f t="shared" si="65"/>
        <v>600</v>
      </c>
      <c r="AL47" s="228">
        <f t="shared" si="65"/>
        <v>600</v>
      </c>
      <c r="AM47" s="228">
        <f t="shared" si="65"/>
        <v>600</v>
      </c>
      <c r="AN47" s="228">
        <f t="shared" si="65"/>
        <v>600</v>
      </c>
      <c r="AO47" s="220">
        <f t="shared" si="62"/>
        <v>7200</v>
      </c>
    </row>
    <row r="48" spans="1:41" x14ac:dyDescent="0.25">
      <c r="A48" s="326" t="s">
        <v>84</v>
      </c>
      <c r="B48" s="225"/>
      <c r="C48" s="228">
        <f>+'[4]charges externes'!B6/12</f>
        <v>8.3333333333333339</v>
      </c>
      <c r="D48" s="228">
        <f t="shared" ref="D48:N48" si="66">+C48</f>
        <v>8.3333333333333339</v>
      </c>
      <c r="E48" s="228">
        <f t="shared" si="66"/>
        <v>8.3333333333333339</v>
      </c>
      <c r="F48" s="228">
        <f t="shared" si="66"/>
        <v>8.3333333333333339</v>
      </c>
      <c r="G48" s="228">
        <f t="shared" si="66"/>
        <v>8.3333333333333339</v>
      </c>
      <c r="H48" s="228">
        <f t="shared" si="66"/>
        <v>8.3333333333333339</v>
      </c>
      <c r="I48" s="228">
        <f t="shared" si="66"/>
        <v>8.3333333333333339</v>
      </c>
      <c r="J48" s="228">
        <f t="shared" si="66"/>
        <v>8.3333333333333339</v>
      </c>
      <c r="K48" s="228">
        <f t="shared" si="66"/>
        <v>8.3333333333333339</v>
      </c>
      <c r="L48" s="228">
        <f t="shared" si="66"/>
        <v>8.3333333333333339</v>
      </c>
      <c r="M48" s="228">
        <f t="shared" si="66"/>
        <v>8.3333333333333339</v>
      </c>
      <c r="N48" s="228">
        <f t="shared" si="66"/>
        <v>8.3333333333333339</v>
      </c>
      <c r="O48" s="220">
        <f t="shared" si="58"/>
        <v>99.999999999999986</v>
      </c>
      <c r="P48" s="228">
        <f>+'[4]charges externes'!C6/12</f>
        <v>8.3333333333333339</v>
      </c>
      <c r="Q48" s="228">
        <f t="shared" ref="Q48:AA48" si="67">+P48</f>
        <v>8.3333333333333339</v>
      </c>
      <c r="R48" s="228">
        <f t="shared" si="67"/>
        <v>8.3333333333333339</v>
      </c>
      <c r="S48" s="228">
        <f t="shared" si="67"/>
        <v>8.3333333333333339</v>
      </c>
      <c r="T48" s="228">
        <f t="shared" si="67"/>
        <v>8.3333333333333339</v>
      </c>
      <c r="U48" s="228">
        <f t="shared" si="67"/>
        <v>8.3333333333333339</v>
      </c>
      <c r="V48" s="228">
        <f t="shared" si="67"/>
        <v>8.3333333333333339</v>
      </c>
      <c r="W48" s="228">
        <f t="shared" si="67"/>
        <v>8.3333333333333339</v>
      </c>
      <c r="X48" s="228">
        <f t="shared" si="67"/>
        <v>8.3333333333333339</v>
      </c>
      <c r="Y48" s="228">
        <f t="shared" si="67"/>
        <v>8.3333333333333339</v>
      </c>
      <c r="Z48" s="228">
        <f t="shared" si="67"/>
        <v>8.3333333333333339</v>
      </c>
      <c r="AA48" s="228">
        <f t="shared" si="67"/>
        <v>8.3333333333333339</v>
      </c>
      <c r="AB48" s="220">
        <f t="shared" si="60"/>
        <v>99.999999999999986</v>
      </c>
      <c r="AC48" s="228">
        <f>+'[4]charges externes'!D6/12</f>
        <v>8.3333333333333339</v>
      </c>
      <c r="AD48" s="228">
        <f t="shared" ref="AD48:AN48" si="68">+AC48</f>
        <v>8.3333333333333339</v>
      </c>
      <c r="AE48" s="228">
        <f t="shared" si="68"/>
        <v>8.3333333333333339</v>
      </c>
      <c r="AF48" s="228">
        <f t="shared" si="68"/>
        <v>8.3333333333333339</v>
      </c>
      <c r="AG48" s="228">
        <f t="shared" si="68"/>
        <v>8.3333333333333339</v>
      </c>
      <c r="AH48" s="228">
        <f t="shared" si="68"/>
        <v>8.3333333333333339</v>
      </c>
      <c r="AI48" s="228">
        <f t="shared" si="68"/>
        <v>8.3333333333333339</v>
      </c>
      <c r="AJ48" s="228">
        <f t="shared" si="68"/>
        <v>8.3333333333333339</v>
      </c>
      <c r="AK48" s="228">
        <f t="shared" si="68"/>
        <v>8.3333333333333339</v>
      </c>
      <c r="AL48" s="228">
        <f t="shared" si="68"/>
        <v>8.3333333333333339</v>
      </c>
      <c r="AM48" s="228">
        <f t="shared" si="68"/>
        <v>8.3333333333333339</v>
      </c>
      <c r="AN48" s="228">
        <f t="shared" si="68"/>
        <v>8.3333333333333339</v>
      </c>
      <c r="AO48" s="220">
        <f t="shared" si="62"/>
        <v>99.999999999999986</v>
      </c>
    </row>
    <row r="49" spans="1:41" x14ac:dyDescent="0.25">
      <c r="A49" s="326" t="s">
        <v>85</v>
      </c>
      <c r="B49" s="225"/>
      <c r="C49" s="228">
        <f>+'[4]charges externes'!B7/12</f>
        <v>40</v>
      </c>
      <c r="D49" s="228">
        <f t="shared" ref="D49:N49" si="69">+C49</f>
        <v>40</v>
      </c>
      <c r="E49" s="228">
        <f t="shared" si="69"/>
        <v>40</v>
      </c>
      <c r="F49" s="228">
        <f t="shared" si="69"/>
        <v>40</v>
      </c>
      <c r="G49" s="228">
        <f t="shared" si="69"/>
        <v>40</v>
      </c>
      <c r="H49" s="228">
        <f t="shared" si="69"/>
        <v>40</v>
      </c>
      <c r="I49" s="228">
        <f t="shared" si="69"/>
        <v>40</v>
      </c>
      <c r="J49" s="228">
        <f t="shared" si="69"/>
        <v>40</v>
      </c>
      <c r="K49" s="228">
        <f t="shared" si="69"/>
        <v>40</v>
      </c>
      <c r="L49" s="228">
        <f t="shared" si="69"/>
        <v>40</v>
      </c>
      <c r="M49" s="228">
        <f t="shared" si="69"/>
        <v>40</v>
      </c>
      <c r="N49" s="228">
        <f t="shared" si="69"/>
        <v>40</v>
      </c>
      <c r="O49" s="220">
        <f t="shared" si="58"/>
        <v>480</v>
      </c>
      <c r="P49" s="228">
        <f>+'[4]charges externes'!C7/12</f>
        <v>40</v>
      </c>
      <c r="Q49" s="228">
        <f t="shared" ref="Q49:AA49" si="70">+P49</f>
        <v>40</v>
      </c>
      <c r="R49" s="228">
        <f t="shared" si="70"/>
        <v>40</v>
      </c>
      <c r="S49" s="228">
        <f t="shared" si="70"/>
        <v>40</v>
      </c>
      <c r="T49" s="228">
        <f t="shared" si="70"/>
        <v>40</v>
      </c>
      <c r="U49" s="228">
        <f t="shared" si="70"/>
        <v>40</v>
      </c>
      <c r="V49" s="228">
        <f t="shared" si="70"/>
        <v>40</v>
      </c>
      <c r="W49" s="228">
        <f t="shared" si="70"/>
        <v>40</v>
      </c>
      <c r="X49" s="228">
        <f t="shared" si="70"/>
        <v>40</v>
      </c>
      <c r="Y49" s="228">
        <f t="shared" si="70"/>
        <v>40</v>
      </c>
      <c r="Z49" s="228">
        <f t="shared" si="70"/>
        <v>40</v>
      </c>
      <c r="AA49" s="228">
        <f t="shared" si="70"/>
        <v>40</v>
      </c>
      <c r="AB49" s="220">
        <f t="shared" si="60"/>
        <v>480</v>
      </c>
      <c r="AC49" s="228">
        <f>+'[4]charges externes'!D7/12</f>
        <v>40</v>
      </c>
      <c r="AD49" s="228">
        <f t="shared" ref="AD49:AN49" si="71">+AC49</f>
        <v>40</v>
      </c>
      <c r="AE49" s="228">
        <f t="shared" si="71"/>
        <v>40</v>
      </c>
      <c r="AF49" s="228">
        <f t="shared" si="71"/>
        <v>40</v>
      </c>
      <c r="AG49" s="228">
        <f t="shared" si="71"/>
        <v>40</v>
      </c>
      <c r="AH49" s="228">
        <f t="shared" si="71"/>
        <v>40</v>
      </c>
      <c r="AI49" s="228">
        <f t="shared" si="71"/>
        <v>40</v>
      </c>
      <c r="AJ49" s="228">
        <f t="shared" si="71"/>
        <v>40</v>
      </c>
      <c r="AK49" s="228">
        <f t="shared" si="71"/>
        <v>40</v>
      </c>
      <c r="AL49" s="228">
        <f t="shared" si="71"/>
        <v>40</v>
      </c>
      <c r="AM49" s="228">
        <f t="shared" si="71"/>
        <v>40</v>
      </c>
      <c r="AN49" s="228">
        <f t="shared" si="71"/>
        <v>40</v>
      </c>
      <c r="AO49" s="220">
        <f t="shared" si="62"/>
        <v>480</v>
      </c>
    </row>
    <row r="50" spans="1:41" x14ac:dyDescent="0.25">
      <c r="A50" s="326" t="s">
        <v>86</v>
      </c>
      <c r="B50" s="225"/>
      <c r="C50" s="228">
        <f>+'[4]charges externes'!B8/12</f>
        <v>150</v>
      </c>
      <c r="D50" s="228">
        <f t="shared" ref="D50:N50" si="72">+C50</f>
        <v>150</v>
      </c>
      <c r="E50" s="228">
        <f t="shared" si="72"/>
        <v>150</v>
      </c>
      <c r="F50" s="228">
        <f t="shared" si="72"/>
        <v>150</v>
      </c>
      <c r="G50" s="228">
        <f t="shared" si="72"/>
        <v>150</v>
      </c>
      <c r="H50" s="228">
        <f t="shared" si="72"/>
        <v>150</v>
      </c>
      <c r="I50" s="228">
        <f t="shared" si="72"/>
        <v>150</v>
      </c>
      <c r="J50" s="228">
        <f t="shared" si="72"/>
        <v>150</v>
      </c>
      <c r="K50" s="228">
        <f t="shared" si="72"/>
        <v>150</v>
      </c>
      <c r="L50" s="228">
        <f t="shared" si="72"/>
        <v>150</v>
      </c>
      <c r="M50" s="228">
        <f t="shared" si="72"/>
        <v>150</v>
      </c>
      <c r="N50" s="228">
        <f t="shared" si="72"/>
        <v>150</v>
      </c>
      <c r="O50" s="220">
        <f t="shared" si="58"/>
        <v>1800</v>
      </c>
      <c r="P50" s="228">
        <f>+'[4]charges externes'!C8/12</f>
        <v>208.33333333333334</v>
      </c>
      <c r="Q50" s="228">
        <f t="shared" ref="Q50:AA50" si="73">+P50</f>
        <v>208.33333333333334</v>
      </c>
      <c r="R50" s="228">
        <f t="shared" si="73"/>
        <v>208.33333333333334</v>
      </c>
      <c r="S50" s="228">
        <f t="shared" si="73"/>
        <v>208.33333333333334</v>
      </c>
      <c r="T50" s="228">
        <f t="shared" si="73"/>
        <v>208.33333333333334</v>
      </c>
      <c r="U50" s="228">
        <f t="shared" si="73"/>
        <v>208.33333333333334</v>
      </c>
      <c r="V50" s="228">
        <f t="shared" si="73"/>
        <v>208.33333333333334</v>
      </c>
      <c r="W50" s="228">
        <f t="shared" si="73"/>
        <v>208.33333333333334</v>
      </c>
      <c r="X50" s="228">
        <f t="shared" si="73"/>
        <v>208.33333333333334</v>
      </c>
      <c r="Y50" s="228">
        <f t="shared" si="73"/>
        <v>208.33333333333334</v>
      </c>
      <c r="Z50" s="228">
        <f t="shared" si="73"/>
        <v>208.33333333333334</v>
      </c>
      <c r="AA50" s="228">
        <f t="shared" si="73"/>
        <v>208.33333333333334</v>
      </c>
      <c r="AB50" s="220">
        <f t="shared" si="60"/>
        <v>2500</v>
      </c>
      <c r="AC50" s="228">
        <f>+'[4]charges externes'!D8/12</f>
        <v>250</v>
      </c>
      <c r="AD50" s="228">
        <f t="shared" ref="AD50:AN50" si="74">+AC50</f>
        <v>250</v>
      </c>
      <c r="AE50" s="228">
        <f t="shared" si="74"/>
        <v>250</v>
      </c>
      <c r="AF50" s="228">
        <f t="shared" si="74"/>
        <v>250</v>
      </c>
      <c r="AG50" s="228">
        <f t="shared" si="74"/>
        <v>250</v>
      </c>
      <c r="AH50" s="228">
        <f t="shared" si="74"/>
        <v>250</v>
      </c>
      <c r="AI50" s="228">
        <f t="shared" si="74"/>
        <v>250</v>
      </c>
      <c r="AJ50" s="228">
        <f t="shared" si="74"/>
        <v>250</v>
      </c>
      <c r="AK50" s="228">
        <f t="shared" si="74"/>
        <v>250</v>
      </c>
      <c r="AL50" s="228">
        <f t="shared" si="74"/>
        <v>250</v>
      </c>
      <c r="AM50" s="228">
        <f t="shared" si="74"/>
        <v>250</v>
      </c>
      <c r="AN50" s="228">
        <f t="shared" si="74"/>
        <v>250</v>
      </c>
      <c r="AO50" s="220">
        <f t="shared" si="62"/>
        <v>3000</v>
      </c>
    </row>
    <row r="51" spans="1:41" x14ac:dyDescent="0.25">
      <c r="A51" s="326" t="s">
        <v>87</v>
      </c>
      <c r="B51" s="225"/>
      <c r="C51" s="241">
        <f>+'[4]charges externes'!B10/12</f>
        <v>0</v>
      </c>
      <c r="D51" s="241">
        <f t="shared" ref="D51:N51" si="75">+C51</f>
        <v>0</v>
      </c>
      <c r="E51" s="241">
        <f t="shared" si="75"/>
        <v>0</v>
      </c>
      <c r="F51" s="241">
        <f t="shared" si="75"/>
        <v>0</v>
      </c>
      <c r="G51" s="241">
        <f t="shared" si="75"/>
        <v>0</v>
      </c>
      <c r="H51" s="241">
        <f t="shared" si="75"/>
        <v>0</v>
      </c>
      <c r="I51" s="241">
        <f t="shared" si="75"/>
        <v>0</v>
      </c>
      <c r="J51" s="241">
        <f t="shared" si="75"/>
        <v>0</v>
      </c>
      <c r="K51" s="241">
        <f t="shared" si="75"/>
        <v>0</v>
      </c>
      <c r="L51" s="241">
        <f t="shared" si="75"/>
        <v>0</v>
      </c>
      <c r="M51" s="241">
        <f t="shared" si="75"/>
        <v>0</v>
      </c>
      <c r="N51" s="241">
        <f t="shared" si="75"/>
        <v>0</v>
      </c>
      <c r="O51" s="220">
        <f t="shared" si="58"/>
        <v>0</v>
      </c>
      <c r="P51" s="228">
        <f>+'[4]charges externes'!C10/12</f>
        <v>1125</v>
      </c>
      <c r="Q51" s="228">
        <f t="shared" ref="Q51:AA51" si="76">+P51</f>
        <v>1125</v>
      </c>
      <c r="R51" s="228">
        <f t="shared" si="76"/>
        <v>1125</v>
      </c>
      <c r="S51" s="228">
        <f t="shared" si="76"/>
        <v>1125</v>
      </c>
      <c r="T51" s="228">
        <f t="shared" si="76"/>
        <v>1125</v>
      </c>
      <c r="U51" s="228">
        <f t="shared" si="76"/>
        <v>1125</v>
      </c>
      <c r="V51" s="228">
        <f t="shared" si="76"/>
        <v>1125</v>
      </c>
      <c r="W51" s="228">
        <f t="shared" si="76"/>
        <v>1125</v>
      </c>
      <c r="X51" s="228">
        <f t="shared" si="76"/>
        <v>1125</v>
      </c>
      <c r="Y51" s="228">
        <f t="shared" si="76"/>
        <v>1125</v>
      </c>
      <c r="Z51" s="228">
        <f t="shared" si="76"/>
        <v>1125</v>
      </c>
      <c r="AA51" s="228">
        <f t="shared" si="76"/>
        <v>1125</v>
      </c>
      <c r="AB51" s="220">
        <f t="shared" si="60"/>
        <v>13500</v>
      </c>
      <c r="AC51" s="228">
        <f>+'[4]charges externes'!D10/12</f>
        <v>2500</v>
      </c>
      <c r="AD51" s="228">
        <f t="shared" ref="AD51:AN51" si="77">+AC51</f>
        <v>2500</v>
      </c>
      <c r="AE51" s="228">
        <f t="shared" si="77"/>
        <v>2500</v>
      </c>
      <c r="AF51" s="228">
        <f t="shared" si="77"/>
        <v>2500</v>
      </c>
      <c r="AG51" s="228">
        <f t="shared" si="77"/>
        <v>2500</v>
      </c>
      <c r="AH51" s="228">
        <f t="shared" si="77"/>
        <v>2500</v>
      </c>
      <c r="AI51" s="228">
        <f t="shared" si="77"/>
        <v>2500</v>
      </c>
      <c r="AJ51" s="228">
        <f t="shared" si="77"/>
        <v>2500</v>
      </c>
      <c r="AK51" s="228">
        <f t="shared" si="77"/>
        <v>2500</v>
      </c>
      <c r="AL51" s="228">
        <f t="shared" si="77"/>
        <v>2500</v>
      </c>
      <c r="AM51" s="228">
        <f t="shared" si="77"/>
        <v>2500</v>
      </c>
      <c r="AN51" s="228">
        <f t="shared" si="77"/>
        <v>2500</v>
      </c>
      <c r="AO51" s="220">
        <f t="shared" si="62"/>
        <v>30000</v>
      </c>
    </row>
    <row r="52" spans="1:41" x14ac:dyDescent="0.25">
      <c r="A52" s="326" t="s">
        <v>88</v>
      </c>
      <c r="B52" s="225"/>
      <c r="C52" s="241">
        <f>+'[4]charges externes'!B11/12</f>
        <v>1360</v>
      </c>
      <c r="D52" s="241">
        <f t="shared" ref="D52:N52" si="78">+C52</f>
        <v>1360</v>
      </c>
      <c r="E52" s="241">
        <f t="shared" si="78"/>
        <v>1360</v>
      </c>
      <c r="F52" s="241">
        <f t="shared" si="78"/>
        <v>1360</v>
      </c>
      <c r="G52" s="241">
        <f t="shared" si="78"/>
        <v>1360</v>
      </c>
      <c r="H52" s="241">
        <f t="shared" si="78"/>
        <v>1360</v>
      </c>
      <c r="I52" s="241">
        <f t="shared" si="78"/>
        <v>1360</v>
      </c>
      <c r="J52" s="241">
        <f t="shared" si="78"/>
        <v>1360</v>
      </c>
      <c r="K52" s="241">
        <f t="shared" si="78"/>
        <v>1360</v>
      </c>
      <c r="L52" s="241">
        <f t="shared" si="78"/>
        <v>1360</v>
      </c>
      <c r="M52" s="241">
        <f t="shared" si="78"/>
        <v>1360</v>
      </c>
      <c r="N52" s="241">
        <f t="shared" si="78"/>
        <v>1360</v>
      </c>
      <c r="O52" s="220">
        <f t="shared" si="58"/>
        <v>16320</v>
      </c>
      <c r="P52" s="228">
        <f>+'[4]charges externes'!C11/12</f>
        <v>1360</v>
      </c>
      <c r="Q52" s="228">
        <f t="shared" ref="Q52:AA52" si="79">+P52</f>
        <v>1360</v>
      </c>
      <c r="R52" s="228">
        <f t="shared" si="79"/>
        <v>1360</v>
      </c>
      <c r="S52" s="228">
        <f t="shared" si="79"/>
        <v>1360</v>
      </c>
      <c r="T52" s="228">
        <f t="shared" si="79"/>
        <v>1360</v>
      </c>
      <c r="U52" s="228">
        <f t="shared" si="79"/>
        <v>1360</v>
      </c>
      <c r="V52" s="228">
        <f t="shared" si="79"/>
        <v>1360</v>
      </c>
      <c r="W52" s="228">
        <f t="shared" si="79"/>
        <v>1360</v>
      </c>
      <c r="X52" s="228">
        <f t="shared" si="79"/>
        <v>1360</v>
      </c>
      <c r="Y52" s="228">
        <f t="shared" si="79"/>
        <v>1360</v>
      </c>
      <c r="Z52" s="228">
        <f t="shared" si="79"/>
        <v>1360</v>
      </c>
      <c r="AA52" s="228">
        <f t="shared" si="79"/>
        <v>1360</v>
      </c>
      <c r="AB52" s="220">
        <f t="shared" si="60"/>
        <v>16320</v>
      </c>
      <c r="AC52" s="228">
        <f>+'[4]charges externes'!D11/12</f>
        <v>1360</v>
      </c>
      <c r="AD52" s="228">
        <f t="shared" ref="AD52:AN52" si="80">+AC52</f>
        <v>1360</v>
      </c>
      <c r="AE52" s="228">
        <f t="shared" si="80"/>
        <v>1360</v>
      </c>
      <c r="AF52" s="228">
        <f t="shared" si="80"/>
        <v>1360</v>
      </c>
      <c r="AG52" s="228">
        <f t="shared" si="80"/>
        <v>1360</v>
      </c>
      <c r="AH52" s="228">
        <f t="shared" si="80"/>
        <v>1360</v>
      </c>
      <c r="AI52" s="228">
        <f t="shared" si="80"/>
        <v>1360</v>
      </c>
      <c r="AJ52" s="228">
        <f t="shared" si="80"/>
        <v>1360</v>
      </c>
      <c r="AK52" s="228">
        <f t="shared" si="80"/>
        <v>1360</v>
      </c>
      <c r="AL52" s="228">
        <f t="shared" si="80"/>
        <v>1360</v>
      </c>
      <c r="AM52" s="228">
        <f t="shared" si="80"/>
        <v>1360</v>
      </c>
      <c r="AN52" s="228">
        <f t="shared" si="80"/>
        <v>1360</v>
      </c>
      <c r="AO52" s="220">
        <f t="shared" si="62"/>
        <v>16320</v>
      </c>
    </row>
    <row r="53" spans="1:41" x14ac:dyDescent="0.25">
      <c r="A53" s="326" t="s">
        <v>89</v>
      </c>
      <c r="B53" s="225"/>
      <c r="C53" s="219">
        <v>0</v>
      </c>
      <c r="D53" s="241">
        <v>0</v>
      </c>
      <c r="E53" s="241">
        <f>+'[4]charges externes'!B12/4</f>
        <v>300</v>
      </c>
      <c r="F53" s="241">
        <v>0</v>
      </c>
      <c r="G53" s="241">
        <v>0</v>
      </c>
      <c r="H53" s="241">
        <f>+E53</f>
        <v>300</v>
      </c>
      <c r="I53" s="241">
        <v>0</v>
      </c>
      <c r="J53" s="241">
        <v>0</v>
      </c>
      <c r="K53" s="241">
        <f>+H53</f>
        <v>300</v>
      </c>
      <c r="L53" s="241">
        <v>0</v>
      </c>
      <c r="M53" s="241">
        <v>0</v>
      </c>
      <c r="N53" s="241">
        <f>+K53</f>
        <v>300</v>
      </c>
      <c r="O53" s="220">
        <f>SUM(D53:N53)</f>
        <v>1200</v>
      </c>
      <c r="P53" s="228">
        <f>+'[4]charges externes'!C12/12</f>
        <v>100</v>
      </c>
      <c r="Q53" s="228">
        <f t="shared" ref="Q53:AA53" si="81">+P53</f>
        <v>100</v>
      </c>
      <c r="R53" s="228">
        <f t="shared" si="81"/>
        <v>100</v>
      </c>
      <c r="S53" s="228">
        <f t="shared" si="81"/>
        <v>100</v>
      </c>
      <c r="T53" s="228">
        <f t="shared" si="81"/>
        <v>100</v>
      </c>
      <c r="U53" s="228">
        <f t="shared" si="81"/>
        <v>100</v>
      </c>
      <c r="V53" s="228">
        <f t="shared" si="81"/>
        <v>100</v>
      </c>
      <c r="W53" s="228">
        <f t="shared" si="81"/>
        <v>100</v>
      </c>
      <c r="X53" s="228">
        <f t="shared" si="81"/>
        <v>100</v>
      </c>
      <c r="Y53" s="228">
        <f t="shared" si="81"/>
        <v>100</v>
      </c>
      <c r="Z53" s="228">
        <f t="shared" si="81"/>
        <v>100</v>
      </c>
      <c r="AA53" s="228">
        <f t="shared" si="81"/>
        <v>100</v>
      </c>
      <c r="AB53" s="220">
        <f t="shared" si="60"/>
        <v>1200</v>
      </c>
      <c r="AC53" s="228">
        <f>+'[4]charges externes'!D12/12</f>
        <v>100</v>
      </c>
      <c r="AD53" s="228">
        <f t="shared" ref="AD53:AN53" si="82">+AC53</f>
        <v>100</v>
      </c>
      <c r="AE53" s="228">
        <f t="shared" si="82"/>
        <v>100</v>
      </c>
      <c r="AF53" s="228">
        <f t="shared" si="82"/>
        <v>100</v>
      </c>
      <c r="AG53" s="228">
        <f t="shared" si="82"/>
        <v>100</v>
      </c>
      <c r="AH53" s="228">
        <f t="shared" si="82"/>
        <v>100</v>
      </c>
      <c r="AI53" s="228">
        <f t="shared" si="82"/>
        <v>100</v>
      </c>
      <c r="AJ53" s="228">
        <f t="shared" si="82"/>
        <v>100</v>
      </c>
      <c r="AK53" s="228">
        <f t="shared" si="82"/>
        <v>100</v>
      </c>
      <c r="AL53" s="228">
        <f t="shared" si="82"/>
        <v>100</v>
      </c>
      <c r="AM53" s="228">
        <f t="shared" si="82"/>
        <v>100</v>
      </c>
      <c r="AN53" s="228">
        <f t="shared" si="82"/>
        <v>100</v>
      </c>
      <c r="AO53" s="220">
        <f t="shared" si="62"/>
        <v>1200</v>
      </c>
    </row>
    <row r="54" spans="1:41" x14ac:dyDescent="0.25">
      <c r="A54" s="326" t="s">
        <v>90</v>
      </c>
      <c r="B54" s="225"/>
      <c r="C54" s="241">
        <f>+'[4]charges externes'!B13/12</f>
        <v>166.66666666666666</v>
      </c>
      <c r="D54" s="241">
        <f t="shared" ref="D54:N54" si="83">+C54</f>
        <v>166.66666666666666</v>
      </c>
      <c r="E54" s="242">
        <f t="shared" si="83"/>
        <v>166.66666666666666</v>
      </c>
      <c r="F54" s="241">
        <f t="shared" si="83"/>
        <v>166.66666666666666</v>
      </c>
      <c r="G54" s="241">
        <f t="shared" si="83"/>
        <v>166.66666666666666</v>
      </c>
      <c r="H54" s="241">
        <f t="shared" si="83"/>
        <v>166.66666666666666</v>
      </c>
      <c r="I54" s="241">
        <f t="shared" si="83"/>
        <v>166.66666666666666</v>
      </c>
      <c r="J54" s="241">
        <f t="shared" si="83"/>
        <v>166.66666666666666</v>
      </c>
      <c r="K54" s="241">
        <f t="shared" si="83"/>
        <v>166.66666666666666</v>
      </c>
      <c r="L54" s="241">
        <f t="shared" si="83"/>
        <v>166.66666666666666</v>
      </c>
      <c r="M54" s="241">
        <f t="shared" si="83"/>
        <v>166.66666666666666</v>
      </c>
      <c r="N54" s="241">
        <f t="shared" si="83"/>
        <v>166.66666666666666</v>
      </c>
      <c r="O54" s="220">
        <f>SUM(C54:N54)</f>
        <v>2000.0000000000002</v>
      </c>
      <c r="P54" s="228">
        <f>+'[4]charges externes'!C13/12</f>
        <v>166.66666666666666</v>
      </c>
      <c r="Q54" s="228">
        <f t="shared" ref="Q54:AA54" si="84">+P54</f>
        <v>166.66666666666666</v>
      </c>
      <c r="R54" s="228">
        <f t="shared" si="84"/>
        <v>166.66666666666666</v>
      </c>
      <c r="S54" s="228">
        <f t="shared" si="84"/>
        <v>166.66666666666666</v>
      </c>
      <c r="T54" s="228">
        <f t="shared" si="84"/>
        <v>166.66666666666666</v>
      </c>
      <c r="U54" s="228">
        <f t="shared" si="84"/>
        <v>166.66666666666666</v>
      </c>
      <c r="V54" s="228">
        <f t="shared" si="84"/>
        <v>166.66666666666666</v>
      </c>
      <c r="W54" s="228">
        <f t="shared" si="84"/>
        <v>166.66666666666666</v>
      </c>
      <c r="X54" s="228">
        <f t="shared" si="84"/>
        <v>166.66666666666666</v>
      </c>
      <c r="Y54" s="228">
        <f t="shared" si="84"/>
        <v>166.66666666666666</v>
      </c>
      <c r="Z54" s="228">
        <f t="shared" si="84"/>
        <v>166.66666666666666</v>
      </c>
      <c r="AA54" s="228">
        <f t="shared" si="84"/>
        <v>166.66666666666666</v>
      </c>
      <c r="AB54" s="220">
        <f t="shared" si="60"/>
        <v>2000.0000000000002</v>
      </c>
      <c r="AC54" s="228">
        <f>+'[4]charges externes'!D13/12</f>
        <v>166.66666666666666</v>
      </c>
      <c r="AD54" s="228">
        <f t="shared" ref="AD54:AN54" si="85">+AC54</f>
        <v>166.66666666666666</v>
      </c>
      <c r="AE54" s="228">
        <f t="shared" si="85"/>
        <v>166.66666666666666</v>
      </c>
      <c r="AF54" s="228">
        <f t="shared" si="85"/>
        <v>166.66666666666666</v>
      </c>
      <c r="AG54" s="228">
        <f t="shared" si="85"/>
        <v>166.66666666666666</v>
      </c>
      <c r="AH54" s="228">
        <f t="shared" si="85"/>
        <v>166.66666666666666</v>
      </c>
      <c r="AI54" s="228">
        <f t="shared" si="85"/>
        <v>166.66666666666666</v>
      </c>
      <c r="AJ54" s="228">
        <f t="shared" si="85"/>
        <v>166.66666666666666</v>
      </c>
      <c r="AK54" s="228">
        <f t="shared" si="85"/>
        <v>166.66666666666666</v>
      </c>
      <c r="AL54" s="228">
        <f t="shared" si="85"/>
        <v>166.66666666666666</v>
      </c>
      <c r="AM54" s="228">
        <f t="shared" si="85"/>
        <v>166.66666666666666</v>
      </c>
      <c r="AN54" s="228">
        <f t="shared" si="85"/>
        <v>166.66666666666666</v>
      </c>
      <c r="AO54" s="220">
        <f t="shared" si="62"/>
        <v>2000.0000000000002</v>
      </c>
    </row>
    <row r="55" spans="1:41" x14ac:dyDescent="0.25">
      <c r="A55" s="326" t="s">
        <v>91</v>
      </c>
      <c r="B55" s="225"/>
      <c r="C55" s="219">
        <v>0</v>
      </c>
      <c r="D55" s="241">
        <v>0</v>
      </c>
      <c r="E55" s="241">
        <f>+'[4]charges externes'!B14/4</f>
        <v>825</v>
      </c>
      <c r="F55" s="241">
        <v>0</v>
      </c>
      <c r="G55" s="241">
        <f t="shared" ref="G55:G67" si="86">+F55</f>
        <v>0</v>
      </c>
      <c r="H55" s="241">
        <f>+E55</f>
        <v>825</v>
      </c>
      <c r="I55" s="241">
        <v>0</v>
      </c>
      <c r="J55" s="241">
        <f t="shared" ref="J55:J67" si="87">+I55</f>
        <v>0</v>
      </c>
      <c r="K55" s="241">
        <f>+H55</f>
        <v>825</v>
      </c>
      <c r="L55" s="241">
        <v>0</v>
      </c>
      <c r="M55" s="241">
        <f t="shared" ref="M55:M66" si="88">+L55</f>
        <v>0</v>
      </c>
      <c r="N55" s="241">
        <f>+K55</f>
        <v>825</v>
      </c>
      <c r="O55" s="220">
        <f>SUM(D55:N55)</f>
        <v>3300</v>
      </c>
      <c r="P55" s="228">
        <f>+'[4]charges externes'!C14/12</f>
        <v>275</v>
      </c>
      <c r="Q55" s="228">
        <f t="shared" ref="Q55:AA55" si="89">+P55</f>
        <v>275</v>
      </c>
      <c r="R55" s="228">
        <f t="shared" si="89"/>
        <v>275</v>
      </c>
      <c r="S55" s="228">
        <f t="shared" si="89"/>
        <v>275</v>
      </c>
      <c r="T55" s="228">
        <f t="shared" si="89"/>
        <v>275</v>
      </c>
      <c r="U55" s="228">
        <f t="shared" si="89"/>
        <v>275</v>
      </c>
      <c r="V55" s="228">
        <f t="shared" si="89"/>
        <v>275</v>
      </c>
      <c r="W55" s="228">
        <f t="shared" si="89"/>
        <v>275</v>
      </c>
      <c r="X55" s="228">
        <f t="shared" si="89"/>
        <v>275</v>
      </c>
      <c r="Y55" s="228">
        <f t="shared" si="89"/>
        <v>275</v>
      </c>
      <c r="Z55" s="228">
        <f t="shared" si="89"/>
        <v>275</v>
      </c>
      <c r="AA55" s="228">
        <f t="shared" si="89"/>
        <v>275</v>
      </c>
      <c r="AB55" s="220">
        <f t="shared" si="60"/>
        <v>3300</v>
      </c>
      <c r="AC55" s="228">
        <f>+'[4]charges externes'!D14/12</f>
        <v>275</v>
      </c>
      <c r="AD55" s="228">
        <f t="shared" ref="AD55:AN55" si="90">+AC55</f>
        <v>275</v>
      </c>
      <c r="AE55" s="228">
        <f t="shared" si="90"/>
        <v>275</v>
      </c>
      <c r="AF55" s="228">
        <f t="shared" si="90"/>
        <v>275</v>
      </c>
      <c r="AG55" s="228">
        <f t="shared" si="90"/>
        <v>275</v>
      </c>
      <c r="AH55" s="228">
        <f t="shared" si="90"/>
        <v>275</v>
      </c>
      <c r="AI55" s="228">
        <f t="shared" si="90"/>
        <v>275</v>
      </c>
      <c r="AJ55" s="228">
        <f t="shared" si="90"/>
        <v>275</v>
      </c>
      <c r="AK55" s="228">
        <f t="shared" si="90"/>
        <v>275</v>
      </c>
      <c r="AL55" s="228">
        <f t="shared" si="90"/>
        <v>275</v>
      </c>
      <c r="AM55" s="228">
        <f t="shared" si="90"/>
        <v>275</v>
      </c>
      <c r="AN55" s="228">
        <f t="shared" si="90"/>
        <v>275</v>
      </c>
      <c r="AO55" s="220">
        <f t="shared" si="62"/>
        <v>3300</v>
      </c>
    </row>
    <row r="56" spans="1:41" x14ac:dyDescent="0.25">
      <c r="A56" s="326" t="s">
        <v>92</v>
      </c>
      <c r="B56" s="225"/>
      <c r="C56" s="241">
        <f>+'[4]charges externes'!B15/12</f>
        <v>761.66666666666663</v>
      </c>
      <c r="D56" s="241">
        <f>+C56</f>
        <v>761.66666666666663</v>
      </c>
      <c r="E56" s="241">
        <f>+D56</f>
        <v>761.66666666666663</v>
      </c>
      <c r="F56" s="241">
        <f>+E56</f>
        <v>761.66666666666663</v>
      </c>
      <c r="G56" s="241">
        <f t="shared" si="86"/>
        <v>761.66666666666663</v>
      </c>
      <c r="H56" s="241">
        <f t="shared" ref="H56:I67" si="91">+G56</f>
        <v>761.66666666666663</v>
      </c>
      <c r="I56" s="241">
        <f t="shared" si="91"/>
        <v>761.66666666666663</v>
      </c>
      <c r="J56" s="241">
        <f t="shared" si="87"/>
        <v>761.66666666666663</v>
      </c>
      <c r="K56" s="241">
        <f t="shared" ref="K56:L66" si="92">+J56</f>
        <v>761.66666666666663</v>
      </c>
      <c r="L56" s="241">
        <f t="shared" si="92"/>
        <v>761.66666666666663</v>
      </c>
      <c r="M56" s="241">
        <f t="shared" si="88"/>
        <v>761.66666666666663</v>
      </c>
      <c r="N56" s="241">
        <f t="shared" ref="N56:N67" si="93">+M56</f>
        <v>761.66666666666663</v>
      </c>
      <c r="O56" s="220">
        <f>SUM(C56:N56)</f>
        <v>9140</v>
      </c>
      <c r="P56" s="228">
        <f>+'[4]charges externes'!C15/12</f>
        <v>761.66666666666663</v>
      </c>
      <c r="Q56" s="228">
        <f t="shared" ref="Q56:AA56" si="94">+P56</f>
        <v>761.66666666666663</v>
      </c>
      <c r="R56" s="228">
        <f t="shared" si="94"/>
        <v>761.66666666666663</v>
      </c>
      <c r="S56" s="228">
        <f t="shared" si="94"/>
        <v>761.66666666666663</v>
      </c>
      <c r="T56" s="228">
        <f t="shared" si="94"/>
        <v>761.66666666666663</v>
      </c>
      <c r="U56" s="228">
        <f t="shared" si="94"/>
        <v>761.66666666666663</v>
      </c>
      <c r="V56" s="228">
        <f t="shared" si="94"/>
        <v>761.66666666666663</v>
      </c>
      <c r="W56" s="228">
        <f t="shared" si="94"/>
        <v>761.66666666666663</v>
      </c>
      <c r="X56" s="228">
        <f t="shared" si="94"/>
        <v>761.66666666666663</v>
      </c>
      <c r="Y56" s="228">
        <f t="shared" si="94"/>
        <v>761.66666666666663</v>
      </c>
      <c r="Z56" s="228">
        <f t="shared" si="94"/>
        <v>761.66666666666663</v>
      </c>
      <c r="AA56" s="228">
        <f t="shared" si="94"/>
        <v>761.66666666666663</v>
      </c>
      <c r="AB56" s="220">
        <f t="shared" si="60"/>
        <v>9140</v>
      </c>
      <c r="AC56" s="228">
        <f>+'[4]charges externes'!D15/12</f>
        <v>761.66666666666663</v>
      </c>
      <c r="AD56" s="228">
        <f t="shared" ref="AD56:AN56" si="95">+AC56</f>
        <v>761.66666666666663</v>
      </c>
      <c r="AE56" s="228">
        <f t="shared" si="95"/>
        <v>761.66666666666663</v>
      </c>
      <c r="AF56" s="228">
        <f t="shared" si="95"/>
        <v>761.66666666666663</v>
      </c>
      <c r="AG56" s="228">
        <f t="shared" si="95"/>
        <v>761.66666666666663</v>
      </c>
      <c r="AH56" s="228">
        <f t="shared" si="95"/>
        <v>761.66666666666663</v>
      </c>
      <c r="AI56" s="228">
        <f t="shared" si="95"/>
        <v>761.66666666666663</v>
      </c>
      <c r="AJ56" s="228">
        <f t="shared" si="95"/>
        <v>761.66666666666663</v>
      </c>
      <c r="AK56" s="228">
        <f t="shared" si="95"/>
        <v>761.66666666666663</v>
      </c>
      <c r="AL56" s="228">
        <f t="shared" si="95"/>
        <v>761.66666666666663</v>
      </c>
      <c r="AM56" s="228">
        <f t="shared" si="95"/>
        <v>761.66666666666663</v>
      </c>
      <c r="AN56" s="228">
        <f t="shared" si="95"/>
        <v>761.66666666666663</v>
      </c>
      <c r="AO56" s="220">
        <f t="shared" si="62"/>
        <v>9140</v>
      </c>
    </row>
    <row r="57" spans="1:41" x14ac:dyDescent="0.25">
      <c r="A57" s="326" t="s">
        <v>93</v>
      </c>
      <c r="B57" s="225"/>
      <c r="C57" s="219">
        <v>0</v>
      </c>
      <c r="D57" s="241">
        <v>0</v>
      </c>
      <c r="E57" s="241">
        <f>+'[4]charges externes'!B16/12</f>
        <v>166.66666666666666</v>
      </c>
      <c r="F57" s="241">
        <f>+E57</f>
        <v>166.66666666666666</v>
      </c>
      <c r="G57" s="241">
        <f t="shared" si="86"/>
        <v>166.66666666666666</v>
      </c>
      <c r="H57" s="241">
        <f t="shared" si="91"/>
        <v>166.66666666666666</v>
      </c>
      <c r="I57" s="241">
        <f t="shared" si="91"/>
        <v>166.66666666666666</v>
      </c>
      <c r="J57" s="241">
        <f t="shared" si="87"/>
        <v>166.66666666666666</v>
      </c>
      <c r="K57" s="241">
        <f t="shared" si="92"/>
        <v>166.66666666666666</v>
      </c>
      <c r="L57" s="241">
        <f t="shared" si="92"/>
        <v>166.66666666666666</v>
      </c>
      <c r="M57" s="241">
        <f t="shared" si="88"/>
        <v>166.66666666666666</v>
      </c>
      <c r="N57" s="241">
        <f t="shared" si="93"/>
        <v>166.66666666666666</v>
      </c>
      <c r="O57" s="220">
        <f>SUM(D57:N57)</f>
        <v>1666.6666666666667</v>
      </c>
      <c r="P57" s="228">
        <f>+'[4]charges externes'!C16/12</f>
        <v>166.66666666666666</v>
      </c>
      <c r="Q57" s="228">
        <f t="shared" ref="Q57:AA57" si="96">+P57</f>
        <v>166.66666666666666</v>
      </c>
      <c r="R57" s="228">
        <f t="shared" si="96"/>
        <v>166.66666666666666</v>
      </c>
      <c r="S57" s="228">
        <f t="shared" si="96"/>
        <v>166.66666666666666</v>
      </c>
      <c r="T57" s="228">
        <f t="shared" si="96"/>
        <v>166.66666666666666</v>
      </c>
      <c r="U57" s="228">
        <f t="shared" si="96"/>
        <v>166.66666666666666</v>
      </c>
      <c r="V57" s="228">
        <f t="shared" si="96"/>
        <v>166.66666666666666</v>
      </c>
      <c r="W57" s="228">
        <f t="shared" si="96"/>
        <v>166.66666666666666</v>
      </c>
      <c r="X57" s="228">
        <f t="shared" si="96"/>
        <v>166.66666666666666</v>
      </c>
      <c r="Y57" s="228">
        <f t="shared" si="96"/>
        <v>166.66666666666666</v>
      </c>
      <c r="Z57" s="228">
        <f t="shared" si="96"/>
        <v>166.66666666666666</v>
      </c>
      <c r="AA57" s="228">
        <f t="shared" si="96"/>
        <v>166.66666666666666</v>
      </c>
      <c r="AB57" s="220">
        <f t="shared" si="60"/>
        <v>2000.0000000000002</v>
      </c>
      <c r="AC57" s="228">
        <f>+'[4]charges externes'!D16/12</f>
        <v>166.66666666666666</v>
      </c>
      <c r="AD57" s="228">
        <f t="shared" ref="AD57:AN57" si="97">+AC57</f>
        <v>166.66666666666666</v>
      </c>
      <c r="AE57" s="228">
        <f t="shared" si="97"/>
        <v>166.66666666666666</v>
      </c>
      <c r="AF57" s="228">
        <f t="shared" si="97"/>
        <v>166.66666666666666</v>
      </c>
      <c r="AG57" s="228">
        <f t="shared" si="97"/>
        <v>166.66666666666666</v>
      </c>
      <c r="AH57" s="228">
        <f t="shared" si="97"/>
        <v>166.66666666666666</v>
      </c>
      <c r="AI57" s="228">
        <f t="shared" si="97"/>
        <v>166.66666666666666</v>
      </c>
      <c r="AJ57" s="228">
        <f t="shared" si="97"/>
        <v>166.66666666666666</v>
      </c>
      <c r="AK57" s="228">
        <f t="shared" si="97"/>
        <v>166.66666666666666</v>
      </c>
      <c r="AL57" s="228">
        <f t="shared" si="97"/>
        <v>166.66666666666666</v>
      </c>
      <c r="AM57" s="228">
        <f t="shared" si="97"/>
        <v>166.66666666666666</v>
      </c>
      <c r="AN57" s="228">
        <f t="shared" si="97"/>
        <v>166.66666666666666</v>
      </c>
      <c r="AO57" s="220">
        <f t="shared" si="62"/>
        <v>2000.0000000000002</v>
      </c>
    </row>
    <row r="58" spans="1:41" x14ac:dyDescent="0.25">
      <c r="A58" s="326" t="s">
        <v>94</v>
      </c>
      <c r="B58" s="225"/>
      <c r="C58" s="219">
        <v>0</v>
      </c>
      <c r="D58" s="241">
        <v>0</v>
      </c>
      <c r="E58" s="241">
        <f>+'[4]charges externes'!B17/12</f>
        <v>333.33333333333331</v>
      </c>
      <c r="F58" s="241">
        <f>+E58</f>
        <v>333.33333333333331</v>
      </c>
      <c r="G58" s="241">
        <f t="shared" si="86"/>
        <v>333.33333333333331</v>
      </c>
      <c r="H58" s="241">
        <f t="shared" si="91"/>
        <v>333.33333333333331</v>
      </c>
      <c r="I58" s="241">
        <f t="shared" si="91"/>
        <v>333.33333333333331</v>
      </c>
      <c r="J58" s="241">
        <f t="shared" si="87"/>
        <v>333.33333333333331</v>
      </c>
      <c r="K58" s="241">
        <f t="shared" si="92"/>
        <v>333.33333333333331</v>
      </c>
      <c r="L58" s="241">
        <f t="shared" si="92"/>
        <v>333.33333333333331</v>
      </c>
      <c r="M58" s="241">
        <f t="shared" si="88"/>
        <v>333.33333333333331</v>
      </c>
      <c r="N58" s="241">
        <f t="shared" si="93"/>
        <v>333.33333333333331</v>
      </c>
      <c r="O58" s="220">
        <f>SUM(D58:N58)</f>
        <v>3333.3333333333335</v>
      </c>
      <c r="P58" s="228">
        <f>+'[4]charges externes'!C17/12</f>
        <v>333.33333333333331</v>
      </c>
      <c r="Q58" s="228">
        <f t="shared" ref="Q58:AA58" si="98">+P58</f>
        <v>333.33333333333331</v>
      </c>
      <c r="R58" s="228">
        <f t="shared" si="98"/>
        <v>333.33333333333331</v>
      </c>
      <c r="S58" s="228">
        <f t="shared" si="98"/>
        <v>333.33333333333331</v>
      </c>
      <c r="T58" s="228">
        <f t="shared" si="98"/>
        <v>333.33333333333331</v>
      </c>
      <c r="U58" s="228">
        <f t="shared" si="98"/>
        <v>333.33333333333331</v>
      </c>
      <c r="V58" s="228">
        <f t="shared" si="98"/>
        <v>333.33333333333331</v>
      </c>
      <c r="W58" s="228">
        <f t="shared" si="98"/>
        <v>333.33333333333331</v>
      </c>
      <c r="X58" s="228">
        <f t="shared" si="98"/>
        <v>333.33333333333331</v>
      </c>
      <c r="Y58" s="228">
        <f t="shared" si="98"/>
        <v>333.33333333333331</v>
      </c>
      <c r="Z58" s="228">
        <f t="shared" si="98"/>
        <v>333.33333333333331</v>
      </c>
      <c r="AA58" s="228">
        <f t="shared" si="98"/>
        <v>333.33333333333331</v>
      </c>
      <c r="AB58" s="220">
        <f t="shared" si="60"/>
        <v>4000.0000000000005</v>
      </c>
      <c r="AC58" s="228">
        <f>+'[4]charges externes'!D17/12</f>
        <v>333.33333333333331</v>
      </c>
      <c r="AD58" s="228">
        <f t="shared" ref="AD58:AN58" si="99">+AC58</f>
        <v>333.33333333333331</v>
      </c>
      <c r="AE58" s="228">
        <f t="shared" si="99"/>
        <v>333.33333333333331</v>
      </c>
      <c r="AF58" s="228">
        <f t="shared" si="99"/>
        <v>333.33333333333331</v>
      </c>
      <c r="AG58" s="228">
        <f t="shared" si="99"/>
        <v>333.33333333333331</v>
      </c>
      <c r="AH58" s="228">
        <f t="shared" si="99"/>
        <v>333.33333333333331</v>
      </c>
      <c r="AI58" s="228">
        <f t="shared" si="99"/>
        <v>333.33333333333331</v>
      </c>
      <c r="AJ58" s="228">
        <f t="shared" si="99"/>
        <v>333.33333333333331</v>
      </c>
      <c r="AK58" s="228">
        <f t="shared" si="99"/>
        <v>333.33333333333331</v>
      </c>
      <c r="AL58" s="228">
        <f t="shared" si="99"/>
        <v>333.33333333333331</v>
      </c>
      <c r="AM58" s="228">
        <f t="shared" si="99"/>
        <v>333.33333333333331</v>
      </c>
      <c r="AN58" s="228">
        <f t="shared" si="99"/>
        <v>333.33333333333331</v>
      </c>
      <c r="AO58" s="220">
        <f t="shared" si="62"/>
        <v>4000.0000000000005</v>
      </c>
    </row>
    <row r="59" spans="1:41" x14ac:dyDescent="0.25">
      <c r="A59" s="326" t="s">
        <v>95</v>
      </c>
      <c r="B59" s="225"/>
      <c r="C59" s="241">
        <v>0</v>
      </c>
      <c r="D59" s="241">
        <f>+C59</f>
        <v>0</v>
      </c>
      <c r="E59" s="241">
        <f>+D59</f>
        <v>0</v>
      </c>
      <c r="F59" s="241">
        <f>+E59</f>
        <v>0</v>
      </c>
      <c r="G59" s="241">
        <f t="shared" si="86"/>
        <v>0</v>
      </c>
      <c r="H59" s="241">
        <f t="shared" si="91"/>
        <v>0</v>
      </c>
      <c r="I59" s="241">
        <f t="shared" si="91"/>
        <v>0</v>
      </c>
      <c r="J59" s="241">
        <f t="shared" si="87"/>
        <v>0</v>
      </c>
      <c r="K59" s="241">
        <f t="shared" si="92"/>
        <v>0</v>
      </c>
      <c r="L59" s="241">
        <f t="shared" si="92"/>
        <v>0</v>
      </c>
      <c r="M59" s="241">
        <f t="shared" si="88"/>
        <v>0</v>
      </c>
      <c r="N59" s="241">
        <f t="shared" si="93"/>
        <v>0</v>
      </c>
      <c r="O59" s="220">
        <f>SUM(C59:N59)</f>
        <v>0</v>
      </c>
      <c r="P59" s="228">
        <f>+'[4]charges externes'!C18/12</f>
        <v>333.33333333333331</v>
      </c>
      <c r="Q59" s="228">
        <f t="shared" ref="Q59:AA59" si="100">+P59</f>
        <v>333.33333333333331</v>
      </c>
      <c r="R59" s="228">
        <f t="shared" si="100"/>
        <v>333.33333333333331</v>
      </c>
      <c r="S59" s="228">
        <f t="shared" si="100"/>
        <v>333.33333333333331</v>
      </c>
      <c r="T59" s="228">
        <f t="shared" si="100"/>
        <v>333.33333333333331</v>
      </c>
      <c r="U59" s="228">
        <f t="shared" si="100"/>
        <v>333.33333333333331</v>
      </c>
      <c r="V59" s="228">
        <f t="shared" si="100"/>
        <v>333.33333333333331</v>
      </c>
      <c r="W59" s="228">
        <f t="shared" si="100"/>
        <v>333.33333333333331</v>
      </c>
      <c r="X59" s="228">
        <f t="shared" si="100"/>
        <v>333.33333333333331</v>
      </c>
      <c r="Y59" s="228">
        <f t="shared" si="100"/>
        <v>333.33333333333331</v>
      </c>
      <c r="Z59" s="228">
        <f t="shared" si="100"/>
        <v>333.33333333333331</v>
      </c>
      <c r="AA59" s="228">
        <f t="shared" si="100"/>
        <v>333.33333333333331</v>
      </c>
      <c r="AB59" s="220">
        <f t="shared" si="60"/>
        <v>4000.0000000000005</v>
      </c>
      <c r="AC59" s="228">
        <f>+'[4]charges externes'!D18/12</f>
        <v>333.33333333333331</v>
      </c>
      <c r="AD59" s="228">
        <f t="shared" ref="AD59:AN59" si="101">+AC59</f>
        <v>333.33333333333331</v>
      </c>
      <c r="AE59" s="228">
        <f t="shared" si="101"/>
        <v>333.33333333333331</v>
      </c>
      <c r="AF59" s="228">
        <f t="shared" si="101"/>
        <v>333.33333333333331</v>
      </c>
      <c r="AG59" s="228">
        <f t="shared" si="101"/>
        <v>333.33333333333331</v>
      </c>
      <c r="AH59" s="228">
        <f t="shared" si="101"/>
        <v>333.33333333333331</v>
      </c>
      <c r="AI59" s="228">
        <f t="shared" si="101"/>
        <v>333.33333333333331</v>
      </c>
      <c r="AJ59" s="228">
        <f t="shared" si="101"/>
        <v>333.33333333333331</v>
      </c>
      <c r="AK59" s="228">
        <f t="shared" si="101"/>
        <v>333.33333333333331</v>
      </c>
      <c r="AL59" s="228">
        <f t="shared" si="101"/>
        <v>333.33333333333331</v>
      </c>
      <c r="AM59" s="228">
        <f t="shared" si="101"/>
        <v>333.33333333333331</v>
      </c>
      <c r="AN59" s="228">
        <f t="shared" si="101"/>
        <v>333.33333333333331</v>
      </c>
      <c r="AO59" s="220">
        <f t="shared" si="62"/>
        <v>4000.0000000000005</v>
      </c>
    </row>
    <row r="60" spans="1:41" x14ac:dyDescent="0.25">
      <c r="A60" s="326" t="s">
        <v>96</v>
      </c>
      <c r="B60" s="225"/>
      <c r="C60" s="242">
        <f>+'[4]charges externes'!B19/12</f>
        <v>2225</v>
      </c>
      <c r="D60" s="242">
        <f>+C60</f>
        <v>2225</v>
      </c>
      <c r="E60" s="242">
        <f>+D60</f>
        <v>2225</v>
      </c>
      <c r="F60" s="242">
        <f>+E60</f>
        <v>2225</v>
      </c>
      <c r="G60" s="242">
        <f t="shared" si="86"/>
        <v>2225</v>
      </c>
      <c r="H60" s="242">
        <f t="shared" si="91"/>
        <v>2225</v>
      </c>
      <c r="I60" s="242">
        <f t="shared" si="91"/>
        <v>2225</v>
      </c>
      <c r="J60" s="242">
        <f t="shared" si="87"/>
        <v>2225</v>
      </c>
      <c r="K60" s="242">
        <f t="shared" si="92"/>
        <v>2225</v>
      </c>
      <c r="L60" s="242">
        <f t="shared" si="92"/>
        <v>2225</v>
      </c>
      <c r="M60" s="242">
        <f t="shared" si="88"/>
        <v>2225</v>
      </c>
      <c r="N60" s="241">
        <f t="shared" si="93"/>
        <v>2225</v>
      </c>
      <c r="O60" s="220">
        <f>SUM(C60:N60)</f>
        <v>26700</v>
      </c>
      <c r="P60" s="228">
        <f>+'[4]charges externes'!C19/12</f>
        <v>1000</v>
      </c>
      <c r="Q60" s="228">
        <f t="shared" ref="Q60:AA60" si="102">+P60</f>
        <v>1000</v>
      </c>
      <c r="R60" s="228">
        <f t="shared" si="102"/>
        <v>1000</v>
      </c>
      <c r="S60" s="228">
        <f t="shared" si="102"/>
        <v>1000</v>
      </c>
      <c r="T60" s="228">
        <f t="shared" si="102"/>
        <v>1000</v>
      </c>
      <c r="U60" s="228">
        <f t="shared" si="102"/>
        <v>1000</v>
      </c>
      <c r="V60" s="228">
        <f t="shared" si="102"/>
        <v>1000</v>
      </c>
      <c r="W60" s="228">
        <f t="shared" si="102"/>
        <v>1000</v>
      </c>
      <c r="X60" s="228">
        <f t="shared" si="102"/>
        <v>1000</v>
      </c>
      <c r="Y60" s="228">
        <f t="shared" si="102"/>
        <v>1000</v>
      </c>
      <c r="Z60" s="228">
        <f t="shared" si="102"/>
        <v>1000</v>
      </c>
      <c r="AA60" s="228">
        <f t="shared" si="102"/>
        <v>1000</v>
      </c>
      <c r="AB60" s="220">
        <f t="shared" si="60"/>
        <v>12000</v>
      </c>
      <c r="AC60" s="228">
        <f>+'[4]charges externes'!D19/12</f>
        <v>1000</v>
      </c>
      <c r="AD60" s="228">
        <f t="shared" ref="AD60:AN60" si="103">+AC60</f>
        <v>1000</v>
      </c>
      <c r="AE60" s="228">
        <f t="shared" si="103"/>
        <v>1000</v>
      </c>
      <c r="AF60" s="228">
        <f t="shared" si="103"/>
        <v>1000</v>
      </c>
      <c r="AG60" s="228">
        <f t="shared" si="103"/>
        <v>1000</v>
      </c>
      <c r="AH60" s="228">
        <f t="shared" si="103"/>
        <v>1000</v>
      </c>
      <c r="AI60" s="228">
        <f t="shared" si="103"/>
        <v>1000</v>
      </c>
      <c r="AJ60" s="228">
        <f t="shared" si="103"/>
        <v>1000</v>
      </c>
      <c r="AK60" s="228">
        <f t="shared" si="103"/>
        <v>1000</v>
      </c>
      <c r="AL60" s="228">
        <f t="shared" si="103"/>
        <v>1000</v>
      </c>
      <c r="AM60" s="228">
        <f t="shared" si="103"/>
        <v>1000</v>
      </c>
      <c r="AN60" s="228">
        <f t="shared" si="103"/>
        <v>1000</v>
      </c>
      <c r="AO60" s="220">
        <f t="shared" si="62"/>
        <v>12000</v>
      </c>
    </row>
    <row r="61" spans="1:41" x14ac:dyDescent="0.25">
      <c r="A61" s="326" t="s">
        <v>208</v>
      </c>
      <c r="B61" s="225"/>
      <c r="C61" s="242"/>
      <c r="D61" s="242"/>
      <c r="E61" s="242">
        <v>3150</v>
      </c>
      <c r="F61" s="242">
        <f>+'[4]charges externes'!$B$20/9</f>
        <v>3150</v>
      </c>
      <c r="G61" s="242">
        <f t="shared" si="86"/>
        <v>3150</v>
      </c>
      <c r="H61" s="242">
        <f t="shared" si="91"/>
        <v>3150</v>
      </c>
      <c r="I61" s="242">
        <f t="shared" si="91"/>
        <v>3150</v>
      </c>
      <c r="J61" s="242">
        <f t="shared" si="87"/>
        <v>3150</v>
      </c>
      <c r="K61" s="242">
        <f t="shared" si="92"/>
        <v>3150</v>
      </c>
      <c r="L61" s="242">
        <f t="shared" si="92"/>
        <v>3150</v>
      </c>
      <c r="M61" s="242">
        <f t="shared" si="88"/>
        <v>3150</v>
      </c>
      <c r="N61" s="241">
        <f t="shared" si="93"/>
        <v>3150</v>
      </c>
      <c r="O61" s="220">
        <f>SUM(C61:N61)</f>
        <v>31500</v>
      </c>
      <c r="P61" s="228">
        <f>+'[4]charges externes'!C20/12</f>
        <v>3150</v>
      </c>
      <c r="Q61" s="228">
        <f t="shared" ref="Q61:AA61" si="104">+P61</f>
        <v>3150</v>
      </c>
      <c r="R61" s="228">
        <f t="shared" si="104"/>
        <v>3150</v>
      </c>
      <c r="S61" s="228">
        <f t="shared" si="104"/>
        <v>3150</v>
      </c>
      <c r="T61" s="228">
        <f t="shared" si="104"/>
        <v>3150</v>
      </c>
      <c r="U61" s="228">
        <f t="shared" si="104"/>
        <v>3150</v>
      </c>
      <c r="V61" s="228">
        <f t="shared" si="104"/>
        <v>3150</v>
      </c>
      <c r="W61" s="228">
        <f t="shared" si="104"/>
        <v>3150</v>
      </c>
      <c r="X61" s="228">
        <f t="shared" si="104"/>
        <v>3150</v>
      </c>
      <c r="Y61" s="228">
        <f t="shared" si="104"/>
        <v>3150</v>
      </c>
      <c r="Z61" s="228">
        <f t="shared" si="104"/>
        <v>3150</v>
      </c>
      <c r="AA61" s="228">
        <f t="shared" si="104"/>
        <v>3150</v>
      </c>
      <c r="AB61" s="220">
        <f t="shared" si="60"/>
        <v>37800</v>
      </c>
      <c r="AC61" s="228">
        <f>+'[4]charges externes'!D20/12</f>
        <v>3150</v>
      </c>
      <c r="AD61" s="228">
        <f t="shared" ref="AD61:AN61" si="105">+AC61</f>
        <v>3150</v>
      </c>
      <c r="AE61" s="228">
        <f t="shared" si="105"/>
        <v>3150</v>
      </c>
      <c r="AF61" s="228">
        <f t="shared" si="105"/>
        <v>3150</v>
      </c>
      <c r="AG61" s="228">
        <f t="shared" si="105"/>
        <v>3150</v>
      </c>
      <c r="AH61" s="228">
        <f t="shared" si="105"/>
        <v>3150</v>
      </c>
      <c r="AI61" s="228">
        <f t="shared" si="105"/>
        <v>3150</v>
      </c>
      <c r="AJ61" s="228">
        <f t="shared" si="105"/>
        <v>3150</v>
      </c>
      <c r="AK61" s="228">
        <f t="shared" si="105"/>
        <v>3150</v>
      </c>
      <c r="AL61" s="228">
        <f t="shared" si="105"/>
        <v>3150</v>
      </c>
      <c r="AM61" s="228">
        <f t="shared" si="105"/>
        <v>3150</v>
      </c>
      <c r="AN61" s="228">
        <f t="shared" si="105"/>
        <v>3150</v>
      </c>
      <c r="AO61" s="220">
        <f t="shared" si="62"/>
        <v>37800</v>
      </c>
    </row>
    <row r="62" spans="1:41" x14ac:dyDescent="0.25">
      <c r="A62" s="326" t="s">
        <v>98</v>
      </c>
      <c r="B62" s="225"/>
      <c r="C62" s="242">
        <f>+'[4]charges externes'!B21/12</f>
        <v>3250</v>
      </c>
      <c r="D62" s="242">
        <f t="shared" ref="D62:F63" si="106">+C62</f>
        <v>3250</v>
      </c>
      <c r="E62" s="242">
        <f t="shared" si="106"/>
        <v>3250</v>
      </c>
      <c r="F62" s="242">
        <f t="shared" si="106"/>
        <v>3250</v>
      </c>
      <c r="G62" s="242">
        <f t="shared" si="86"/>
        <v>3250</v>
      </c>
      <c r="H62" s="242">
        <f t="shared" si="91"/>
        <v>3250</v>
      </c>
      <c r="I62" s="242">
        <f t="shared" si="91"/>
        <v>3250</v>
      </c>
      <c r="J62" s="242">
        <f t="shared" si="87"/>
        <v>3250</v>
      </c>
      <c r="K62" s="242">
        <f t="shared" si="92"/>
        <v>3250</v>
      </c>
      <c r="L62" s="242">
        <f t="shared" si="92"/>
        <v>3250</v>
      </c>
      <c r="M62" s="242">
        <f t="shared" si="88"/>
        <v>3250</v>
      </c>
      <c r="N62" s="241">
        <f t="shared" si="93"/>
        <v>3250</v>
      </c>
      <c r="O62" s="220">
        <f>SUM(C62:N62)</f>
        <v>39000</v>
      </c>
      <c r="P62" s="228">
        <f>+'[4]charges externes'!C21/12</f>
        <v>3300</v>
      </c>
      <c r="Q62" s="228">
        <f t="shared" ref="Q62:AA62" si="107">+P62</f>
        <v>3300</v>
      </c>
      <c r="R62" s="228">
        <f t="shared" si="107"/>
        <v>3300</v>
      </c>
      <c r="S62" s="228">
        <f t="shared" si="107"/>
        <v>3300</v>
      </c>
      <c r="T62" s="228">
        <f t="shared" si="107"/>
        <v>3300</v>
      </c>
      <c r="U62" s="228">
        <f t="shared" si="107"/>
        <v>3300</v>
      </c>
      <c r="V62" s="228">
        <f t="shared" si="107"/>
        <v>3300</v>
      </c>
      <c r="W62" s="228">
        <f t="shared" si="107"/>
        <v>3300</v>
      </c>
      <c r="X62" s="228">
        <f t="shared" si="107"/>
        <v>3300</v>
      </c>
      <c r="Y62" s="228">
        <f t="shared" si="107"/>
        <v>3300</v>
      </c>
      <c r="Z62" s="228">
        <f t="shared" si="107"/>
        <v>3300</v>
      </c>
      <c r="AA62" s="228">
        <f t="shared" si="107"/>
        <v>3300</v>
      </c>
      <c r="AB62" s="220">
        <f t="shared" si="60"/>
        <v>39600</v>
      </c>
      <c r="AC62" s="228">
        <f>+'[4]charges externes'!D21/12</f>
        <v>3300</v>
      </c>
      <c r="AD62" s="228">
        <f t="shared" ref="AD62:AN62" si="108">+AC62</f>
        <v>3300</v>
      </c>
      <c r="AE62" s="228">
        <f t="shared" si="108"/>
        <v>3300</v>
      </c>
      <c r="AF62" s="228">
        <f t="shared" si="108"/>
        <v>3300</v>
      </c>
      <c r="AG62" s="228">
        <f t="shared" si="108"/>
        <v>3300</v>
      </c>
      <c r="AH62" s="228">
        <f t="shared" si="108"/>
        <v>3300</v>
      </c>
      <c r="AI62" s="228">
        <f t="shared" si="108"/>
        <v>3300</v>
      </c>
      <c r="AJ62" s="228">
        <f t="shared" si="108"/>
        <v>3300</v>
      </c>
      <c r="AK62" s="228">
        <f t="shared" si="108"/>
        <v>3300</v>
      </c>
      <c r="AL62" s="228">
        <f t="shared" si="108"/>
        <v>3300</v>
      </c>
      <c r="AM62" s="228">
        <f t="shared" si="108"/>
        <v>3300</v>
      </c>
      <c r="AN62" s="228">
        <f t="shared" si="108"/>
        <v>3300</v>
      </c>
      <c r="AO62" s="220">
        <f t="shared" si="62"/>
        <v>39600</v>
      </c>
    </row>
    <row r="63" spans="1:41" x14ac:dyDescent="0.25">
      <c r="A63" s="326" t="s">
        <v>99</v>
      </c>
      <c r="B63" s="225"/>
      <c r="C63" s="242">
        <f>+'[4]charges externes'!B32/12</f>
        <v>1666.6666666666667</v>
      </c>
      <c r="D63" s="242">
        <f t="shared" si="106"/>
        <v>1666.6666666666667</v>
      </c>
      <c r="E63" s="242">
        <f t="shared" si="106"/>
        <v>1666.6666666666667</v>
      </c>
      <c r="F63" s="242">
        <f t="shared" si="106"/>
        <v>1666.6666666666667</v>
      </c>
      <c r="G63" s="242">
        <f t="shared" si="86"/>
        <v>1666.6666666666667</v>
      </c>
      <c r="H63" s="242">
        <f t="shared" si="91"/>
        <v>1666.6666666666667</v>
      </c>
      <c r="I63" s="242">
        <f t="shared" si="91"/>
        <v>1666.6666666666667</v>
      </c>
      <c r="J63" s="242">
        <f t="shared" si="87"/>
        <v>1666.6666666666667</v>
      </c>
      <c r="K63" s="242">
        <f t="shared" si="92"/>
        <v>1666.6666666666667</v>
      </c>
      <c r="L63" s="242">
        <f t="shared" si="92"/>
        <v>1666.6666666666667</v>
      </c>
      <c r="M63" s="242">
        <f t="shared" si="88"/>
        <v>1666.6666666666667</v>
      </c>
      <c r="N63" s="241">
        <f t="shared" si="93"/>
        <v>1666.6666666666667</v>
      </c>
      <c r="O63" s="220">
        <f>SUM(C63:N63)</f>
        <v>20000</v>
      </c>
      <c r="P63" s="228">
        <f>+'[4]charges externes'!C32/12</f>
        <v>3333.3333333333335</v>
      </c>
      <c r="Q63" s="228">
        <f t="shared" ref="Q63:AA63" si="109">+P63</f>
        <v>3333.3333333333335</v>
      </c>
      <c r="R63" s="228">
        <f t="shared" si="109"/>
        <v>3333.3333333333335</v>
      </c>
      <c r="S63" s="228">
        <f t="shared" si="109"/>
        <v>3333.3333333333335</v>
      </c>
      <c r="T63" s="228">
        <f t="shared" si="109"/>
        <v>3333.3333333333335</v>
      </c>
      <c r="U63" s="228">
        <f t="shared" si="109"/>
        <v>3333.3333333333335</v>
      </c>
      <c r="V63" s="228">
        <f t="shared" si="109"/>
        <v>3333.3333333333335</v>
      </c>
      <c r="W63" s="228">
        <f t="shared" si="109"/>
        <v>3333.3333333333335</v>
      </c>
      <c r="X63" s="228">
        <f t="shared" si="109"/>
        <v>3333.3333333333335</v>
      </c>
      <c r="Y63" s="228">
        <f t="shared" si="109"/>
        <v>3333.3333333333335</v>
      </c>
      <c r="Z63" s="228">
        <f t="shared" si="109"/>
        <v>3333.3333333333335</v>
      </c>
      <c r="AA63" s="228">
        <f t="shared" si="109"/>
        <v>3333.3333333333335</v>
      </c>
      <c r="AB63" s="220">
        <f t="shared" si="60"/>
        <v>40000</v>
      </c>
      <c r="AC63" s="228">
        <f>+'[4]charges externes'!D32/12</f>
        <v>3333.3333333333335</v>
      </c>
      <c r="AD63" s="228">
        <f t="shared" ref="AD63:AN63" si="110">+AC63</f>
        <v>3333.3333333333335</v>
      </c>
      <c r="AE63" s="228">
        <f t="shared" si="110"/>
        <v>3333.3333333333335</v>
      </c>
      <c r="AF63" s="228">
        <f t="shared" si="110"/>
        <v>3333.3333333333335</v>
      </c>
      <c r="AG63" s="228">
        <f t="shared" si="110"/>
        <v>3333.3333333333335</v>
      </c>
      <c r="AH63" s="228">
        <f t="shared" si="110"/>
        <v>3333.3333333333335</v>
      </c>
      <c r="AI63" s="228">
        <f t="shared" si="110"/>
        <v>3333.3333333333335</v>
      </c>
      <c r="AJ63" s="228">
        <f t="shared" si="110"/>
        <v>3333.3333333333335</v>
      </c>
      <c r="AK63" s="228">
        <f t="shared" si="110"/>
        <v>3333.3333333333335</v>
      </c>
      <c r="AL63" s="228">
        <f t="shared" si="110"/>
        <v>3333.3333333333335</v>
      </c>
      <c r="AM63" s="228">
        <f t="shared" si="110"/>
        <v>3333.3333333333335</v>
      </c>
      <c r="AN63" s="228">
        <f t="shared" si="110"/>
        <v>3333.3333333333335</v>
      </c>
      <c r="AO63" s="220">
        <f t="shared" si="62"/>
        <v>40000</v>
      </c>
    </row>
    <row r="64" spans="1:41" x14ac:dyDescent="0.25">
      <c r="A64" s="326" t="s">
        <v>100</v>
      </c>
      <c r="B64" s="225"/>
      <c r="C64" s="272"/>
      <c r="D64" s="242">
        <v>0</v>
      </c>
      <c r="E64" s="242">
        <f>+'[4]charges externes'!B33/12</f>
        <v>250</v>
      </c>
      <c r="F64" s="242">
        <f>+E64</f>
        <v>250</v>
      </c>
      <c r="G64" s="242">
        <f t="shared" si="86"/>
        <v>250</v>
      </c>
      <c r="H64" s="242">
        <f t="shared" si="91"/>
        <v>250</v>
      </c>
      <c r="I64" s="242">
        <f t="shared" si="91"/>
        <v>250</v>
      </c>
      <c r="J64" s="242">
        <f t="shared" si="87"/>
        <v>250</v>
      </c>
      <c r="K64" s="242">
        <f t="shared" si="92"/>
        <v>250</v>
      </c>
      <c r="L64" s="242">
        <f t="shared" si="92"/>
        <v>250</v>
      </c>
      <c r="M64" s="242">
        <f t="shared" si="88"/>
        <v>250</v>
      </c>
      <c r="N64" s="241">
        <f t="shared" si="93"/>
        <v>250</v>
      </c>
      <c r="O64" s="220">
        <f>SUM(D64:N64)</f>
        <v>2500</v>
      </c>
      <c r="P64" s="228">
        <f>+'[4]charges externes'!C33/12</f>
        <v>583.33333333333337</v>
      </c>
      <c r="Q64" s="228">
        <f t="shared" ref="Q64:AA64" si="111">+P64</f>
        <v>583.33333333333337</v>
      </c>
      <c r="R64" s="228">
        <f t="shared" si="111"/>
        <v>583.33333333333337</v>
      </c>
      <c r="S64" s="228">
        <f t="shared" si="111"/>
        <v>583.33333333333337</v>
      </c>
      <c r="T64" s="228">
        <f t="shared" si="111"/>
        <v>583.33333333333337</v>
      </c>
      <c r="U64" s="228">
        <f t="shared" si="111"/>
        <v>583.33333333333337</v>
      </c>
      <c r="V64" s="228">
        <f t="shared" si="111"/>
        <v>583.33333333333337</v>
      </c>
      <c r="W64" s="228">
        <f t="shared" si="111"/>
        <v>583.33333333333337</v>
      </c>
      <c r="X64" s="228">
        <f t="shared" si="111"/>
        <v>583.33333333333337</v>
      </c>
      <c r="Y64" s="228">
        <f t="shared" si="111"/>
        <v>583.33333333333337</v>
      </c>
      <c r="Z64" s="228">
        <f t="shared" si="111"/>
        <v>583.33333333333337</v>
      </c>
      <c r="AA64" s="228">
        <f t="shared" si="111"/>
        <v>583.33333333333337</v>
      </c>
      <c r="AB64" s="220">
        <f t="shared" si="60"/>
        <v>6999.9999999999991</v>
      </c>
      <c r="AC64" s="228">
        <f>+'[4]charges externes'!D33/12</f>
        <v>833.33333333333337</v>
      </c>
      <c r="AD64" s="228">
        <f t="shared" ref="AD64:AN64" si="112">+AC64</f>
        <v>833.33333333333337</v>
      </c>
      <c r="AE64" s="228">
        <f t="shared" si="112"/>
        <v>833.33333333333337</v>
      </c>
      <c r="AF64" s="228">
        <f t="shared" si="112"/>
        <v>833.33333333333337</v>
      </c>
      <c r="AG64" s="228">
        <f t="shared" si="112"/>
        <v>833.33333333333337</v>
      </c>
      <c r="AH64" s="228">
        <f t="shared" si="112"/>
        <v>833.33333333333337</v>
      </c>
      <c r="AI64" s="228">
        <f t="shared" si="112"/>
        <v>833.33333333333337</v>
      </c>
      <c r="AJ64" s="228">
        <f t="shared" si="112"/>
        <v>833.33333333333337</v>
      </c>
      <c r="AK64" s="228">
        <f t="shared" si="112"/>
        <v>833.33333333333337</v>
      </c>
      <c r="AL64" s="228">
        <f t="shared" si="112"/>
        <v>833.33333333333337</v>
      </c>
      <c r="AM64" s="228">
        <f t="shared" si="112"/>
        <v>833.33333333333337</v>
      </c>
      <c r="AN64" s="228">
        <f t="shared" si="112"/>
        <v>833.33333333333337</v>
      </c>
      <c r="AO64" s="220">
        <f t="shared" si="62"/>
        <v>10000</v>
      </c>
    </row>
    <row r="65" spans="1:41" x14ac:dyDescent="0.25">
      <c r="A65" s="326" t="s">
        <v>101</v>
      </c>
      <c r="B65" s="225"/>
      <c r="C65" s="242">
        <f>+'[4]charges externes'!B34/12</f>
        <v>144.16666666666666</v>
      </c>
      <c r="D65" s="242">
        <f>+C65</f>
        <v>144.16666666666666</v>
      </c>
      <c r="E65" s="242">
        <f>+D65</f>
        <v>144.16666666666666</v>
      </c>
      <c r="F65" s="242">
        <f>+E65</f>
        <v>144.16666666666666</v>
      </c>
      <c r="G65" s="242">
        <f t="shared" si="86"/>
        <v>144.16666666666666</v>
      </c>
      <c r="H65" s="242">
        <f t="shared" si="91"/>
        <v>144.16666666666666</v>
      </c>
      <c r="I65" s="242">
        <f t="shared" si="91"/>
        <v>144.16666666666666</v>
      </c>
      <c r="J65" s="242">
        <f t="shared" si="87"/>
        <v>144.16666666666666</v>
      </c>
      <c r="K65" s="242">
        <f t="shared" si="92"/>
        <v>144.16666666666666</v>
      </c>
      <c r="L65" s="242">
        <f t="shared" si="92"/>
        <v>144.16666666666666</v>
      </c>
      <c r="M65" s="242">
        <f t="shared" si="88"/>
        <v>144.16666666666666</v>
      </c>
      <c r="N65" s="241">
        <f t="shared" si="93"/>
        <v>144.16666666666666</v>
      </c>
      <c r="O65" s="220">
        <f>SUM(C65:N65)</f>
        <v>1730.0000000000002</v>
      </c>
      <c r="P65" s="228">
        <f>+'[4]charges externes'!C34/12</f>
        <v>144.16666666666666</v>
      </c>
      <c r="Q65" s="228">
        <f t="shared" ref="Q65:AA65" si="113">+P65</f>
        <v>144.16666666666666</v>
      </c>
      <c r="R65" s="228">
        <f t="shared" si="113"/>
        <v>144.16666666666666</v>
      </c>
      <c r="S65" s="228">
        <f t="shared" si="113"/>
        <v>144.16666666666666</v>
      </c>
      <c r="T65" s="228">
        <f t="shared" si="113"/>
        <v>144.16666666666666</v>
      </c>
      <c r="U65" s="228">
        <f t="shared" si="113"/>
        <v>144.16666666666666</v>
      </c>
      <c r="V65" s="228">
        <f t="shared" si="113"/>
        <v>144.16666666666666</v>
      </c>
      <c r="W65" s="228">
        <f t="shared" si="113"/>
        <v>144.16666666666666</v>
      </c>
      <c r="X65" s="228">
        <f t="shared" si="113"/>
        <v>144.16666666666666</v>
      </c>
      <c r="Y65" s="228">
        <f t="shared" si="113"/>
        <v>144.16666666666666</v>
      </c>
      <c r="Z65" s="228">
        <f t="shared" si="113"/>
        <v>144.16666666666666</v>
      </c>
      <c r="AA65" s="228">
        <f t="shared" si="113"/>
        <v>144.16666666666666</v>
      </c>
      <c r="AB65" s="220">
        <f t="shared" si="60"/>
        <v>1730.0000000000002</v>
      </c>
      <c r="AC65" s="228">
        <f>+'[4]charges externes'!D34/12</f>
        <v>144.16666666666666</v>
      </c>
      <c r="AD65" s="228">
        <f t="shared" ref="AD65:AN65" si="114">+AC65</f>
        <v>144.16666666666666</v>
      </c>
      <c r="AE65" s="228">
        <f t="shared" si="114"/>
        <v>144.16666666666666</v>
      </c>
      <c r="AF65" s="228">
        <f t="shared" si="114"/>
        <v>144.16666666666666</v>
      </c>
      <c r="AG65" s="228">
        <f t="shared" si="114"/>
        <v>144.16666666666666</v>
      </c>
      <c r="AH65" s="228">
        <f t="shared" si="114"/>
        <v>144.16666666666666</v>
      </c>
      <c r="AI65" s="228">
        <f t="shared" si="114"/>
        <v>144.16666666666666</v>
      </c>
      <c r="AJ65" s="228">
        <f t="shared" si="114"/>
        <v>144.16666666666666</v>
      </c>
      <c r="AK65" s="228">
        <f t="shared" si="114"/>
        <v>144.16666666666666</v>
      </c>
      <c r="AL65" s="228">
        <f t="shared" si="114"/>
        <v>144.16666666666666</v>
      </c>
      <c r="AM65" s="228">
        <f t="shared" si="114"/>
        <v>144.16666666666666</v>
      </c>
      <c r="AN65" s="228">
        <f t="shared" si="114"/>
        <v>144.16666666666666</v>
      </c>
      <c r="AO65" s="220">
        <f t="shared" si="62"/>
        <v>1730.0000000000002</v>
      </c>
    </row>
    <row r="66" spans="1:41" x14ac:dyDescent="0.25">
      <c r="A66" s="326" t="s">
        <v>102</v>
      </c>
      <c r="B66" s="225"/>
      <c r="C66" s="272">
        <v>0</v>
      </c>
      <c r="D66" s="242">
        <v>0</v>
      </c>
      <c r="E66" s="242">
        <f>+'[4]charges externes'!B35/12</f>
        <v>166.66666666666666</v>
      </c>
      <c r="F66" s="242">
        <f>+E66</f>
        <v>166.66666666666666</v>
      </c>
      <c r="G66" s="242">
        <f t="shared" si="86"/>
        <v>166.66666666666666</v>
      </c>
      <c r="H66" s="242">
        <f t="shared" si="91"/>
        <v>166.66666666666666</v>
      </c>
      <c r="I66" s="242">
        <f t="shared" si="91"/>
        <v>166.66666666666666</v>
      </c>
      <c r="J66" s="242">
        <f t="shared" si="87"/>
        <v>166.66666666666666</v>
      </c>
      <c r="K66" s="242">
        <f t="shared" si="92"/>
        <v>166.66666666666666</v>
      </c>
      <c r="L66" s="242">
        <f t="shared" si="92"/>
        <v>166.66666666666666</v>
      </c>
      <c r="M66" s="242">
        <f t="shared" si="88"/>
        <v>166.66666666666666</v>
      </c>
      <c r="N66" s="241">
        <f t="shared" si="93"/>
        <v>166.66666666666666</v>
      </c>
      <c r="O66" s="220">
        <f>SUM(D66:N66)</f>
        <v>1666.6666666666667</v>
      </c>
      <c r="P66" s="228">
        <f>+'[4]charges externes'!C35/12</f>
        <v>166.66666666666666</v>
      </c>
      <c r="Q66" s="228">
        <f t="shared" ref="Q66:AA66" si="115">+P66</f>
        <v>166.66666666666666</v>
      </c>
      <c r="R66" s="228">
        <f t="shared" si="115"/>
        <v>166.66666666666666</v>
      </c>
      <c r="S66" s="228">
        <f t="shared" si="115"/>
        <v>166.66666666666666</v>
      </c>
      <c r="T66" s="228">
        <f t="shared" si="115"/>
        <v>166.66666666666666</v>
      </c>
      <c r="U66" s="228">
        <f t="shared" si="115"/>
        <v>166.66666666666666</v>
      </c>
      <c r="V66" s="228">
        <f t="shared" si="115"/>
        <v>166.66666666666666</v>
      </c>
      <c r="W66" s="228">
        <f t="shared" si="115"/>
        <v>166.66666666666666</v>
      </c>
      <c r="X66" s="228">
        <f t="shared" si="115"/>
        <v>166.66666666666666</v>
      </c>
      <c r="Y66" s="228">
        <f t="shared" si="115"/>
        <v>166.66666666666666</v>
      </c>
      <c r="Z66" s="228">
        <f t="shared" si="115"/>
        <v>166.66666666666666</v>
      </c>
      <c r="AA66" s="228">
        <f t="shared" si="115"/>
        <v>166.66666666666666</v>
      </c>
      <c r="AB66" s="220">
        <f t="shared" si="60"/>
        <v>2000.0000000000002</v>
      </c>
      <c r="AC66" s="228">
        <f>+'[4]charges externes'!D35/12</f>
        <v>166.66666666666666</v>
      </c>
      <c r="AD66" s="228">
        <f t="shared" ref="AD66:AN66" si="116">+AC66</f>
        <v>166.66666666666666</v>
      </c>
      <c r="AE66" s="228">
        <f t="shared" si="116"/>
        <v>166.66666666666666</v>
      </c>
      <c r="AF66" s="228">
        <f t="shared" si="116"/>
        <v>166.66666666666666</v>
      </c>
      <c r="AG66" s="228">
        <f t="shared" si="116"/>
        <v>166.66666666666666</v>
      </c>
      <c r="AH66" s="228">
        <f t="shared" si="116"/>
        <v>166.66666666666666</v>
      </c>
      <c r="AI66" s="228">
        <f t="shared" si="116"/>
        <v>166.66666666666666</v>
      </c>
      <c r="AJ66" s="228">
        <f t="shared" si="116"/>
        <v>166.66666666666666</v>
      </c>
      <c r="AK66" s="228">
        <f t="shared" si="116"/>
        <v>166.66666666666666</v>
      </c>
      <c r="AL66" s="228">
        <f t="shared" si="116"/>
        <v>166.66666666666666</v>
      </c>
      <c r="AM66" s="228">
        <f t="shared" si="116"/>
        <v>166.66666666666666</v>
      </c>
      <c r="AN66" s="228">
        <f t="shared" si="116"/>
        <v>166.66666666666666</v>
      </c>
      <c r="AO66" s="220">
        <f t="shared" si="62"/>
        <v>2000.0000000000002</v>
      </c>
    </row>
    <row r="67" spans="1:41" x14ac:dyDescent="0.25">
      <c r="A67" s="271" t="s">
        <v>103</v>
      </c>
      <c r="B67" s="225"/>
      <c r="C67" s="272"/>
      <c r="D67" s="240">
        <v>0</v>
      </c>
      <c r="E67" s="240">
        <v>0</v>
      </c>
      <c r="F67" s="240">
        <v>0</v>
      </c>
      <c r="G67" s="240">
        <f t="shared" si="86"/>
        <v>0</v>
      </c>
      <c r="H67" s="240">
        <f t="shared" si="91"/>
        <v>0</v>
      </c>
      <c r="I67" s="240">
        <f t="shared" si="91"/>
        <v>0</v>
      </c>
      <c r="J67" s="240">
        <f t="shared" si="87"/>
        <v>0</v>
      </c>
      <c r="K67" s="240">
        <f>+J67</f>
        <v>0</v>
      </c>
      <c r="L67" s="240">
        <f>+[4]impots!$C$5</f>
        <v>5595</v>
      </c>
      <c r="M67" s="240">
        <v>0</v>
      </c>
      <c r="N67" s="228">
        <f t="shared" si="93"/>
        <v>0</v>
      </c>
      <c r="O67" s="220">
        <f>SUM(D67:N67)</f>
        <v>5595</v>
      </c>
      <c r="P67" s="228">
        <f>+[4]impots!$D$5/12</f>
        <v>1182.5833333333333</v>
      </c>
      <c r="Q67" s="228">
        <f t="shared" ref="Q67:AA67" si="117">+P67</f>
        <v>1182.5833333333333</v>
      </c>
      <c r="R67" s="228">
        <f t="shared" si="117"/>
        <v>1182.5833333333333</v>
      </c>
      <c r="S67" s="228">
        <f t="shared" si="117"/>
        <v>1182.5833333333333</v>
      </c>
      <c r="T67" s="228">
        <f t="shared" si="117"/>
        <v>1182.5833333333333</v>
      </c>
      <c r="U67" s="228">
        <f t="shared" si="117"/>
        <v>1182.5833333333333</v>
      </c>
      <c r="V67" s="228">
        <f t="shared" si="117"/>
        <v>1182.5833333333333</v>
      </c>
      <c r="W67" s="228">
        <f t="shared" si="117"/>
        <v>1182.5833333333333</v>
      </c>
      <c r="X67" s="228">
        <f t="shared" si="117"/>
        <v>1182.5833333333333</v>
      </c>
      <c r="Y67" s="228">
        <f t="shared" si="117"/>
        <v>1182.5833333333333</v>
      </c>
      <c r="Z67" s="228">
        <f t="shared" si="117"/>
        <v>1182.5833333333333</v>
      </c>
      <c r="AA67" s="228">
        <f t="shared" si="117"/>
        <v>1182.5833333333333</v>
      </c>
      <c r="AB67" s="220">
        <f t="shared" si="60"/>
        <v>14191.000000000002</v>
      </c>
      <c r="AC67" s="228">
        <f>+[4]impots!$E$5/12</f>
        <v>4978.75</v>
      </c>
      <c r="AD67" s="228">
        <f>+[4]impots!$E$5/12</f>
        <v>4978.75</v>
      </c>
      <c r="AE67" s="228">
        <f>+[4]impots!$E$5/12</f>
        <v>4978.75</v>
      </c>
      <c r="AF67" s="228">
        <f>+[4]impots!$E$5/12</f>
        <v>4978.75</v>
      </c>
      <c r="AG67" s="228">
        <f>+[4]impots!$E$5/12</f>
        <v>4978.75</v>
      </c>
      <c r="AH67" s="228">
        <f>+[4]impots!$E$5/12</f>
        <v>4978.75</v>
      </c>
      <c r="AI67" s="228">
        <f>+[4]impots!$E$5/12</f>
        <v>4978.75</v>
      </c>
      <c r="AJ67" s="228">
        <f>+[4]impots!$E$5/12</f>
        <v>4978.75</v>
      </c>
      <c r="AK67" s="228">
        <f>+[4]impots!$E$5/12</f>
        <v>4978.75</v>
      </c>
      <c r="AL67" s="228">
        <f>+[4]impots!$E$5/12</f>
        <v>4978.75</v>
      </c>
      <c r="AM67" s="228">
        <f>+[4]impots!$E$5/12</f>
        <v>4978.75</v>
      </c>
      <c r="AN67" s="228">
        <f>+[4]impots!$E$5/12</f>
        <v>4978.75</v>
      </c>
      <c r="AO67" s="220">
        <f t="shared" si="62"/>
        <v>59745</v>
      </c>
    </row>
    <row r="68" spans="1:41" x14ac:dyDescent="0.25">
      <c r="A68" s="233" t="s">
        <v>207</v>
      </c>
      <c r="B68" s="225"/>
      <c r="C68" s="232" t="e">
        <f t="shared" ref="C68:N68" si="118">C46/C15</f>
        <v>#DIV/0!</v>
      </c>
      <c r="D68" s="232" t="e">
        <f t="shared" si="118"/>
        <v>#DIV/0!</v>
      </c>
      <c r="E68" s="232" t="e">
        <f t="shared" si="118"/>
        <v>#DIV/0!</v>
      </c>
      <c r="F68" s="232" t="e">
        <f t="shared" si="118"/>
        <v>#DIV/0!</v>
      </c>
      <c r="G68" s="232">
        <f t="shared" si="118"/>
        <v>7.6386907451673453E-2</v>
      </c>
      <c r="H68" s="232" t="e">
        <f t="shared" si="118"/>
        <v>#DIV/0!</v>
      </c>
      <c r="I68" s="232">
        <f t="shared" si="118"/>
        <v>0.28384870585699656</v>
      </c>
      <c r="J68" s="232" t="e">
        <f t="shared" si="118"/>
        <v>#DIV/0!</v>
      </c>
      <c r="K68" s="232" t="e">
        <f t="shared" si="118"/>
        <v>#DIV/0!</v>
      </c>
      <c r="L68" s="232">
        <f t="shared" si="118"/>
        <v>6.2952975970421432E-2</v>
      </c>
      <c r="M68" s="232">
        <f t="shared" si="118"/>
        <v>0.1366333563754403</v>
      </c>
      <c r="N68" s="232" t="e">
        <f t="shared" si="118"/>
        <v>#DIV/0!</v>
      </c>
      <c r="O68" s="231">
        <f>+O46/O15</f>
        <v>0.26397692367288245</v>
      </c>
      <c r="P68" s="232">
        <f t="shared" ref="P68:AA68" si="119">P46/P15</f>
        <v>0.10689684763452711</v>
      </c>
      <c r="Q68" s="232">
        <f t="shared" si="119"/>
        <v>2.9853092418613683</v>
      </c>
      <c r="R68" s="232">
        <f t="shared" si="119"/>
        <v>4.5933110481161429E-2</v>
      </c>
      <c r="S68" s="232">
        <f t="shared" si="119"/>
        <v>3.9507441666818931E-2</v>
      </c>
      <c r="T68" s="232">
        <f t="shared" si="119"/>
        <v>6.6335956706574203E-2</v>
      </c>
      <c r="U68" s="232">
        <f t="shared" si="119"/>
        <v>9.5952553590582287E-2</v>
      </c>
      <c r="V68" s="232">
        <f t="shared" si="119"/>
        <v>0.10938558313648448</v>
      </c>
      <c r="W68" s="232">
        <f t="shared" si="119"/>
        <v>9.3216565386135999E-2</v>
      </c>
      <c r="X68" s="232">
        <f t="shared" si="119"/>
        <v>0.11294911054099091</v>
      </c>
      <c r="Y68" s="232">
        <f t="shared" si="119"/>
        <v>0.15224514326937327</v>
      </c>
      <c r="Z68" s="232" t="e">
        <f t="shared" si="119"/>
        <v>#DIV/0!</v>
      </c>
      <c r="AA68" s="232" t="e">
        <f t="shared" si="119"/>
        <v>#DIV/0!</v>
      </c>
      <c r="AB68" s="231" t="e">
        <f>AVERAGE(P68:AA68)</f>
        <v>#DIV/0!</v>
      </c>
      <c r="AC68" s="232">
        <f t="shared" ref="AC68:AN68" si="120">AC46/AC15</f>
        <v>4.3135946047275588E-2</v>
      </c>
      <c r="AD68" s="232">
        <f t="shared" si="120"/>
        <v>7.7743348285905525E-2</v>
      </c>
      <c r="AE68" s="232">
        <f t="shared" si="120"/>
        <v>5.3746506694975153E-2</v>
      </c>
      <c r="AF68" s="232">
        <f t="shared" si="120"/>
        <v>2.7130072495510152E-2</v>
      </c>
      <c r="AG68" s="232">
        <f t="shared" si="120"/>
        <v>3.882541935562156E-2</v>
      </c>
      <c r="AH68" s="232">
        <f t="shared" si="120"/>
        <v>4.0619810862572991E-2</v>
      </c>
      <c r="AI68" s="232">
        <f t="shared" si="120"/>
        <v>3.7293029175139839E-2</v>
      </c>
      <c r="AJ68" s="232">
        <f t="shared" si="120"/>
        <v>3.2377869890920778E-2</v>
      </c>
      <c r="AK68" s="232">
        <f t="shared" si="120"/>
        <v>4.6256669406129269E-2</v>
      </c>
      <c r="AL68" s="232">
        <f t="shared" si="120"/>
        <v>7.2409430622377313E-2</v>
      </c>
      <c r="AM68" s="232">
        <f t="shared" si="120"/>
        <v>0.12317405116254225</v>
      </c>
      <c r="AN68" s="232">
        <f t="shared" si="120"/>
        <v>0.29413358802942735</v>
      </c>
      <c r="AO68" s="231">
        <f>AVERAGE(AC68:AN68)</f>
        <v>7.3903811835699815E-2</v>
      </c>
    </row>
    <row r="69" spans="1:41" x14ac:dyDescent="0.25">
      <c r="A69" s="233"/>
      <c r="B69" s="225"/>
      <c r="C69" s="239"/>
      <c r="D69" s="239"/>
      <c r="E69" s="239"/>
      <c r="F69" s="239"/>
      <c r="G69" s="239"/>
      <c r="H69" s="239"/>
      <c r="I69" s="239"/>
      <c r="J69" s="239"/>
      <c r="K69" s="239"/>
      <c r="L69" s="239"/>
      <c r="M69" s="239"/>
      <c r="N69" s="239"/>
      <c r="O69" s="231"/>
      <c r="P69" s="239"/>
      <c r="Q69" s="239"/>
      <c r="R69" s="239"/>
      <c r="S69" s="239"/>
      <c r="T69" s="239"/>
      <c r="U69" s="239"/>
      <c r="V69" s="239"/>
      <c r="W69" s="239"/>
      <c r="X69" s="239"/>
      <c r="Y69" s="239"/>
      <c r="Z69" s="239"/>
      <c r="AA69" s="239"/>
      <c r="AB69" s="231"/>
      <c r="AC69" s="239"/>
      <c r="AD69" s="239"/>
      <c r="AE69" s="239"/>
      <c r="AF69" s="239"/>
      <c r="AG69" s="239"/>
      <c r="AH69" s="239"/>
      <c r="AI69" s="239"/>
      <c r="AJ69" s="239"/>
      <c r="AK69" s="239"/>
      <c r="AL69" s="239"/>
      <c r="AM69" s="239"/>
      <c r="AN69" s="239"/>
      <c r="AO69" s="231"/>
    </row>
    <row r="70" spans="1:41" x14ac:dyDescent="0.25">
      <c r="A70" s="237" t="s">
        <v>206</v>
      </c>
      <c r="B70" s="225"/>
      <c r="C70" s="236">
        <f t="shared" ref="C70:N70" si="121">SUM(C47:C67)+SUM(C36:C43)</f>
        <v>14287.499999999998</v>
      </c>
      <c r="D70" s="236">
        <f t="shared" si="121"/>
        <v>14287.499999999998</v>
      </c>
      <c r="E70" s="236">
        <f t="shared" si="121"/>
        <v>19479.166666666664</v>
      </c>
      <c r="F70" s="236">
        <f t="shared" si="121"/>
        <v>23546.328828828824</v>
      </c>
      <c r="G70" s="236">
        <f t="shared" si="121"/>
        <v>23546.328828828824</v>
      </c>
      <c r="H70" s="236">
        <f t="shared" si="121"/>
        <v>24831.328828828828</v>
      </c>
      <c r="I70" s="236">
        <f t="shared" si="121"/>
        <v>23546.328828828824</v>
      </c>
      <c r="J70" s="236">
        <f t="shared" si="121"/>
        <v>23546.328828828824</v>
      </c>
      <c r="K70" s="236">
        <f t="shared" si="121"/>
        <v>24671.328828828828</v>
      </c>
      <c r="L70" s="236">
        <f t="shared" si="121"/>
        <v>28611.328828828824</v>
      </c>
      <c r="M70" s="236">
        <f t="shared" si="121"/>
        <v>23016.328828828824</v>
      </c>
      <c r="N70" s="236">
        <f t="shared" si="121"/>
        <v>24141.328828828828</v>
      </c>
      <c r="O70" s="235">
        <f>SUM(C70:N70)</f>
        <v>267511.12612612604</v>
      </c>
      <c r="P70" s="236">
        <f t="shared" ref="P70:AA70" si="122">SUM(P47:P67)+SUM(P36:P43)</f>
        <v>25755.546828828832</v>
      </c>
      <c r="Q70" s="236">
        <f t="shared" si="122"/>
        <v>25755.546828828832</v>
      </c>
      <c r="R70" s="236">
        <f t="shared" si="122"/>
        <v>25755.546828828832</v>
      </c>
      <c r="S70" s="236">
        <f t="shared" si="122"/>
        <v>26285.546828828832</v>
      </c>
      <c r="T70" s="236">
        <f t="shared" si="122"/>
        <v>26285.546828828832</v>
      </c>
      <c r="U70" s="236">
        <f t="shared" si="122"/>
        <v>26445.546828828832</v>
      </c>
      <c r="V70" s="236">
        <f t="shared" si="122"/>
        <v>26285.546828828832</v>
      </c>
      <c r="W70" s="236">
        <f t="shared" si="122"/>
        <v>26285.546828828832</v>
      </c>
      <c r="X70" s="236">
        <f t="shared" si="122"/>
        <v>26285.546828828832</v>
      </c>
      <c r="Y70" s="236">
        <f t="shared" si="122"/>
        <v>25755.546828828832</v>
      </c>
      <c r="Z70" s="236">
        <f t="shared" si="122"/>
        <v>25755.546828828832</v>
      </c>
      <c r="AA70" s="236">
        <f t="shared" si="122"/>
        <v>25755.546828828832</v>
      </c>
      <c r="AB70" s="235">
        <f>SUM(P70:AA70)</f>
        <v>312406.56194594601</v>
      </c>
      <c r="AC70" s="236">
        <f t="shared" ref="AC70:AN70" si="123">SUM(AC47:AC67)+SUM(AC36:AC43)</f>
        <v>32064.096378378381</v>
      </c>
      <c r="AD70" s="236">
        <f t="shared" si="123"/>
        <v>32064.096378378381</v>
      </c>
      <c r="AE70" s="236">
        <f t="shared" si="123"/>
        <v>32064.096378378381</v>
      </c>
      <c r="AF70" s="236">
        <f t="shared" si="123"/>
        <v>32594.096378378381</v>
      </c>
      <c r="AG70" s="236">
        <f t="shared" si="123"/>
        <v>32594.096378378381</v>
      </c>
      <c r="AH70" s="236">
        <f t="shared" si="123"/>
        <v>32754.096378378381</v>
      </c>
      <c r="AI70" s="236">
        <f t="shared" si="123"/>
        <v>32594.096378378381</v>
      </c>
      <c r="AJ70" s="236">
        <f t="shared" si="123"/>
        <v>32594.096378378381</v>
      </c>
      <c r="AK70" s="236">
        <f t="shared" si="123"/>
        <v>32594.096378378381</v>
      </c>
      <c r="AL70" s="236">
        <f t="shared" si="123"/>
        <v>32064.096378378381</v>
      </c>
      <c r="AM70" s="236">
        <f t="shared" si="123"/>
        <v>32064.096378378381</v>
      </c>
      <c r="AN70" s="236">
        <f t="shared" si="123"/>
        <v>32064.096378378381</v>
      </c>
      <c r="AO70" s="235">
        <f>SUM(AC70:AN70)</f>
        <v>388109.15654054069</v>
      </c>
    </row>
    <row r="71" spans="1:41" x14ac:dyDescent="0.25">
      <c r="O71" s="238"/>
      <c r="AB71" s="238"/>
      <c r="AO71" s="238"/>
    </row>
    <row r="72" spans="1:41" x14ac:dyDescent="0.25">
      <c r="A72" s="237" t="s">
        <v>205</v>
      </c>
      <c r="B72" s="225"/>
      <c r="C72" s="236">
        <f t="shared" ref="C72:AA72" si="124">C70+C19</f>
        <v>14847.499999999998</v>
      </c>
      <c r="D72" s="236">
        <f t="shared" si="124"/>
        <v>13547.499999999998</v>
      </c>
      <c r="E72" s="236">
        <f t="shared" si="124"/>
        <v>23279.166666666664</v>
      </c>
      <c r="F72" s="236">
        <f t="shared" si="124"/>
        <v>27546.328828828824</v>
      </c>
      <c r="G72" s="236">
        <f t="shared" si="124"/>
        <v>27546.328828828824</v>
      </c>
      <c r="H72" s="236">
        <f t="shared" si="124"/>
        <v>42641.981002741872</v>
      </c>
      <c r="I72" s="236">
        <f t="shared" si="124"/>
        <v>170084.27810419115</v>
      </c>
      <c r="J72" s="236">
        <f t="shared" si="124"/>
        <v>113946.37955346651</v>
      </c>
      <c r="K72" s="236">
        <f t="shared" si="124"/>
        <v>157462.68390129259</v>
      </c>
      <c r="L72" s="236">
        <f t="shared" si="124"/>
        <v>74522.546220133168</v>
      </c>
      <c r="M72" s="236">
        <f t="shared" si="124"/>
        <v>112957.30708969838</v>
      </c>
      <c r="N72" s="236">
        <f t="shared" si="124"/>
        <v>150528.50998824913</v>
      </c>
      <c r="O72" s="220">
        <f t="shared" si="124"/>
        <v>928910.5101840971</v>
      </c>
      <c r="P72" s="236">
        <f t="shared" si="124"/>
        <v>120686.08868679314</v>
      </c>
      <c r="Q72" s="236">
        <f t="shared" si="124"/>
        <v>142292.88007041466</v>
      </c>
      <c r="R72" s="236">
        <f t="shared" si="124"/>
        <v>263714.04911114089</v>
      </c>
      <c r="S72" s="236">
        <f t="shared" si="124"/>
        <v>272701.16212676204</v>
      </c>
      <c r="T72" s="236">
        <f t="shared" si="124"/>
        <v>286687.84062001342</v>
      </c>
      <c r="U72" s="236">
        <f t="shared" si="124"/>
        <v>148541.03511537256</v>
      </c>
      <c r="V72" s="236">
        <f t="shared" si="124"/>
        <v>191521.86795132305</v>
      </c>
      <c r="W72" s="236">
        <f t="shared" si="124"/>
        <v>216958.04512332304</v>
      </c>
      <c r="X72" s="236">
        <f t="shared" si="124"/>
        <v>186895.30380077375</v>
      </c>
      <c r="Y72" s="236">
        <f t="shared" si="124"/>
        <v>149709.40850303948</v>
      </c>
      <c r="Z72" s="236">
        <f t="shared" si="124"/>
        <v>44348.880162162168</v>
      </c>
      <c r="AA72" s="236">
        <f t="shared" si="124"/>
        <v>44348.880162162168</v>
      </c>
      <c r="AB72" s="220">
        <f>SUM(P72:AA72)</f>
        <v>2068405.4414332807</v>
      </c>
      <c r="AC72" s="236">
        <f t="shared" ref="AC72:AO72" si="125">AC70+AC19</f>
        <v>70497.646099872771</v>
      </c>
      <c r="AD72" s="236">
        <f t="shared" si="125"/>
        <v>282844.44825245498</v>
      </c>
      <c r="AE72" s="236">
        <f t="shared" si="125"/>
        <v>436507.90107037837</v>
      </c>
      <c r="AF72" s="236">
        <f t="shared" si="125"/>
        <v>732813.5867580187</v>
      </c>
      <c r="AG72" s="236">
        <f t="shared" si="125"/>
        <v>556314.84005532798</v>
      </c>
      <c r="AH72" s="236">
        <f t="shared" si="125"/>
        <v>475696.02447701507</v>
      </c>
      <c r="AI72" s="236">
        <f t="shared" si="125"/>
        <v>557071.31950654322</v>
      </c>
      <c r="AJ72" s="236">
        <f t="shared" si="125"/>
        <v>643302.11905243073</v>
      </c>
      <c r="AK72" s="236">
        <f t="shared" si="125"/>
        <v>460862.06778298802</v>
      </c>
      <c r="AL72" s="236">
        <f t="shared" si="125"/>
        <v>332010.86623175559</v>
      </c>
      <c r="AM72" s="236">
        <f t="shared" si="125"/>
        <v>244834.8338377031</v>
      </c>
      <c r="AN72" s="236">
        <f t="shared" si="125"/>
        <v>136513.78366237838</v>
      </c>
      <c r="AO72" s="235">
        <f t="shared" si="125"/>
        <v>4929269.4367868667</v>
      </c>
    </row>
    <row r="73" spans="1:41" x14ac:dyDescent="0.25">
      <c r="A73" s="227"/>
      <c r="B73" s="225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0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226"/>
      <c r="AC73" s="225"/>
      <c r="AD73" s="225"/>
      <c r="AE73" s="225"/>
      <c r="AF73" s="225"/>
      <c r="AG73" s="225"/>
      <c r="AH73" s="225"/>
      <c r="AI73" s="225"/>
      <c r="AJ73" s="225"/>
      <c r="AK73" s="225"/>
      <c r="AL73" s="225"/>
      <c r="AM73" s="225"/>
      <c r="AN73" s="225"/>
      <c r="AO73" s="224"/>
    </row>
    <row r="74" spans="1:41" ht="15.75" thickBot="1" x14ac:dyDescent="0.3">
      <c r="A74" s="234" t="s">
        <v>204</v>
      </c>
      <c r="B74" s="222"/>
      <c r="C74" s="221">
        <f t="shared" ref="C74:AA74" si="126">C15-C72</f>
        <v>-14847.499999999998</v>
      </c>
      <c r="D74" s="221">
        <f t="shared" si="126"/>
        <v>-13547.499999999998</v>
      </c>
      <c r="E74" s="221">
        <f t="shared" si="126"/>
        <v>-23279.166666666664</v>
      </c>
      <c r="F74" s="221">
        <f t="shared" si="126"/>
        <v>-27546.328828828824</v>
      </c>
      <c r="G74" s="221">
        <f t="shared" si="126"/>
        <v>161480.39248204077</v>
      </c>
      <c r="H74" s="221">
        <f t="shared" si="126"/>
        <v>-42641.981002741872</v>
      </c>
      <c r="I74" s="221">
        <f t="shared" si="126"/>
        <v>-119215.04259694477</v>
      </c>
      <c r="J74" s="221">
        <f t="shared" si="126"/>
        <v>-113946.37955346651</v>
      </c>
      <c r="K74" s="221">
        <f t="shared" si="126"/>
        <v>-157462.68390129259</v>
      </c>
      <c r="L74" s="221">
        <f t="shared" si="126"/>
        <v>243717.63794653359</v>
      </c>
      <c r="M74" s="221">
        <f t="shared" si="126"/>
        <v>-7279.1107128867734</v>
      </c>
      <c r="N74" s="221">
        <f t="shared" si="126"/>
        <v>-150528.50998824913</v>
      </c>
      <c r="O74" s="220">
        <f t="shared" si="126"/>
        <v>-265096.17282250279</v>
      </c>
      <c r="P74" s="221">
        <f t="shared" si="126"/>
        <v>50866.366530262836</v>
      </c>
      <c r="Q74" s="221">
        <f t="shared" si="126"/>
        <v>-136149.99329355516</v>
      </c>
      <c r="R74" s="221">
        <f t="shared" si="126"/>
        <v>135527.72821608395</v>
      </c>
      <c r="S74" s="221">
        <f t="shared" si="126"/>
        <v>191475.10171035025</v>
      </c>
      <c r="T74" s="221">
        <f t="shared" si="126"/>
        <v>-10240.230950591911</v>
      </c>
      <c r="U74" s="221">
        <f t="shared" si="126"/>
        <v>42578.596206941496</v>
      </c>
      <c r="V74" s="221">
        <f t="shared" si="126"/>
        <v>-23872.565905868483</v>
      </c>
      <c r="W74" s="221">
        <f t="shared" si="126"/>
        <v>-20228.884477868472</v>
      </c>
      <c r="X74" s="221">
        <f t="shared" si="126"/>
        <v>-24535.311952839867</v>
      </c>
      <c r="Y74" s="221">
        <f t="shared" si="126"/>
        <v>-29256.195527832839</v>
      </c>
      <c r="Z74" s="221">
        <f t="shared" si="126"/>
        <v>-44348.880162162168</v>
      </c>
      <c r="AA74" s="221">
        <f t="shared" si="126"/>
        <v>-44348.880162162168</v>
      </c>
      <c r="AB74" s="220">
        <f>SUM(P74:AA74)</f>
        <v>87466.850230757453</v>
      </c>
      <c r="AC74" s="221">
        <f t="shared" ref="AC74:AO74" si="127">AC15-AC72</f>
        <v>481275.34559282381</v>
      </c>
      <c r="AD74" s="221">
        <f t="shared" si="127"/>
        <v>23307.145739478176</v>
      </c>
      <c r="AE74" s="221">
        <f t="shared" si="127"/>
        <v>6334.8335296215373</v>
      </c>
      <c r="AF74" s="221">
        <f t="shared" si="127"/>
        <v>144487.79177456535</v>
      </c>
      <c r="AG74" s="221">
        <f t="shared" si="127"/>
        <v>56717.817286821199</v>
      </c>
      <c r="AH74" s="221">
        <f t="shared" si="127"/>
        <v>110255.7437507002</v>
      </c>
      <c r="AI74" s="221">
        <f t="shared" si="127"/>
        <v>81151.172107688966</v>
      </c>
      <c r="AJ74" s="221">
        <f t="shared" si="127"/>
        <v>91806.462215733947</v>
      </c>
      <c r="AK74" s="221">
        <f t="shared" si="127"/>
        <v>53685.354363367369</v>
      </c>
      <c r="AL74" s="221">
        <f t="shared" si="127"/>
        <v>-3307.135303031886</v>
      </c>
      <c r="AM74" s="221">
        <f t="shared" si="127"/>
        <v>-51602.170177144202</v>
      </c>
      <c r="AN74" s="221">
        <f t="shared" si="127"/>
        <v>-55593.919462378399</v>
      </c>
      <c r="AO74" s="220">
        <f t="shared" si="127"/>
        <v>938518.44141824637</v>
      </c>
    </row>
    <row r="75" spans="1:41" x14ac:dyDescent="0.25">
      <c r="A75" s="233" t="s">
        <v>203</v>
      </c>
      <c r="B75" s="225"/>
      <c r="C75" s="232" t="e">
        <f t="shared" ref="C75:N75" si="128">C74/C15</f>
        <v>#DIV/0!</v>
      </c>
      <c r="D75" s="232" t="e">
        <f t="shared" si="128"/>
        <v>#DIV/0!</v>
      </c>
      <c r="E75" s="232" t="e">
        <f t="shared" si="128"/>
        <v>#DIV/0!</v>
      </c>
      <c r="F75" s="232" t="e">
        <f t="shared" si="128"/>
        <v>#DIV/0!</v>
      </c>
      <c r="G75" s="232">
        <f t="shared" si="128"/>
        <v>0.85427283170443047</v>
      </c>
      <c r="H75" s="232" t="e">
        <f t="shared" si="128"/>
        <v>#DIV/0!</v>
      </c>
      <c r="I75" s="232">
        <f t="shared" si="128"/>
        <v>-2.3435587621512899</v>
      </c>
      <c r="J75" s="232" t="e">
        <f t="shared" si="128"/>
        <v>#DIV/0!</v>
      </c>
      <c r="K75" s="232" t="e">
        <f t="shared" si="128"/>
        <v>#DIV/0!</v>
      </c>
      <c r="L75" s="232">
        <f t="shared" si="128"/>
        <v>0.76582923864478192</v>
      </c>
      <c r="M75" s="232">
        <f t="shared" si="128"/>
        <v>-6.8879967320146174E-2</v>
      </c>
      <c r="N75" s="232" t="e">
        <f t="shared" si="128"/>
        <v>#DIV/0!</v>
      </c>
      <c r="O75" s="231" t="e">
        <f>AVERAGE(C75:N75)</f>
        <v>#DIV/0!</v>
      </c>
      <c r="P75" s="232">
        <f t="shared" ref="P75:AA75" si="129">P74/P15</f>
        <v>0.29650619961051794</v>
      </c>
      <c r="Q75" s="232">
        <f t="shared" si="129"/>
        <v>-22.163845475133538</v>
      </c>
      <c r="R75" s="232">
        <f t="shared" si="129"/>
        <v>0.33946279150291253</v>
      </c>
      <c r="S75" s="232">
        <f t="shared" si="129"/>
        <v>0.41250515510535085</v>
      </c>
      <c r="T75" s="232">
        <f t="shared" si="129"/>
        <v>-3.704221195052932E-2</v>
      </c>
      <c r="U75" s="232">
        <f t="shared" si="129"/>
        <v>0.22278504783809855</v>
      </c>
      <c r="V75" s="232">
        <f t="shared" si="129"/>
        <v>-0.14239585619864939</v>
      </c>
      <c r="W75" s="232">
        <f t="shared" si="129"/>
        <v>-0.10282606000807873</v>
      </c>
      <c r="X75" s="232">
        <f t="shared" si="129"/>
        <v>-0.15111673555526908</v>
      </c>
      <c r="Y75" s="232">
        <f t="shared" si="129"/>
        <v>-0.24288431005866781</v>
      </c>
      <c r="Z75" s="232" t="e">
        <f t="shared" si="129"/>
        <v>#DIV/0!</v>
      </c>
      <c r="AA75" s="232" t="e">
        <f t="shared" si="129"/>
        <v>#DIV/0!</v>
      </c>
      <c r="AB75" s="231" t="e">
        <f>AVERAGE(P75:AA75)</f>
        <v>#DIV/0!</v>
      </c>
      <c r="AC75" s="232">
        <f t="shared" ref="AC75:AN75" si="130">AC74/AC15</f>
        <v>0.87223432976738446</v>
      </c>
      <c r="AD75" s="232">
        <f t="shared" si="130"/>
        <v>7.6129428024772267E-2</v>
      </c>
      <c r="AE75" s="232">
        <f t="shared" si="130"/>
        <v>1.4304928216432205E-2</v>
      </c>
      <c r="AF75" s="232">
        <f t="shared" si="130"/>
        <v>0.16469573092002032</v>
      </c>
      <c r="AG75" s="232">
        <f t="shared" si="130"/>
        <v>9.2520058446357023E-2</v>
      </c>
      <c r="AH75" s="232">
        <f t="shared" si="130"/>
        <v>0.18816522063613281</v>
      </c>
      <c r="AI75" s="232">
        <f t="shared" si="130"/>
        <v>0.1271518524871105</v>
      </c>
      <c r="AJ75" s="232">
        <f t="shared" si="130"/>
        <v>0.1248883016130148</v>
      </c>
      <c r="AK75" s="232">
        <f t="shared" si="130"/>
        <v>0.1043350953726037</v>
      </c>
      <c r="AL75" s="232">
        <f t="shared" si="130"/>
        <v>-1.0061143187173032E-2</v>
      </c>
      <c r="AM75" s="232">
        <f t="shared" si="130"/>
        <v>-0.26704682945214103</v>
      </c>
      <c r="AN75" s="232">
        <f t="shared" si="130"/>
        <v>-0.68702437914346393</v>
      </c>
      <c r="AO75" s="231">
        <f>AVERAGE(AC75:AN75)</f>
        <v>6.6691049475087513E-2</v>
      </c>
    </row>
    <row r="76" spans="1:41" x14ac:dyDescent="0.25">
      <c r="A76" s="230"/>
      <c r="B76" s="225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6"/>
      <c r="P76" s="225"/>
      <c r="Q76" s="225"/>
      <c r="R76" s="225"/>
      <c r="S76" s="225"/>
      <c r="T76" s="225"/>
      <c r="U76" s="225"/>
      <c r="V76" s="225"/>
      <c r="W76" s="225"/>
      <c r="X76" s="225"/>
      <c r="Y76" s="225"/>
      <c r="Z76" s="225"/>
      <c r="AA76" s="225"/>
      <c r="AB76" s="224"/>
      <c r="AC76" s="225"/>
      <c r="AD76" s="225"/>
      <c r="AE76" s="225"/>
      <c r="AF76" s="225"/>
      <c r="AG76" s="225"/>
      <c r="AH76" s="225"/>
      <c r="AI76" s="225"/>
      <c r="AJ76" s="225"/>
      <c r="AK76" s="225"/>
      <c r="AL76" s="225"/>
      <c r="AM76" s="225"/>
      <c r="AN76" s="225"/>
      <c r="AO76" s="224"/>
    </row>
    <row r="77" spans="1:41" x14ac:dyDescent="0.25">
      <c r="A77" s="227" t="s">
        <v>202</v>
      </c>
      <c r="B77" s="225"/>
      <c r="C77" s="228">
        <v>0</v>
      </c>
      <c r="D77" s="228">
        <f t="shared" ref="D77:N77" si="131">+C77</f>
        <v>0</v>
      </c>
      <c r="E77" s="228">
        <f t="shared" si="131"/>
        <v>0</v>
      </c>
      <c r="F77" s="228">
        <f t="shared" si="131"/>
        <v>0</v>
      </c>
      <c r="G77" s="228">
        <f t="shared" si="131"/>
        <v>0</v>
      </c>
      <c r="H77" s="228">
        <f t="shared" si="131"/>
        <v>0</v>
      </c>
      <c r="I77" s="228">
        <f t="shared" si="131"/>
        <v>0</v>
      </c>
      <c r="J77" s="228">
        <f t="shared" si="131"/>
        <v>0</v>
      </c>
      <c r="K77" s="228">
        <f t="shared" si="131"/>
        <v>0</v>
      </c>
      <c r="L77" s="228">
        <f t="shared" si="131"/>
        <v>0</v>
      </c>
      <c r="M77" s="228">
        <f t="shared" si="131"/>
        <v>0</v>
      </c>
      <c r="N77" s="228">
        <f t="shared" si="131"/>
        <v>0</v>
      </c>
      <c r="O77" s="220">
        <f>SUM(C77:N77)</f>
        <v>0</v>
      </c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0"/>
      <c r="AC77" s="228"/>
      <c r="AD77" s="228"/>
      <c r="AE77" s="228"/>
      <c r="AF77" s="228"/>
      <c r="AG77" s="228"/>
      <c r="AH77" s="228"/>
      <c r="AI77" s="228"/>
      <c r="AJ77" s="228"/>
      <c r="AK77" s="228"/>
      <c r="AL77" s="228"/>
      <c r="AM77" s="228"/>
      <c r="AN77" s="228"/>
      <c r="AO77" s="220"/>
    </row>
    <row r="78" spans="1:41" x14ac:dyDescent="0.25">
      <c r="A78" s="227" t="s">
        <v>201</v>
      </c>
      <c r="B78" s="225"/>
      <c r="C78" s="228">
        <v>0</v>
      </c>
      <c r="D78" s="228">
        <v>0</v>
      </c>
      <c r="E78" s="228">
        <v>0</v>
      </c>
      <c r="F78" s="228">
        <v>0</v>
      </c>
      <c r="G78" s="228">
        <v>0</v>
      </c>
      <c r="H78" s="228">
        <v>0</v>
      </c>
      <c r="I78" s="228">
        <v>0</v>
      </c>
      <c r="J78" s="228">
        <v>0</v>
      </c>
      <c r="K78" s="228">
        <v>0</v>
      </c>
      <c r="L78" s="228">
        <v>0</v>
      </c>
      <c r="M78" s="228">
        <v>0</v>
      </c>
      <c r="N78" s="228">
        <v>0</v>
      </c>
      <c r="O78" s="220">
        <f>SUM(C78:N78)</f>
        <v>0</v>
      </c>
      <c r="P78" s="228">
        <v>0</v>
      </c>
      <c r="Q78" s="228">
        <v>0</v>
      </c>
      <c r="R78" s="228">
        <v>0</v>
      </c>
      <c r="S78" s="228">
        <v>0</v>
      </c>
      <c r="T78" s="228">
        <v>0</v>
      </c>
      <c r="U78" s="228">
        <v>0</v>
      </c>
      <c r="V78" s="228">
        <v>0</v>
      </c>
      <c r="W78" s="228">
        <v>0</v>
      </c>
      <c r="X78" s="228">
        <v>0</v>
      </c>
      <c r="Y78" s="228">
        <v>0</v>
      </c>
      <c r="Z78" s="228">
        <v>0</v>
      </c>
      <c r="AA78" s="228">
        <v>0</v>
      </c>
      <c r="AB78" s="220">
        <f>SUM(P78:AA78)</f>
        <v>0</v>
      </c>
      <c r="AC78" s="229">
        <v>0</v>
      </c>
      <c r="AD78" s="229">
        <v>0</v>
      </c>
      <c r="AE78" s="229">
        <v>0</v>
      </c>
      <c r="AF78" s="229">
        <v>0</v>
      </c>
      <c r="AG78" s="229">
        <v>0</v>
      </c>
      <c r="AH78" s="229">
        <v>0</v>
      </c>
      <c r="AI78" s="229">
        <v>0</v>
      </c>
      <c r="AJ78" s="229">
        <v>0</v>
      </c>
      <c r="AK78" s="229">
        <v>0</v>
      </c>
      <c r="AL78" s="229">
        <v>0</v>
      </c>
      <c r="AM78" s="229">
        <v>0</v>
      </c>
      <c r="AN78" s="229">
        <v>0</v>
      </c>
      <c r="AO78" s="220">
        <f>SUM(AC78:AN78)</f>
        <v>0</v>
      </c>
    </row>
    <row r="79" spans="1:41" x14ac:dyDescent="0.25">
      <c r="A79" s="271" t="s">
        <v>200</v>
      </c>
      <c r="B79" s="225"/>
      <c r="C79" s="228">
        <f>+'Invest et amort'!B49</f>
        <v>166.66666666666666</v>
      </c>
      <c r="D79" s="228">
        <f>+'Invest et amort'!C49</f>
        <v>166.66666666666666</v>
      </c>
      <c r="E79" s="228">
        <f>+'Invest et amort'!D49</f>
        <v>166.66666666666666</v>
      </c>
      <c r="F79" s="228">
        <f>+'Invest et amort'!E49</f>
        <v>191.66666666666666</v>
      </c>
      <c r="G79" s="228">
        <f>+'Invest et amort'!F49</f>
        <v>271.10069444444446</v>
      </c>
      <c r="H79" s="228">
        <f>+'Invest et amort'!G49</f>
        <v>350.53472222222223</v>
      </c>
      <c r="I79" s="228">
        <f>+'Invest et amort'!H49</f>
        <v>429.96875</v>
      </c>
      <c r="J79" s="228">
        <f>+'Invest et amort'!I49</f>
        <v>509.40277777777777</v>
      </c>
      <c r="K79" s="228">
        <f>+'Invest et amort'!J49</f>
        <v>588.83680555555554</v>
      </c>
      <c r="L79" s="228">
        <f>+'Invest et amort'!K49</f>
        <v>668.27083333333337</v>
      </c>
      <c r="M79" s="228">
        <f>+'Invest et amort'!L49</f>
        <v>747.7048611111112</v>
      </c>
      <c r="N79" s="228">
        <f>+'Invest et amort'!M49</f>
        <v>827.13888888888903</v>
      </c>
      <c r="O79" s="220">
        <f>SUM(C79:N79)</f>
        <v>5084.625</v>
      </c>
      <c r="P79" s="228">
        <f>'Invest et amort'!O49</f>
        <v>938.07291666666686</v>
      </c>
      <c r="Q79" s="228">
        <f>'Invest et amort'!P49</f>
        <v>1049.0069444444446</v>
      </c>
      <c r="R79" s="228">
        <f>'Invest et amort'!Q49</f>
        <v>1159.9409722222224</v>
      </c>
      <c r="S79" s="228">
        <f>'Invest et amort'!R49</f>
        <v>1270.8750000000002</v>
      </c>
      <c r="T79" s="228">
        <f>'Invest et amort'!S49</f>
        <v>1381.8090277777781</v>
      </c>
      <c r="U79" s="228">
        <f>'Invest et amort'!T49</f>
        <v>1492.7430555555559</v>
      </c>
      <c r="V79" s="228">
        <f>'Invest et amort'!U49</f>
        <v>1603.6770833333337</v>
      </c>
      <c r="W79" s="228">
        <f>'Invest et amort'!V49</f>
        <v>1714.6111111111115</v>
      </c>
      <c r="X79" s="228">
        <f>'Invest et amort'!W49</f>
        <v>1825.5451388888894</v>
      </c>
      <c r="Y79" s="228">
        <f>'Invest et amort'!X49</f>
        <v>1936.4791666666672</v>
      </c>
      <c r="Z79" s="228">
        <f>'Invest et amort'!Y49</f>
        <v>2047.413194444445</v>
      </c>
      <c r="AA79" s="228">
        <f>'Invest et amort'!Z49</f>
        <v>2158.3472222222226</v>
      </c>
      <c r="AB79" s="220">
        <f>SUM(P79:AA79)</f>
        <v>18578.520833333336</v>
      </c>
      <c r="AC79" s="228">
        <f>'Invest et amort'!AB49</f>
        <v>2269.2812500000005</v>
      </c>
      <c r="AD79" s="228">
        <f>'Invest et amort'!AC49</f>
        <v>2380.2152777777783</v>
      </c>
      <c r="AE79" s="228">
        <f>'Invest et amort'!AD49</f>
        <v>2491.1493055555561</v>
      </c>
      <c r="AF79" s="228">
        <f>'Invest et amort'!AE49</f>
        <v>2602.0833333333339</v>
      </c>
      <c r="AG79" s="228">
        <f>'Invest et amort'!AF49</f>
        <v>2713.0173611111118</v>
      </c>
      <c r="AH79" s="228">
        <f>'Invest et amort'!AG49</f>
        <v>2823.9513888888896</v>
      </c>
      <c r="AI79" s="228">
        <f>'Invest et amort'!AH49</f>
        <v>2934.8854166666674</v>
      </c>
      <c r="AJ79" s="228">
        <f>'Invest et amort'!AI49</f>
        <v>3045.8194444444453</v>
      </c>
      <c r="AK79" s="228">
        <f>'Invest et amort'!AJ49</f>
        <v>3156.7534722222231</v>
      </c>
      <c r="AL79" s="228">
        <f>'Invest et amort'!AK49</f>
        <v>3267.6875000000009</v>
      </c>
      <c r="AM79" s="228">
        <f>'Invest et amort'!AL49</f>
        <v>3378.6215277777787</v>
      </c>
      <c r="AN79" s="228">
        <f>'Invest et amort'!AM49</f>
        <v>3489.5555555555566</v>
      </c>
      <c r="AO79" s="220">
        <f>SUM(AC79:AN79)</f>
        <v>34553.020833333343</v>
      </c>
    </row>
    <row r="80" spans="1:41" ht="15.75" thickBot="1" x14ac:dyDescent="0.3">
      <c r="A80" s="223" t="s">
        <v>199</v>
      </c>
      <c r="B80" s="222"/>
      <c r="C80" s="221">
        <f t="shared" ref="C80:N80" si="132">C74-SUM(C77:C79)</f>
        <v>-15014.166666666664</v>
      </c>
      <c r="D80" s="221">
        <f t="shared" si="132"/>
        <v>-13714.166666666664</v>
      </c>
      <c r="E80" s="221">
        <f t="shared" si="132"/>
        <v>-23445.833333333332</v>
      </c>
      <c r="F80" s="221">
        <f t="shared" si="132"/>
        <v>-27737.995495495492</v>
      </c>
      <c r="G80" s="221">
        <f t="shared" si="132"/>
        <v>161209.29178759633</v>
      </c>
      <c r="H80" s="221">
        <f t="shared" si="132"/>
        <v>-42992.515724964091</v>
      </c>
      <c r="I80" s="221">
        <f t="shared" si="132"/>
        <v>-119645.01134694477</v>
      </c>
      <c r="J80" s="221">
        <f t="shared" si="132"/>
        <v>-114455.78233124429</v>
      </c>
      <c r="K80" s="221">
        <f t="shared" si="132"/>
        <v>-158051.52070684815</v>
      </c>
      <c r="L80" s="221">
        <f t="shared" si="132"/>
        <v>243049.36711320025</v>
      </c>
      <c r="M80" s="221">
        <f t="shared" si="132"/>
        <v>-8026.8155739978847</v>
      </c>
      <c r="N80" s="221">
        <f t="shared" si="132"/>
        <v>-151355.64887713801</v>
      </c>
      <c r="O80" s="220">
        <f>SUM(C80:N80)</f>
        <v>-270180.79782250273</v>
      </c>
      <c r="P80" s="221">
        <f t="shared" ref="P80:AA80" si="133">P74-SUM(P77:P79)</f>
        <v>49928.293613596172</v>
      </c>
      <c r="Q80" s="221">
        <f t="shared" si="133"/>
        <v>-137199.0002379996</v>
      </c>
      <c r="R80" s="221">
        <f t="shared" si="133"/>
        <v>134367.78724386173</v>
      </c>
      <c r="S80" s="221">
        <f t="shared" si="133"/>
        <v>190204.22671035025</v>
      </c>
      <c r="T80" s="221">
        <f t="shared" si="133"/>
        <v>-11622.039978369688</v>
      </c>
      <c r="U80" s="221">
        <f t="shared" si="133"/>
        <v>41085.853151385942</v>
      </c>
      <c r="V80" s="221">
        <f t="shared" si="133"/>
        <v>-25476.242989201815</v>
      </c>
      <c r="W80" s="221">
        <f t="shared" si="133"/>
        <v>-21943.495588979586</v>
      </c>
      <c r="X80" s="221">
        <f t="shared" si="133"/>
        <v>-26360.857091728758</v>
      </c>
      <c r="Y80" s="221">
        <f t="shared" si="133"/>
        <v>-31192.674694499507</v>
      </c>
      <c r="Z80" s="221">
        <f t="shared" si="133"/>
        <v>-46396.293356606613</v>
      </c>
      <c r="AA80" s="221">
        <f t="shared" si="133"/>
        <v>-46507.227384384387</v>
      </c>
      <c r="AB80" s="220">
        <f>SUM(P80:AA80)</f>
        <v>68888.329397424139</v>
      </c>
      <c r="AC80" s="221">
        <f t="shared" ref="AC80:AN80" si="134">AC74-SUM(AC77:AC79)</f>
        <v>479006.06434282381</v>
      </c>
      <c r="AD80" s="221">
        <f t="shared" si="134"/>
        <v>20926.930461700398</v>
      </c>
      <c r="AE80" s="221">
        <f t="shared" si="134"/>
        <v>3843.6842240659812</v>
      </c>
      <c r="AF80" s="221">
        <f t="shared" si="134"/>
        <v>141885.70844123201</v>
      </c>
      <c r="AG80" s="221">
        <f t="shared" si="134"/>
        <v>54004.799925710089</v>
      </c>
      <c r="AH80" s="221">
        <f t="shared" si="134"/>
        <v>107431.79236181131</v>
      </c>
      <c r="AI80" s="221">
        <f t="shared" si="134"/>
        <v>78216.286691022295</v>
      </c>
      <c r="AJ80" s="221">
        <f t="shared" si="134"/>
        <v>88760.642771289509</v>
      </c>
      <c r="AK80" s="221">
        <f t="shared" si="134"/>
        <v>50528.600891145143</v>
      </c>
      <c r="AL80" s="221">
        <f t="shared" si="134"/>
        <v>-6574.8228030318869</v>
      </c>
      <c r="AM80" s="221">
        <f t="shared" si="134"/>
        <v>-54980.791704921983</v>
      </c>
      <c r="AN80" s="221">
        <f t="shared" si="134"/>
        <v>-59083.475017933953</v>
      </c>
      <c r="AO80" s="220">
        <f>SUM(AC80:AN80)</f>
        <v>903965.42058491276</v>
      </c>
    </row>
    <row r="81" spans="1:41" x14ac:dyDescent="0.25">
      <c r="A81" s="227" t="s">
        <v>198</v>
      </c>
      <c r="B81" s="225"/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0">
        <f>SUM(C81:N81)</f>
        <v>0</v>
      </c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0">
        <f>SUM(P81:AA81)</f>
        <v>0</v>
      </c>
      <c r="AC81" s="228"/>
      <c r="AD81" s="228"/>
      <c r="AE81" s="228"/>
      <c r="AF81" s="228"/>
      <c r="AG81" s="228"/>
      <c r="AH81" s="228"/>
      <c r="AI81" s="228"/>
      <c r="AJ81" s="228"/>
      <c r="AK81" s="228"/>
      <c r="AL81" s="228"/>
      <c r="AM81" s="228"/>
      <c r="AN81" s="228"/>
      <c r="AO81" s="220">
        <f>SUM(AC81:AN81)</f>
        <v>0</v>
      </c>
    </row>
    <row r="82" spans="1:41" x14ac:dyDescent="0.25">
      <c r="A82" s="227" t="s">
        <v>197</v>
      </c>
      <c r="B82" s="225"/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0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0"/>
      <c r="AC82" s="228"/>
      <c r="AD82" s="228"/>
      <c r="AE82" s="228"/>
      <c r="AF82" s="228"/>
      <c r="AG82" s="228"/>
      <c r="AH82" s="228"/>
      <c r="AI82" s="228"/>
      <c r="AJ82" s="228"/>
      <c r="AK82" s="228"/>
      <c r="AL82" s="228"/>
      <c r="AM82" s="228"/>
      <c r="AN82" s="228"/>
      <c r="AO82" s="220"/>
    </row>
    <row r="83" spans="1:41" x14ac:dyDescent="0.25">
      <c r="A83" s="227" t="s">
        <v>196</v>
      </c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6"/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  <c r="AA83" s="225"/>
      <c r="AB83" s="224"/>
      <c r="AC83" s="225"/>
      <c r="AD83" s="225"/>
      <c r="AE83" s="225"/>
      <c r="AF83" s="225"/>
      <c r="AG83" s="225"/>
      <c r="AH83" s="225"/>
      <c r="AI83" s="225"/>
      <c r="AJ83" s="225"/>
      <c r="AK83" s="225"/>
      <c r="AL83" s="225"/>
      <c r="AM83" s="225"/>
      <c r="AN83" s="225"/>
      <c r="AO83" s="224"/>
    </row>
    <row r="84" spans="1:41" ht="15.75" thickBot="1" x14ac:dyDescent="0.3">
      <c r="A84" s="223" t="s">
        <v>195</v>
      </c>
      <c r="B84" s="222"/>
      <c r="C84" s="221">
        <f t="shared" ref="C84:N84" si="135">C80-C81-C83</f>
        <v>-15014.166666666664</v>
      </c>
      <c r="D84" s="221">
        <f t="shared" si="135"/>
        <v>-13714.166666666664</v>
      </c>
      <c r="E84" s="221">
        <f t="shared" si="135"/>
        <v>-23445.833333333332</v>
      </c>
      <c r="F84" s="221">
        <f t="shared" si="135"/>
        <v>-27737.995495495492</v>
      </c>
      <c r="G84" s="221">
        <f t="shared" si="135"/>
        <v>161209.29178759633</v>
      </c>
      <c r="H84" s="221">
        <f t="shared" si="135"/>
        <v>-42992.515724964091</v>
      </c>
      <c r="I84" s="221">
        <f t="shared" si="135"/>
        <v>-119645.01134694477</v>
      </c>
      <c r="J84" s="221">
        <f t="shared" si="135"/>
        <v>-114455.78233124429</v>
      </c>
      <c r="K84" s="221">
        <f t="shared" si="135"/>
        <v>-158051.52070684815</v>
      </c>
      <c r="L84" s="221">
        <f t="shared" si="135"/>
        <v>243049.36711320025</v>
      </c>
      <c r="M84" s="221">
        <f t="shared" si="135"/>
        <v>-8026.8155739978847</v>
      </c>
      <c r="N84" s="221">
        <f t="shared" si="135"/>
        <v>-151355.64887713801</v>
      </c>
      <c r="O84" s="220">
        <f>SUM(C84:N84)</f>
        <v>-270180.79782250273</v>
      </c>
      <c r="P84" s="221">
        <f t="shared" ref="P84:AA84" si="136">P80-P81-P83</f>
        <v>49928.293613596172</v>
      </c>
      <c r="Q84" s="221">
        <f t="shared" si="136"/>
        <v>-137199.0002379996</v>
      </c>
      <c r="R84" s="221">
        <f t="shared" si="136"/>
        <v>134367.78724386173</v>
      </c>
      <c r="S84" s="221">
        <f t="shared" si="136"/>
        <v>190204.22671035025</v>
      </c>
      <c r="T84" s="221">
        <f t="shared" si="136"/>
        <v>-11622.039978369688</v>
      </c>
      <c r="U84" s="221">
        <f t="shared" si="136"/>
        <v>41085.853151385942</v>
      </c>
      <c r="V84" s="221">
        <f t="shared" si="136"/>
        <v>-25476.242989201815</v>
      </c>
      <c r="W84" s="221">
        <f t="shared" si="136"/>
        <v>-21943.495588979586</v>
      </c>
      <c r="X84" s="221">
        <f t="shared" si="136"/>
        <v>-26360.857091728758</v>
      </c>
      <c r="Y84" s="221">
        <f t="shared" si="136"/>
        <v>-31192.674694499507</v>
      </c>
      <c r="Z84" s="221">
        <f t="shared" si="136"/>
        <v>-46396.293356606613</v>
      </c>
      <c r="AA84" s="221">
        <f t="shared" si="136"/>
        <v>-46507.227384384387</v>
      </c>
      <c r="AB84" s="220">
        <f>SUM(P84:AA84)</f>
        <v>68888.329397424139</v>
      </c>
      <c r="AC84" s="221">
        <f t="shared" ref="AC84:AN84" si="137">AC80-AC81-AC83</f>
        <v>479006.06434282381</v>
      </c>
      <c r="AD84" s="221">
        <f t="shared" si="137"/>
        <v>20926.930461700398</v>
      </c>
      <c r="AE84" s="221">
        <f t="shared" si="137"/>
        <v>3843.6842240659812</v>
      </c>
      <c r="AF84" s="221">
        <f t="shared" si="137"/>
        <v>141885.70844123201</v>
      </c>
      <c r="AG84" s="221">
        <f t="shared" si="137"/>
        <v>54004.799925710089</v>
      </c>
      <c r="AH84" s="221">
        <f t="shared" si="137"/>
        <v>107431.79236181131</v>
      </c>
      <c r="AI84" s="221">
        <f t="shared" si="137"/>
        <v>78216.286691022295</v>
      </c>
      <c r="AJ84" s="221">
        <f t="shared" si="137"/>
        <v>88760.642771289509</v>
      </c>
      <c r="AK84" s="221">
        <f t="shared" si="137"/>
        <v>50528.600891145143</v>
      </c>
      <c r="AL84" s="221">
        <f t="shared" si="137"/>
        <v>-6574.8228030318869</v>
      </c>
      <c r="AM84" s="221">
        <f t="shared" si="137"/>
        <v>-54980.791704921983</v>
      </c>
      <c r="AN84" s="221">
        <f t="shared" si="137"/>
        <v>-59083.475017933953</v>
      </c>
      <c r="AO84" s="220">
        <f>SUM(AC84:AN84)</f>
        <v>903965.42058491276</v>
      </c>
    </row>
  </sheetData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</vt:i4>
      </vt:variant>
    </vt:vector>
  </HeadingPairs>
  <TitlesOfParts>
    <vt:vector size="13" baseType="lpstr">
      <vt:lpstr>cex</vt:lpstr>
      <vt:lpstr>cex détail</vt:lpstr>
      <vt:lpstr>financ global </vt:lpstr>
      <vt:lpstr>financ 2016 17 18</vt:lpstr>
      <vt:lpstr>invest</vt:lpstr>
      <vt:lpstr>treso detailles </vt:lpstr>
      <vt:lpstr>personnel</vt:lpstr>
      <vt:lpstr>emprunts</vt:lpstr>
      <vt:lpstr>Cpte Résultat</vt:lpstr>
      <vt:lpstr>Invest et amort</vt:lpstr>
      <vt:lpstr>impots taxes</vt:lpstr>
      <vt:lpstr>cex!Zone_d_impression</vt:lpstr>
      <vt:lpstr>'treso detailles 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Alain</cp:lastModifiedBy>
  <cp:lastPrinted>2016-03-23T15:39:24Z</cp:lastPrinted>
  <dcterms:created xsi:type="dcterms:W3CDTF">2016-03-07T08:37:31Z</dcterms:created>
  <dcterms:modified xsi:type="dcterms:W3CDTF">2016-03-23T18:41:41Z</dcterms:modified>
</cp:coreProperties>
</file>