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8930" windowHeight="7770" tabRatio="744" firstSheet="4" activeTab="7"/>
  </bookViews>
  <sheets>
    <sheet name="SIG CHENE DECORS" sheetId="44" r:id="rId1"/>
    <sheet name="SIG TECSABOIS Charpente" sheetId="42" r:id="rId2"/>
    <sheet name="SIG TECSABOIS" sheetId="41" r:id="rId3"/>
    <sheet name="SIG TECSAFINANCE" sheetId="45" r:id="rId4"/>
    <sheet name="SIG 2014" sheetId="24" r:id="rId5"/>
    <sheet name="SIG 2015" sheetId="34" r:id="rId6"/>
    <sheet name="SIG 2016" sheetId="35" r:id="rId7"/>
    <sheet name="SIG 2017" sheetId="36" r:id="rId8"/>
    <sheet name="SIG GROUPE" sheetId="48" r:id="rId9"/>
    <sheet name="CA CHÊNE DECORS" sheetId="53" r:id="rId10"/>
    <sheet name="CA T Charpente" sheetId="55" r:id="rId11"/>
    <sheet name="CA TECSABOIS " sheetId="49" r:id="rId12"/>
    <sheet name="Tableau de financement 2012" sheetId="28" state="hidden" r:id="rId13"/>
    <sheet name="Tab de fin 2013 TB" sheetId="62" state="hidden" r:id="rId14"/>
    <sheet name="Tab de fin 2013 TBC" sheetId="61" state="hidden" r:id="rId15"/>
    <sheet name="Tab de fin 2013 CD" sheetId="60" state="hidden" r:id="rId16"/>
    <sheet name="Tableau de financement 2013" sheetId="33" state="hidden" r:id="rId17"/>
    <sheet name="Charges " sheetId="56" state="hidden" r:id="rId18"/>
    <sheet name="Salaires" sheetId="57" state="hidden" r:id="rId19"/>
    <sheet name="Investissements" sheetId="58" state="hidden" r:id="rId20"/>
    <sheet name="Feuil2" sheetId="43" state="hidden" r:id="rId21"/>
    <sheet name="Prêt CD 135000" sheetId="63" state="hidden" r:id="rId22"/>
    <sheet name="Feuil1" sheetId="59" state="hidden" r:id="rId23"/>
    <sheet name="Prêt CD TB 50000" sheetId="64" state="hidden" r:id="rId24"/>
  </sheets>
  <externalReferences>
    <externalReference r:id="rId25"/>
  </externalReferences>
  <definedNames>
    <definedName name="Assurances_mensuelles">[1]Données!$B$19</definedName>
    <definedName name="Banque">[1]Données!$B$10</definedName>
    <definedName name="Bilan">[1]Données!$B$36</definedName>
    <definedName name="Créances_mensuelles_Assurance_comp">[1]Données!$B$21</definedName>
    <definedName name="Durée_Crédit_année">[1]Données!$B$18</definedName>
    <definedName name="Durée_en_mois" localSheetId="9">#REF!</definedName>
    <definedName name="Durée_en_mois" localSheetId="10">#REF!</definedName>
    <definedName name="Durée_en_mois" localSheetId="11">#REF!</definedName>
    <definedName name="Durée_en_mois" localSheetId="18">#REF!</definedName>
    <definedName name="Durée_en_mois" localSheetId="4">#REF!</definedName>
    <definedName name="Durée_en_mois" localSheetId="5">#REF!</definedName>
    <definedName name="Durée_en_mois" localSheetId="6">#REF!</definedName>
    <definedName name="Durée_en_mois" localSheetId="7">#REF!</definedName>
    <definedName name="Durée_en_mois" localSheetId="0">#REF!</definedName>
    <definedName name="Durée_en_mois" localSheetId="8">#REF!</definedName>
    <definedName name="Durée_en_mois" localSheetId="2">#REF!</definedName>
    <definedName name="Durée_en_mois" localSheetId="1">#REF!</definedName>
    <definedName name="Durée_en_mois" localSheetId="3">#REF!</definedName>
    <definedName name="Durée_en_mois" localSheetId="15">#REF!</definedName>
    <definedName name="Durée_en_mois" localSheetId="13">#REF!</definedName>
    <definedName name="Durée_en_mois" localSheetId="14">#REF!</definedName>
    <definedName name="Durée_en_mois" localSheetId="12">#REF!</definedName>
    <definedName name="Durée_en_mois" localSheetId="16">#REF!</definedName>
    <definedName name="Durée_en_mois">#REF!</definedName>
    <definedName name="Frais_de_dossier">[1]Données!$B$25</definedName>
    <definedName name="Frais_de_garantie">[1]Données!$B$26</definedName>
    <definedName name="Montant_à_emprunter">[1]Données!$B$16</definedName>
    <definedName name="Taux_nominal">[1]Données!$B$17</definedName>
    <definedName name="TBF" localSheetId="9">#REF!</definedName>
    <definedName name="TBF" localSheetId="10">#REF!</definedName>
    <definedName name="TBF" localSheetId="11">#REF!</definedName>
    <definedName name="TBF" localSheetId="5">#REF!</definedName>
    <definedName name="TBF" localSheetId="6">#REF!</definedName>
    <definedName name="TBF" localSheetId="7">#REF!</definedName>
    <definedName name="TBF" localSheetId="0">#REF!</definedName>
    <definedName name="TBF" localSheetId="8">#REF!</definedName>
    <definedName name="TBF" localSheetId="2">#REF!</definedName>
    <definedName name="TBF" localSheetId="1">#REF!</definedName>
    <definedName name="TBF" localSheetId="3">#REF!</definedName>
    <definedName name="TBF" localSheetId="15">#REF!</definedName>
    <definedName name="TBF" localSheetId="13">#REF!</definedName>
    <definedName name="TBF" localSheetId="14">#REF!</definedName>
    <definedName name="TBF">#REF!</definedName>
    <definedName name="Teg_Annuel">[1]Données!$B$28</definedName>
    <definedName name="xxxx" localSheetId="9">#REF!</definedName>
    <definedName name="xxxx" localSheetId="10">#REF!</definedName>
    <definedName name="xxxx" localSheetId="11">#REF!</definedName>
    <definedName name="xxxx" localSheetId="8">#REF!</definedName>
    <definedName name="xxxx" localSheetId="15">#REF!</definedName>
    <definedName name="xxxx" localSheetId="13">#REF!</definedName>
    <definedName name="xxxx" localSheetId="14">#REF!</definedName>
    <definedName name="xxxx">#REF!</definedName>
    <definedName name="xxxxx" localSheetId="9">#REF!</definedName>
    <definedName name="xxxxx" localSheetId="10">#REF!</definedName>
    <definedName name="xxxxx" localSheetId="11">#REF!</definedName>
    <definedName name="xxxxx" localSheetId="15">#REF!</definedName>
    <definedName name="xxxxx" localSheetId="13">#REF!</definedName>
    <definedName name="xxxxx" localSheetId="14">#REF!</definedName>
    <definedName name="xxxxx">#REF!</definedName>
    <definedName name="_xlnm.Print_Area" localSheetId="9">'CA CHÊNE DECORS'!$A$1:$V$32</definedName>
    <definedName name="_xlnm.Print_Area" localSheetId="10">'CA T Charpente'!$A$1:$X$17</definedName>
    <definedName name="_xlnm.Print_Area" localSheetId="11">'CA TECSABOIS '!$A$1:$AA$42</definedName>
    <definedName name="_xlnm.Print_Area" localSheetId="19">Investissements!$A$1:$O$25</definedName>
    <definedName name="_xlnm.Print_Area" localSheetId="4">'SIG 2014'!$A$1:$K$37</definedName>
    <definedName name="_xlnm.Print_Area" localSheetId="5">'SIG 2015'!$A$1:$M$47</definedName>
    <definedName name="_xlnm.Print_Area" localSheetId="6">'SIG 2016'!$A$1:$M$48</definedName>
    <definedName name="_xlnm.Print_Area" localSheetId="7">'SIG 2017'!$A$1:$M$48</definedName>
    <definedName name="_xlnm.Print_Area" localSheetId="0">'SIG CHENE DECORS'!$A$2:$M$45</definedName>
    <definedName name="_xlnm.Print_Area" localSheetId="8">'SIG GROUPE'!$A$1:$I$38</definedName>
    <definedName name="_xlnm.Print_Area" localSheetId="2">'SIG TECSABOIS'!$A$3:$M$46</definedName>
    <definedName name="_xlnm.Print_Area" localSheetId="1">'SIG TECSABOIS Charpente'!$A$2:$M$44</definedName>
    <definedName name="_xlnm.Print_Area" localSheetId="3">'SIG TECSAFINANCE'!$A$2:$M$42</definedName>
    <definedName name="_xlnm.Print_Area" localSheetId="15">'Tab de fin 2013 CD'!$A$1:$F$50</definedName>
    <definedName name="_xlnm.Print_Area" localSheetId="13">'Tab de fin 2013 TB'!$A$1:$F$50</definedName>
    <definedName name="_xlnm.Print_Area" localSheetId="14">'Tab de fin 2013 TBC'!$A$1:$F$49</definedName>
    <definedName name="_xlnm.Print_Area" localSheetId="12">'Tableau de financement 2012'!$A$1:$L$46</definedName>
    <definedName name="_xlnm.Print_Area" localSheetId="16">'Tableau de financement 2013'!$A$1:$F$52</definedName>
  </definedNames>
  <calcPr calcId="125725"/>
</workbook>
</file>

<file path=xl/calcChain.xml><?xml version="1.0" encoding="utf-8"?>
<calcChain xmlns="http://schemas.openxmlformats.org/spreadsheetml/2006/main">
  <c r="L18" i="34"/>
  <c r="L11"/>
  <c r="L12" i="24"/>
  <c r="L5"/>
  <c r="J23"/>
  <c r="L33"/>
  <c r="L34"/>
  <c r="L32"/>
  <c r="L26"/>
  <c r="L27"/>
  <c r="L28"/>
  <c r="L25"/>
  <c r="L10"/>
  <c r="L16"/>
  <c r="L23" s="1"/>
  <c r="L30" s="1"/>
  <c r="L36" s="1"/>
  <c r="L19"/>
  <c r="L20"/>
  <c r="L21"/>
  <c r="L18"/>
  <c r="L15"/>
  <c r="L14"/>
  <c r="L9"/>
  <c r="R23" i="53"/>
  <c r="Q6"/>
  <c r="V7"/>
  <c r="N7"/>
  <c r="E7"/>
  <c r="J29" i="34"/>
  <c r="J33"/>
  <c r="L11" i="36"/>
  <c r="J4"/>
  <c r="J4" i="35"/>
  <c r="J4" i="34"/>
  <c r="J9" i="24"/>
  <c r="F4"/>
  <c r="D4"/>
  <c r="D28" i="34"/>
  <c r="D8"/>
  <c r="D7"/>
  <c r="D5"/>
  <c r="X9" i="55"/>
  <c r="L9"/>
  <c r="I9"/>
  <c r="F7" i="24"/>
  <c r="L27" i="42"/>
  <c r="H27"/>
  <c r="H28" s="1"/>
  <c r="J27"/>
  <c r="F19"/>
  <c r="H19" s="1"/>
  <c r="H12"/>
  <c r="F12"/>
  <c r="F11" s="1"/>
  <c r="F15" s="1"/>
  <c r="G15" s="1"/>
  <c r="D12"/>
  <c r="H11"/>
  <c r="D11"/>
  <c r="D15" s="1"/>
  <c r="E15" s="1"/>
  <c r="D21"/>
  <c r="F18"/>
  <c r="D18"/>
  <c r="F28"/>
  <c r="D28"/>
  <c r="G27"/>
  <c r="E27"/>
  <c r="F26"/>
  <c r="D26"/>
  <c r="L17" i="45"/>
  <c r="J17"/>
  <c r="H17"/>
  <c r="F17"/>
  <c r="I40" i="44"/>
  <c r="H40" s="1"/>
  <c r="F40"/>
  <c r="D40"/>
  <c r="F27"/>
  <c r="D27"/>
  <c r="H29"/>
  <c r="H27" s="1"/>
  <c r="F29"/>
  <c r="G28"/>
  <c r="D28"/>
  <c r="D29" s="1"/>
  <c r="D16"/>
  <c r="F16"/>
  <c r="E16"/>
  <c r="G16"/>
  <c r="H13"/>
  <c r="F13"/>
  <c r="D13"/>
  <c r="H12"/>
  <c r="F12"/>
  <c r="F11" s="1"/>
  <c r="D12"/>
  <c r="H11"/>
  <c r="H16" s="1"/>
  <c r="I16" s="1"/>
  <c r="D11"/>
  <c r="F9"/>
  <c r="D9"/>
  <c r="L9"/>
  <c r="J9"/>
  <c r="H9"/>
  <c r="H25" i="45"/>
  <c r="F25"/>
  <c r="D25"/>
  <c r="H22"/>
  <c r="F22"/>
  <c r="D22"/>
  <c r="H7"/>
  <c r="F20" i="44"/>
  <c r="H20" s="1"/>
  <c r="D20"/>
  <c r="E19"/>
  <c r="G19" s="1"/>
  <c r="F7" i="45"/>
  <c r="D7"/>
  <c r="H6"/>
  <c r="F6"/>
  <c r="D6"/>
  <c r="H5"/>
  <c r="F5"/>
  <c r="D5"/>
  <c r="H22" i="41"/>
  <c r="J28"/>
  <c r="H41"/>
  <c r="F41"/>
  <c r="D41"/>
  <c r="H40"/>
  <c r="F40"/>
  <c r="E40"/>
  <c r="D40" s="1"/>
  <c r="D28"/>
  <c r="E28" s="1"/>
  <c r="D24"/>
  <c r="H19"/>
  <c r="G19"/>
  <c r="F19"/>
  <c r="D19"/>
  <c r="D20" s="1"/>
  <c r="F20" s="1"/>
  <c r="H20" s="1"/>
  <c r="F13"/>
  <c r="D13"/>
  <c r="L5"/>
  <c r="J5"/>
  <c r="H5"/>
  <c r="F5"/>
  <c r="D5"/>
  <c r="F8"/>
  <c r="F7"/>
  <c r="F6"/>
  <c r="L11"/>
  <c r="L40" s="1"/>
  <c r="F42" i="36" s="1"/>
  <c r="J8" i="41"/>
  <c r="J29" i="44"/>
  <c r="L41" i="41"/>
  <c r="H13"/>
  <c r="M40" i="44"/>
  <c r="C21" i="58"/>
  <c r="H11" i="41"/>
  <c r="K25" i="28"/>
  <c r="K26"/>
  <c r="K9"/>
  <c r="K14"/>
  <c r="K15"/>
  <c r="C15" i="33"/>
  <c r="K17" i="28"/>
  <c r="C17" i="33" s="1"/>
  <c r="K18" i="28"/>
  <c r="J43"/>
  <c r="D27" i="33"/>
  <c r="D29"/>
  <c r="E28"/>
  <c r="F29"/>
  <c r="D25"/>
  <c r="D18"/>
  <c r="E19"/>
  <c r="E16"/>
  <c r="E17"/>
  <c r="D15"/>
  <c r="E15"/>
  <c r="F13"/>
  <c r="F14"/>
  <c r="E14"/>
  <c r="D14"/>
  <c r="D16"/>
  <c r="D17"/>
  <c r="D19"/>
  <c r="E13"/>
  <c r="D13"/>
  <c r="H14" s="1"/>
  <c r="C26"/>
  <c r="C27"/>
  <c r="C29"/>
  <c r="C14"/>
  <c r="C19"/>
  <c r="J28" i="28"/>
  <c r="L28"/>
  <c r="J11"/>
  <c r="J20" s="1"/>
  <c r="J30" s="1"/>
  <c r="J31" s="1"/>
  <c r="C9" i="33"/>
  <c r="C42" i="60"/>
  <c r="C38"/>
  <c r="C39"/>
  <c r="C25"/>
  <c r="C26"/>
  <c r="C27"/>
  <c r="C24"/>
  <c r="C14"/>
  <c r="C15"/>
  <c r="C16"/>
  <c r="C17"/>
  <c r="C18"/>
  <c r="C7"/>
  <c r="C9"/>
  <c r="C42" i="61"/>
  <c r="C37"/>
  <c r="C36"/>
  <c r="C25"/>
  <c r="C26"/>
  <c r="C24"/>
  <c r="C14"/>
  <c r="C15"/>
  <c r="C17"/>
  <c r="C18"/>
  <c r="C13"/>
  <c r="C9"/>
  <c r="C8"/>
  <c r="C6"/>
  <c r="K45" i="28"/>
  <c r="K36"/>
  <c r="C40" i="33" s="1"/>
  <c r="K24" i="28"/>
  <c r="C25" i="33" s="1"/>
  <c r="C32" s="1"/>
  <c r="C43" i="62"/>
  <c r="C42"/>
  <c r="C38"/>
  <c r="C28"/>
  <c r="C26"/>
  <c r="C27"/>
  <c r="C25"/>
  <c r="C30" s="1"/>
  <c r="C15"/>
  <c r="C16"/>
  <c r="C17"/>
  <c r="C19"/>
  <c r="C14"/>
  <c r="C13"/>
  <c r="C9"/>
  <c r="C8"/>
  <c r="L13" i="41"/>
  <c r="L16" s="1"/>
  <c r="G7" i="24"/>
  <c r="I7" s="1"/>
  <c r="K7" s="1"/>
  <c r="N23" i="53"/>
  <c r="N22"/>
  <c r="R10"/>
  <c r="N8"/>
  <c r="N9"/>
  <c r="U13"/>
  <c r="V24"/>
  <c r="V23"/>
  <c r="V22"/>
  <c r="V17"/>
  <c r="V16"/>
  <c r="R24"/>
  <c r="R22"/>
  <c r="R17"/>
  <c r="L9" i="42"/>
  <c r="L39" s="1"/>
  <c r="J9"/>
  <c r="F39" s="1"/>
  <c r="W13" i="55"/>
  <c r="W16" s="1"/>
  <c r="V9" s="1"/>
  <c r="S13"/>
  <c r="S16" s="1"/>
  <c r="R9" s="1"/>
  <c r="J6" i="49"/>
  <c r="J39" s="1"/>
  <c r="Z27"/>
  <c r="R27"/>
  <c r="N27"/>
  <c r="J27"/>
  <c r="F27"/>
  <c r="Z21"/>
  <c r="Z29"/>
  <c r="Z33" s="1"/>
  <c r="V21"/>
  <c r="R21"/>
  <c r="R29"/>
  <c r="R33" s="1"/>
  <c r="N21"/>
  <c r="N29" s="1"/>
  <c r="N33" s="1"/>
  <c r="F11"/>
  <c r="F15"/>
  <c r="F21" s="1"/>
  <c r="F29" s="1"/>
  <c r="F33" s="1"/>
  <c r="G16" i="28"/>
  <c r="C16" i="61" s="1"/>
  <c r="G41" i="28"/>
  <c r="G11"/>
  <c r="G40"/>
  <c r="C41" i="61" s="1"/>
  <c r="C30" i="60"/>
  <c r="E9" i="64"/>
  <c r="A6" i="59"/>
  <c r="A5"/>
  <c r="A4"/>
  <c r="A3"/>
  <c r="E21" i="63"/>
  <c r="F25" i="60" s="1"/>
  <c r="E9" i="63"/>
  <c r="C18" i="43"/>
  <c r="B18"/>
  <c r="D17"/>
  <c r="D16"/>
  <c r="D15"/>
  <c r="D14"/>
  <c r="D13"/>
  <c r="D12"/>
  <c r="D11"/>
  <c r="D10"/>
  <c r="D9"/>
  <c r="D8"/>
  <c r="D7"/>
  <c r="D6"/>
  <c r="D5"/>
  <c r="D4"/>
  <c r="C25" i="58"/>
  <c r="O23"/>
  <c r="L23"/>
  <c r="I23"/>
  <c r="K18"/>
  <c r="N18" s="1"/>
  <c r="L18"/>
  <c r="K14"/>
  <c r="N14" s="1"/>
  <c r="O14" s="1"/>
  <c r="L14"/>
  <c r="K13"/>
  <c r="N13"/>
  <c r="O13" s="1"/>
  <c r="L13"/>
  <c r="H12"/>
  <c r="H6" s="1"/>
  <c r="H11"/>
  <c r="H4"/>
  <c r="I4" s="1"/>
  <c r="I3" s="1"/>
  <c r="O3"/>
  <c r="H3"/>
  <c r="Q15" i="57"/>
  <c r="P15"/>
  <c r="O15"/>
  <c r="M15"/>
  <c r="L15"/>
  <c r="P14"/>
  <c r="N14"/>
  <c r="N15" s="1"/>
  <c r="L14"/>
  <c r="Q13"/>
  <c r="P13"/>
  <c r="I13"/>
  <c r="H13"/>
  <c r="J13" s="1"/>
  <c r="Q11"/>
  <c r="P11"/>
  <c r="H11"/>
  <c r="I10"/>
  <c r="Q8" s="1"/>
  <c r="H10"/>
  <c r="J10" s="1"/>
  <c r="H9"/>
  <c r="P8"/>
  <c r="N8"/>
  <c r="P7"/>
  <c r="N7"/>
  <c r="I7"/>
  <c r="Q5" s="1"/>
  <c r="H7"/>
  <c r="J7" s="1"/>
  <c r="H6"/>
  <c r="P5"/>
  <c r="N5"/>
  <c r="I5"/>
  <c r="H5"/>
  <c r="J5" s="1"/>
  <c r="Q3"/>
  <c r="P3"/>
  <c r="O3"/>
  <c r="N3"/>
  <c r="M3"/>
  <c r="L3"/>
  <c r="H3"/>
  <c r="L34" i="56"/>
  <c r="E34"/>
  <c r="D34"/>
  <c r="C34"/>
  <c r="K11" i="58"/>
  <c r="N11" s="1"/>
  <c r="I12"/>
  <c r="D18" i="43"/>
  <c r="L22" i="33"/>
  <c r="M15"/>
  <c r="M14"/>
  <c r="M22" s="1"/>
  <c r="I11" i="58"/>
  <c r="L11" s="1"/>
  <c r="E25" i="60"/>
  <c r="D25"/>
  <c r="E24"/>
  <c r="F15"/>
  <c r="D29" i="61"/>
  <c r="C29"/>
  <c r="F25"/>
  <c r="E25"/>
  <c r="E29" s="1"/>
  <c r="E24"/>
  <c r="F15"/>
  <c r="F15" i="33" s="1"/>
  <c r="C11" i="61"/>
  <c r="I6" i="58"/>
  <c r="E25" i="33"/>
  <c r="F24" i="60"/>
  <c r="F30" s="1"/>
  <c r="E30"/>
  <c r="D30"/>
  <c r="E37" i="62"/>
  <c r="F37"/>
  <c r="F27"/>
  <c r="F27" i="33" s="1"/>
  <c r="E27" i="62"/>
  <c r="E27" i="33" s="1"/>
  <c r="F26" i="62"/>
  <c r="E26"/>
  <c r="E26" i="33" s="1"/>
  <c r="D26" i="62"/>
  <c r="D26" i="33" s="1"/>
  <c r="D32" s="1"/>
  <c r="E18" i="62"/>
  <c r="E18" i="33"/>
  <c r="D30" i="62"/>
  <c r="E30"/>
  <c r="I41" i="28"/>
  <c r="C43" i="60" s="1"/>
  <c r="C41" i="28"/>
  <c r="K41" s="1"/>
  <c r="C45" i="33" s="1"/>
  <c r="I37" i="28"/>
  <c r="G37"/>
  <c r="G43" s="1"/>
  <c r="E37"/>
  <c r="C39" i="62" s="1"/>
  <c r="C37" i="28"/>
  <c r="K37" s="1"/>
  <c r="C41" i="33" s="1"/>
  <c r="I35" i="28"/>
  <c r="C37" i="60" s="1"/>
  <c r="C45" s="1"/>
  <c r="E35" i="28"/>
  <c r="K35" s="1"/>
  <c r="I28"/>
  <c r="G28"/>
  <c r="E28"/>
  <c r="C28"/>
  <c r="I13"/>
  <c r="C13" i="60" s="1"/>
  <c r="E13" i="28"/>
  <c r="C13"/>
  <c r="K13" s="1"/>
  <c r="C13" i="33" s="1"/>
  <c r="I8" i="28"/>
  <c r="K8" s="1"/>
  <c r="C8" i="33" s="1"/>
  <c r="E8" i="28"/>
  <c r="I6"/>
  <c r="C6" i="60" s="1"/>
  <c r="G6" i="28"/>
  <c r="E6"/>
  <c r="E11" s="1"/>
  <c r="E20" s="1"/>
  <c r="C6"/>
  <c r="K6" s="1"/>
  <c r="G20"/>
  <c r="J44" i="36"/>
  <c r="H44"/>
  <c r="F44"/>
  <c r="L44" s="1"/>
  <c r="D44"/>
  <c r="J43"/>
  <c r="H43"/>
  <c r="D43"/>
  <c r="D42"/>
  <c r="J38"/>
  <c r="H38"/>
  <c r="F38"/>
  <c r="L38" s="1"/>
  <c r="D38"/>
  <c r="J37"/>
  <c r="F8" i="60" s="1"/>
  <c r="H37" i="36"/>
  <c r="F8" i="61" s="1"/>
  <c r="F37" i="36"/>
  <c r="F8" i="62" s="1"/>
  <c r="D37" i="36"/>
  <c r="J36"/>
  <c r="H36"/>
  <c r="F36"/>
  <c r="D36"/>
  <c r="J35"/>
  <c r="H35"/>
  <c r="F35"/>
  <c r="D35"/>
  <c r="D30"/>
  <c r="B30"/>
  <c r="J29"/>
  <c r="H29"/>
  <c r="D29"/>
  <c r="J27"/>
  <c r="H27"/>
  <c r="F27"/>
  <c r="D27"/>
  <c r="J23"/>
  <c r="F23"/>
  <c r="C23"/>
  <c r="J16"/>
  <c r="L16" s="1"/>
  <c r="H16"/>
  <c r="J9"/>
  <c r="L9" s="1"/>
  <c r="F9"/>
  <c r="F7"/>
  <c r="F6"/>
  <c r="F5"/>
  <c r="F38" i="60"/>
  <c r="H4" i="36"/>
  <c r="F4"/>
  <c r="J44" i="35"/>
  <c r="H44"/>
  <c r="F44"/>
  <c r="D44"/>
  <c r="J43"/>
  <c r="H43"/>
  <c r="D43"/>
  <c r="D42"/>
  <c r="J38"/>
  <c r="H38"/>
  <c r="F38"/>
  <c r="D38"/>
  <c r="J37"/>
  <c r="H37"/>
  <c r="F37"/>
  <c r="D37"/>
  <c r="J36"/>
  <c r="H36"/>
  <c r="F36"/>
  <c r="D36"/>
  <c r="J35"/>
  <c r="H35"/>
  <c r="F35"/>
  <c r="D35"/>
  <c r="L35" s="1"/>
  <c r="D30"/>
  <c r="B30"/>
  <c r="J29"/>
  <c r="H29"/>
  <c r="D29"/>
  <c r="J27"/>
  <c r="H27"/>
  <c r="F27"/>
  <c r="D27"/>
  <c r="L27" s="1"/>
  <c r="J23"/>
  <c r="D5" s="1"/>
  <c r="H23"/>
  <c r="D7" s="1"/>
  <c r="F23"/>
  <c r="C23"/>
  <c r="J16"/>
  <c r="H16"/>
  <c r="F9"/>
  <c r="H4"/>
  <c r="J44" i="34"/>
  <c r="H44"/>
  <c r="F44"/>
  <c r="D44"/>
  <c r="J43"/>
  <c r="H43"/>
  <c r="D43"/>
  <c r="D42"/>
  <c r="J38"/>
  <c r="H38"/>
  <c r="F38"/>
  <c r="D38"/>
  <c r="J37"/>
  <c r="H37"/>
  <c r="F37"/>
  <c r="L37" s="1"/>
  <c r="D37"/>
  <c r="J36"/>
  <c r="H36"/>
  <c r="F36"/>
  <c r="L36" s="1"/>
  <c r="D36"/>
  <c r="J35"/>
  <c r="H35"/>
  <c r="F35"/>
  <c r="L35" s="1"/>
  <c r="D26" i="48" s="1"/>
  <c r="D35" i="34"/>
  <c r="D30"/>
  <c r="H29"/>
  <c r="D29"/>
  <c r="J27"/>
  <c r="H27"/>
  <c r="F27"/>
  <c r="D27"/>
  <c r="J23"/>
  <c r="H23"/>
  <c r="F23"/>
  <c r="J20"/>
  <c r="J16"/>
  <c r="H16"/>
  <c r="L16" s="1"/>
  <c r="F16"/>
  <c r="H9"/>
  <c r="F9"/>
  <c r="D9"/>
  <c r="L9" s="1"/>
  <c r="F8"/>
  <c r="F7"/>
  <c r="F6"/>
  <c r="H5"/>
  <c r="F5"/>
  <c r="H4"/>
  <c r="H11" s="1"/>
  <c r="J27" i="24"/>
  <c r="H26"/>
  <c r="H7"/>
  <c r="H12" s="1"/>
  <c r="I12" s="1"/>
  <c r="A37" i="62"/>
  <c r="D7" i="24"/>
  <c r="D12" s="1"/>
  <c r="A39" i="33"/>
  <c r="J11" i="35"/>
  <c r="D5" i="36"/>
  <c r="F26" i="48"/>
  <c r="E8" i="62"/>
  <c r="H29" i="48"/>
  <c r="H11" i="36"/>
  <c r="F37" i="61"/>
  <c r="D27" i="48"/>
  <c r="D28"/>
  <c r="D8" i="35"/>
  <c r="L9"/>
  <c r="F5" i="48" s="1"/>
  <c r="L27" i="36"/>
  <c r="H18" i="48" s="1"/>
  <c r="D5"/>
  <c r="D10"/>
  <c r="F18"/>
  <c r="H5"/>
  <c r="E8" i="60"/>
  <c r="D8"/>
  <c r="F39"/>
  <c r="D39"/>
  <c r="F38" i="61"/>
  <c r="E8"/>
  <c r="D8"/>
  <c r="F4" i="34"/>
  <c r="D38" i="61"/>
  <c r="F39" i="62"/>
  <c r="H35" i="48"/>
  <c r="L30" i="34"/>
  <c r="D21" i="48" s="1"/>
  <c r="L44" i="34"/>
  <c r="D35" i="48" s="1"/>
  <c r="H11" i="35"/>
  <c r="D8" i="36"/>
  <c r="H10" i="48"/>
  <c r="L25" i="45"/>
  <c r="J25"/>
  <c r="D31" i="34"/>
  <c r="L22" i="45"/>
  <c r="J22"/>
  <c r="D28" i="35" s="1"/>
  <c r="F10" i="45"/>
  <c r="F15" s="1"/>
  <c r="D10"/>
  <c r="D15" s="1"/>
  <c r="E15" s="1"/>
  <c r="J7"/>
  <c r="J6"/>
  <c r="L5"/>
  <c r="J5"/>
  <c r="H10"/>
  <c r="H15" s="1"/>
  <c r="J10"/>
  <c r="J15" s="1"/>
  <c r="L4" i="34"/>
  <c r="D8" i="33"/>
  <c r="L29" i="44"/>
  <c r="L27" s="1"/>
  <c r="I19"/>
  <c r="K19"/>
  <c r="M19"/>
  <c r="L13"/>
  <c r="J15" i="36" s="1"/>
  <c r="J15" i="34"/>
  <c r="J14"/>
  <c r="J14" i="36"/>
  <c r="J40" i="44"/>
  <c r="J42" i="35" s="1"/>
  <c r="H19" i="44"/>
  <c r="J21" i="34" s="1"/>
  <c r="I30" i="53"/>
  <c r="E30"/>
  <c r="M28" i="44"/>
  <c r="E28" i="53"/>
  <c r="E32" s="1"/>
  <c r="M26"/>
  <c r="D24"/>
  <c r="D22"/>
  <c r="D26" s="1"/>
  <c r="U19"/>
  <c r="Q19"/>
  <c r="I19"/>
  <c r="N17"/>
  <c r="D17"/>
  <c r="D16"/>
  <c r="D19"/>
  <c r="M13"/>
  <c r="I13"/>
  <c r="E11"/>
  <c r="V10"/>
  <c r="E10"/>
  <c r="E16" s="1"/>
  <c r="E19" s="1"/>
  <c r="E24"/>
  <c r="E9"/>
  <c r="V8"/>
  <c r="R8"/>
  <c r="E8"/>
  <c r="V6"/>
  <c r="R6"/>
  <c r="N6"/>
  <c r="L28" i="42"/>
  <c r="L26" s="1"/>
  <c r="L30" s="1"/>
  <c r="J28"/>
  <c r="J26" s="1"/>
  <c r="H28" i="35" s="1"/>
  <c r="M27" i="42"/>
  <c r="K27"/>
  <c r="L18"/>
  <c r="J18"/>
  <c r="L12"/>
  <c r="H9"/>
  <c r="D39" s="1"/>
  <c r="F9"/>
  <c r="D9"/>
  <c r="K16" i="55"/>
  <c r="H16"/>
  <c r="E16"/>
  <c r="K12"/>
  <c r="J10" s="1"/>
  <c r="H12"/>
  <c r="G10" s="1"/>
  <c r="E12"/>
  <c r="D7" s="1"/>
  <c r="X11"/>
  <c r="L11"/>
  <c r="J11"/>
  <c r="I11"/>
  <c r="G11"/>
  <c r="T10"/>
  <c r="L10"/>
  <c r="I10"/>
  <c r="X8"/>
  <c r="T8"/>
  <c r="X7"/>
  <c r="O7"/>
  <c r="L7"/>
  <c r="I7"/>
  <c r="G7"/>
  <c r="X6"/>
  <c r="O6"/>
  <c r="L6"/>
  <c r="I6"/>
  <c r="G6"/>
  <c r="X5"/>
  <c r="L5"/>
  <c r="I5"/>
  <c r="G5"/>
  <c r="F43" i="36"/>
  <c r="L43" s="1"/>
  <c r="H34" i="48" s="1"/>
  <c r="K19" i="41"/>
  <c r="M19" s="1"/>
  <c r="L19" s="1"/>
  <c r="M16"/>
  <c r="F7" i="35"/>
  <c r="J7" i="41"/>
  <c r="F6" i="35" s="1"/>
  <c r="J6" i="41"/>
  <c r="F11"/>
  <c r="D11"/>
  <c r="D16" s="1"/>
  <c r="E16" s="1"/>
  <c r="V25" i="49"/>
  <c r="V24"/>
  <c r="V23"/>
  <c r="V27"/>
  <c r="V29" s="1"/>
  <c r="AA19"/>
  <c r="W19"/>
  <c r="S19"/>
  <c r="H23" i="36"/>
  <c r="D7"/>
  <c r="D11" s="1"/>
  <c r="D18" s="1"/>
  <c r="L6" i="45"/>
  <c r="L10" s="1"/>
  <c r="L15" s="1"/>
  <c r="G8" i="55"/>
  <c r="V19" i="53"/>
  <c r="E22"/>
  <c r="H14" i="36"/>
  <c r="E6" i="53"/>
  <c r="E17"/>
  <c r="T5" i="55"/>
  <c r="X10"/>
  <c r="J5"/>
  <c r="H14" i="34"/>
  <c r="Y19" i="49"/>
  <c r="Y18" s="1"/>
  <c r="Y21" s="1"/>
  <c r="M19"/>
  <c r="L11" i="42"/>
  <c r="H13" i="36" s="1"/>
  <c r="F13"/>
  <c r="D9" i="53"/>
  <c r="Z41" i="49"/>
  <c r="Z6"/>
  <c r="Y6" s="1"/>
  <c r="Y11" s="1"/>
  <c r="V41"/>
  <c r="V6" s="1"/>
  <c r="R41"/>
  <c r="N41"/>
  <c r="M38"/>
  <c r="F41"/>
  <c r="E39"/>
  <c r="AA39"/>
  <c r="W39"/>
  <c r="S39"/>
  <c r="AA38"/>
  <c r="W38"/>
  <c r="S38"/>
  <c r="O38"/>
  <c r="K38"/>
  <c r="AA37"/>
  <c r="W37"/>
  <c r="S37"/>
  <c r="O37"/>
  <c r="K37"/>
  <c r="AA36"/>
  <c r="W36"/>
  <c r="S36"/>
  <c r="O36"/>
  <c r="K36"/>
  <c r="AA9"/>
  <c r="Y9"/>
  <c r="W9"/>
  <c r="S9"/>
  <c r="O9"/>
  <c r="K9"/>
  <c r="AA8"/>
  <c r="Y8"/>
  <c r="W8"/>
  <c r="S8"/>
  <c r="O8"/>
  <c r="K8"/>
  <c r="AA7"/>
  <c r="Y7"/>
  <c r="W7"/>
  <c r="S7"/>
  <c r="O7"/>
  <c r="K7"/>
  <c r="Z5"/>
  <c r="O5"/>
  <c r="K5"/>
  <c r="I26" i="53"/>
  <c r="I27" s="1"/>
  <c r="L15" i="42"/>
  <c r="M15" s="1"/>
  <c r="N24" i="53"/>
  <c r="E13"/>
  <c r="Y5" i="49"/>
  <c r="Z11"/>
  <c r="Z15"/>
  <c r="K6"/>
  <c r="J11"/>
  <c r="J15" s="1"/>
  <c r="J21" s="1"/>
  <c r="J29" s="1"/>
  <c r="J33" s="1"/>
  <c r="O33" s="1"/>
  <c r="E36"/>
  <c r="E38"/>
  <c r="E7"/>
  <c r="E8"/>
  <c r="M36"/>
  <c r="M39"/>
  <c r="N6"/>
  <c r="N11" s="1"/>
  <c r="S41"/>
  <c r="E5"/>
  <c r="E9"/>
  <c r="Q37"/>
  <c r="Q38"/>
  <c r="Q41" s="1"/>
  <c r="M37"/>
  <c r="E6"/>
  <c r="Q36"/>
  <c r="Q39"/>
  <c r="AA18"/>
  <c r="Y36"/>
  <c r="Y41" s="1"/>
  <c r="Y37"/>
  <c r="Y38"/>
  <c r="Y39"/>
  <c r="M18"/>
  <c r="M21"/>
  <c r="E26" i="53"/>
  <c r="O6" i="49"/>
  <c r="M41"/>
  <c r="H21" i="36"/>
  <c r="N13" i="53"/>
  <c r="V6" i="55"/>
  <c r="X16"/>
  <c r="T6"/>
  <c r="V11"/>
  <c r="T11"/>
  <c r="V5"/>
  <c r="T7"/>
  <c r="R5"/>
  <c r="R6"/>
  <c r="R11"/>
  <c r="N26" i="53"/>
  <c r="R9"/>
  <c r="D28" i="36"/>
  <c r="H28"/>
  <c r="J28"/>
  <c r="L30"/>
  <c r="H21" i="48" s="1"/>
  <c r="D31" i="36"/>
  <c r="H31"/>
  <c r="J31"/>
  <c r="H13" i="34"/>
  <c r="H18" s="1"/>
  <c r="I18" s="1"/>
  <c r="B3" i="59"/>
  <c r="D3" s="1"/>
  <c r="L16" i="35"/>
  <c r="F10" i="48" s="1"/>
  <c r="L38" i="34"/>
  <c r="D29" i="48" s="1"/>
  <c r="F42" i="34"/>
  <c r="H21" i="35"/>
  <c r="L30"/>
  <c r="F21" i="48" s="1"/>
  <c r="D31" i="35"/>
  <c r="H31"/>
  <c r="J31"/>
  <c r="G15" i="45"/>
  <c r="C20" i="61"/>
  <c r="C31" s="1"/>
  <c r="H42" i="36"/>
  <c r="J39" i="42"/>
  <c r="H42" i="35" s="1"/>
  <c r="D39" i="33"/>
  <c r="F41"/>
  <c r="G44" i="28"/>
  <c r="B6" i="59"/>
  <c r="D6" s="1"/>
  <c r="B5"/>
  <c r="D5" s="1"/>
  <c r="B4"/>
  <c r="D4" s="1"/>
  <c r="V10" i="55"/>
  <c r="V7"/>
  <c r="V8"/>
  <c r="Q26" i="53"/>
  <c r="G30" i="28"/>
  <c r="G31" s="1"/>
  <c r="C32" i="61" s="1"/>
  <c r="E31" i="28"/>
  <c r="C33" i="62" s="1"/>
  <c r="C46" s="1"/>
  <c r="E30" i="28"/>
  <c r="R6" i="49"/>
  <c r="R11" s="1"/>
  <c r="R15"/>
  <c r="E37"/>
  <c r="E41"/>
  <c r="O39"/>
  <c r="S6"/>
  <c r="I8"/>
  <c r="M7"/>
  <c r="M6"/>
  <c r="J41"/>
  <c r="K39"/>
  <c r="Q8"/>
  <c r="I6"/>
  <c r="W6"/>
  <c r="I7"/>
  <c r="I9"/>
  <c r="E11"/>
  <c r="Q9"/>
  <c r="Q6"/>
  <c r="I5"/>
  <c r="I36"/>
  <c r="I11"/>
  <c r="S18"/>
  <c r="Q19"/>
  <c r="Q18"/>
  <c r="Q21" s="1"/>
  <c r="W18"/>
  <c r="S33"/>
  <c r="U26" i="53"/>
  <c r="U27" s="1"/>
  <c r="R16"/>
  <c r="M19"/>
  <c r="V26"/>
  <c r="R19"/>
  <c r="H16" i="24"/>
  <c r="K12" i="58"/>
  <c r="N12" s="1"/>
  <c r="K4"/>
  <c r="L4"/>
  <c r="K3"/>
  <c r="K6"/>
  <c r="K25" s="1"/>
  <c r="I25"/>
  <c r="H25"/>
  <c r="N4"/>
  <c r="N3" s="1"/>
  <c r="N25" s="1"/>
  <c r="L3"/>
  <c r="N6"/>
  <c r="M28" i="53" l="1"/>
  <c r="M32" s="1"/>
  <c r="U28"/>
  <c r="U32" s="1"/>
  <c r="R26"/>
  <c r="L9"/>
  <c r="L11"/>
  <c r="L10"/>
  <c r="L23"/>
  <c r="L8"/>
  <c r="L6"/>
  <c r="L17"/>
  <c r="L22"/>
  <c r="L24"/>
  <c r="L26" s="1"/>
  <c r="L16"/>
  <c r="L19" s="1"/>
  <c r="L7"/>
  <c r="R7"/>
  <c r="I28"/>
  <c r="H7" s="1"/>
  <c r="D8"/>
  <c r="I32"/>
  <c r="N32" s="1"/>
  <c r="H10"/>
  <c r="H11"/>
  <c r="J7" i="24"/>
  <c r="J12" s="1"/>
  <c r="K12"/>
  <c r="J16"/>
  <c r="F12"/>
  <c r="G12" s="1"/>
  <c r="L4"/>
  <c r="L7" s="1"/>
  <c r="D9" i="55"/>
  <c r="T9"/>
  <c r="V13"/>
  <c r="R7"/>
  <c r="R8"/>
  <c r="R10"/>
  <c r="J6"/>
  <c r="O13"/>
  <c r="O16" s="1"/>
  <c r="D10"/>
  <c r="D5"/>
  <c r="D6"/>
  <c r="J7"/>
  <c r="D8"/>
  <c r="G9"/>
  <c r="J9"/>
  <c r="H39" i="42"/>
  <c r="H42" i="34" s="1"/>
  <c r="L4" i="36"/>
  <c r="H18" i="42"/>
  <c r="H21" i="34" s="1"/>
  <c r="H15" i="42"/>
  <c r="H26"/>
  <c r="H28" i="34" s="1"/>
  <c r="H31"/>
  <c r="F21" i="42"/>
  <c r="I27"/>
  <c r="H22" i="34"/>
  <c r="D41" i="61" s="1"/>
  <c r="H21" i="42"/>
  <c r="H23" s="1"/>
  <c r="H30" s="1"/>
  <c r="J19"/>
  <c r="L19" s="1"/>
  <c r="F23"/>
  <c r="F30" s="1"/>
  <c r="F37" s="1"/>
  <c r="F43" s="1"/>
  <c r="D23"/>
  <c r="D30" s="1"/>
  <c r="D37" s="1"/>
  <c r="D43" s="1"/>
  <c r="D37" i="61"/>
  <c r="D20" i="34"/>
  <c r="L20" s="1"/>
  <c r="F19" i="45"/>
  <c r="G19" s="1"/>
  <c r="J19"/>
  <c r="K19" s="1"/>
  <c r="J27" i="44"/>
  <c r="J28" i="35" s="1"/>
  <c r="J28" i="34"/>
  <c r="L36" i="35"/>
  <c r="F27" i="48" s="1"/>
  <c r="L38" i="35"/>
  <c r="F29" i="48" s="1"/>
  <c r="L44" i="35"/>
  <c r="F35" i="48" s="1"/>
  <c r="L35" i="36"/>
  <c r="H26" i="48" s="1"/>
  <c r="L36" i="36"/>
  <c r="H27" i="48" s="1"/>
  <c r="D19" i="44"/>
  <c r="D22" s="1"/>
  <c r="D13" i="53"/>
  <c r="F19" i="44"/>
  <c r="F22" s="1"/>
  <c r="F24" s="1"/>
  <c r="J22" i="34"/>
  <c r="J20" i="44"/>
  <c r="H22"/>
  <c r="D11" i="34"/>
  <c r="E12" i="24"/>
  <c r="D16"/>
  <c r="L37" i="36"/>
  <c r="H28" i="48" s="1"/>
  <c r="F8" i="33" s="1"/>
  <c r="L37" i="35"/>
  <c r="F28" i="48" s="1"/>
  <c r="E8" i="33" s="1"/>
  <c r="D11" i="35"/>
  <c r="D18" s="1"/>
  <c r="E18" s="1"/>
  <c r="D8" i="62"/>
  <c r="L27" i="34"/>
  <c r="D18" i="48" s="1"/>
  <c r="F28" i="41"/>
  <c r="D29"/>
  <c r="D27"/>
  <c r="F22"/>
  <c r="D22"/>
  <c r="F13" i="34"/>
  <c r="H16" i="41"/>
  <c r="I16" s="1"/>
  <c r="J19" i="44"/>
  <c r="K28"/>
  <c r="L13" i="53"/>
  <c r="L19" i="44"/>
  <c r="J21" i="36" s="1"/>
  <c r="K15" i="45"/>
  <c r="C45" i="61"/>
  <c r="H23" i="24"/>
  <c r="I16"/>
  <c r="M27" i="53"/>
  <c r="N19"/>
  <c r="I38" i="49"/>
  <c r="I39"/>
  <c r="I37"/>
  <c r="Q7"/>
  <c r="Q5"/>
  <c r="J27" i="45"/>
  <c r="N15" i="49"/>
  <c r="M8"/>
  <c r="M5"/>
  <c r="M9"/>
  <c r="U37"/>
  <c r="U39"/>
  <c r="U38"/>
  <c r="V11"/>
  <c r="V15" s="1"/>
  <c r="AA6"/>
  <c r="U36"/>
  <c r="E18" i="36"/>
  <c r="F21"/>
  <c r="H18"/>
  <c r="I15" i="42"/>
  <c r="M15" i="45"/>
  <c r="V33" i="49"/>
  <c r="U19"/>
  <c r="U18" s="1"/>
  <c r="U21" s="1"/>
  <c r="H19" i="45"/>
  <c r="I15"/>
  <c r="L12" i="58"/>
  <c r="D24" i="44"/>
  <c r="J31" i="34"/>
  <c r="J42"/>
  <c r="L42" s="1"/>
  <c r="D33" i="48" s="1"/>
  <c r="L40" i="44"/>
  <c r="J42" i="36" s="1"/>
  <c r="L42" s="1"/>
  <c r="H33" i="48" s="1"/>
  <c r="D38" i="60"/>
  <c r="J11" i="34"/>
  <c r="E38" i="60"/>
  <c r="E39"/>
  <c r="C39" i="33"/>
  <c r="F21" i="34"/>
  <c r="L21" s="1"/>
  <c r="J20" i="41"/>
  <c r="L20" s="1"/>
  <c r="F16"/>
  <c r="J8" i="55"/>
  <c r="D11"/>
  <c r="J13" i="34"/>
  <c r="L11" i="44"/>
  <c r="J13" i="36" s="1"/>
  <c r="J15" i="35"/>
  <c r="D4" i="48"/>
  <c r="D7" s="1"/>
  <c r="D19" i="45"/>
  <c r="F26" i="33"/>
  <c r="E32"/>
  <c r="O18" i="58"/>
  <c r="J13" i="41"/>
  <c r="F13" i="35" s="1"/>
  <c r="J11" i="41"/>
  <c r="F4" i="35"/>
  <c r="F5"/>
  <c r="Q13" i="53"/>
  <c r="Q28" s="1"/>
  <c r="Q32" s="1"/>
  <c r="V9"/>
  <c r="D39" i="62"/>
  <c r="D41" i="33" s="1"/>
  <c r="F11" i="34"/>
  <c r="E37" i="61"/>
  <c r="E38"/>
  <c r="C6" i="33"/>
  <c r="C11" s="1"/>
  <c r="K11" i="28"/>
  <c r="J12" i="42"/>
  <c r="C49" i="60"/>
  <c r="F11" i="36"/>
  <c r="J11"/>
  <c r="C11" i="28"/>
  <c r="C20" s="1"/>
  <c r="C30" s="1"/>
  <c r="C31" s="1"/>
  <c r="I11"/>
  <c r="I20" s="1"/>
  <c r="I30" s="1"/>
  <c r="I31" s="1"/>
  <c r="C33" i="60" s="1"/>
  <c r="E43" i="28"/>
  <c r="E44" s="1"/>
  <c r="I43"/>
  <c r="I44" s="1"/>
  <c r="F30" i="62"/>
  <c r="H26"/>
  <c r="F24" i="61"/>
  <c r="I3" i="57"/>
  <c r="J3" s="1"/>
  <c r="L4"/>
  <c r="N4"/>
  <c r="P4"/>
  <c r="O5"/>
  <c r="I6"/>
  <c r="O8"/>
  <c r="I9"/>
  <c r="J9" s="1"/>
  <c r="N9"/>
  <c r="P9"/>
  <c r="I11"/>
  <c r="F43" i="34"/>
  <c r="L43" s="1"/>
  <c r="D34" i="48" s="1"/>
  <c r="C6" i="62"/>
  <c r="C11" s="1"/>
  <c r="C21" s="1"/>
  <c r="C32" s="1"/>
  <c r="K40" i="28"/>
  <c r="C44" i="33" s="1"/>
  <c r="C38" i="61"/>
  <c r="C44" s="1"/>
  <c r="C48" s="1"/>
  <c r="C8" i="60"/>
  <c r="C11" s="1"/>
  <c r="C20" s="1"/>
  <c r="C32" s="1"/>
  <c r="K28" i="28"/>
  <c r="K16"/>
  <c r="C16" i="33" s="1"/>
  <c r="C43" i="28"/>
  <c r="C44" s="1"/>
  <c r="C37" i="62"/>
  <c r="C45" s="1"/>
  <c r="C49" s="1"/>
  <c r="P16" i="53" l="1"/>
  <c r="P9"/>
  <c r="P24"/>
  <c r="P10"/>
  <c r="P8"/>
  <c r="R32"/>
  <c r="E37" i="60" s="1"/>
  <c r="P22" i="53"/>
  <c r="P6"/>
  <c r="P23"/>
  <c r="V32"/>
  <c r="F37" i="60" s="1"/>
  <c r="P17" i="53"/>
  <c r="P19" s="1"/>
  <c r="P7"/>
  <c r="T7"/>
  <c r="T16"/>
  <c r="T10"/>
  <c r="T8"/>
  <c r="T23"/>
  <c r="T11"/>
  <c r="T6"/>
  <c r="T17"/>
  <c r="T9"/>
  <c r="T24"/>
  <c r="T22"/>
  <c r="L28"/>
  <c r="P26"/>
  <c r="J32"/>
  <c r="H6"/>
  <c r="H13" s="1"/>
  <c r="H23"/>
  <c r="H9"/>
  <c r="H8"/>
  <c r="H16"/>
  <c r="H24"/>
  <c r="H17"/>
  <c r="H22"/>
  <c r="H26"/>
  <c r="H4" i="48"/>
  <c r="H7" s="1"/>
  <c r="F16" i="24"/>
  <c r="K16"/>
  <c r="F23"/>
  <c r="G16"/>
  <c r="R13" i="55"/>
  <c r="N5"/>
  <c r="N8"/>
  <c r="N6"/>
  <c r="N10"/>
  <c r="T16"/>
  <c r="E36" i="61" s="1"/>
  <c r="N7" i="55"/>
  <c r="N11"/>
  <c r="N9"/>
  <c r="D42" i="61"/>
  <c r="D44" s="1"/>
  <c r="D48" s="1"/>
  <c r="H25" i="34"/>
  <c r="H33" s="1"/>
  <c r="H40" s="1"/>
  <c r="J21" i="42"/>
  <c r="H22" i="35"/>
  <c r="F27" i="45"/>
  <c r="D20" i="35"/>
  <c r="L20" s="1"/>
  <c r="F31" i="44"/>
  <c r="G24"/>
  <c r="D25" i="35"/>
  <c r="E25" s="1"/>
  <c r="E3" i="59"/>
  <c r="D18" i="34"/>
  <c r="L20" i="44"/>
  <c r="J22" i="35"/>
  <c r="D23" i="24"/>
  <c r="E16"/>
  <c r="F29" i="41"/>
  <c r="G28"/>
  <c r="H28"/>
  <c r="F27"/>
  <c r="J22" i="44"/>
  <c r="J21" i="35"/>
  <c r="J18" i="36"/>
  <c r="F38" i="44"/>
  <c r="G31"/>
  <c r="Q4" i="57"/>
  <c r="O4"/>
  <c r="M4"/>
  <c r="F25" i="33"/>
  <c r="F32" s="1"/>
  <c r="F29" i="61"/>
  <c r="Q9" i="57"/>
  <c r="O9"/>
  <c r="C46" i="60"/>
  <c r="C47" s="1"/>
  <c r="K18" i="36"/>
  <c r="R13" i="53"/>
  <c r="V13"/>
  <c r="Q27"/>
  <c r="J40" i="41"/>
  <c r="F42" i="35" s="1"/>
  <c r="L42" s="1"/>
  <c r="F33" i="48" s="1"/>
  <c r="J16" i="41"/>
  <c r="J41"/>
  <c r="F43" i="35" s="1"/>
  <c r="L43" s="1"/>
  <c r="F34" i="48" s="1"/>
  <c r="J19" i="41"/>
  <c r="J22" s="1"/>
  <c r="J24" s="1"/>
  <c r="G16"/>
  <c r="F24"/>
  <c r="E24" i="44"/>
  <c r="D31"/>
  <c r="L6" i="58"/>
  <c r="L25" s="1"/>
  <c r="O12"/>
  <c r="O6" s="1"/>
  <c r="O25" s="1"/>
  <c r="I19" i="45"/>
  <c r="H27"/>
  <c r="U7" i="49"/>
  <c r="U5"/>
  <c r="U8"/>
  <c r="U9"/>
  <c r="AA33"/>
  <c r="W33"/>
  <c r="L21" i="36"/>
  <c r="H30" i="24"/>
  <c r="I23"/>
  <c r="J11" i="57"/>
  <c r="C47" i="62"/>
  <c r="C21" i="33"/>
  <c r="C34" s="1"/>
  <c r="C47"/>
  <c r="C51" s="1"/>
  <c r="J18" i="34"/>
  <c r="L16" i="44"/>
  <c r="L13" i="36"/>
  <c r="H9" i="48" s="1"/>
  <c r="H12" s="1"/>
  <c r="U41" i="49"/>
  <c r="U6"/>
  <c r="M11"/>
  <c r="Q11"/>
  <c r="I41"/>
  <c r="Q7" i="57"/>
  <c r="O7"/>
  <c r="F18" i="36"/>
  <c r="F38" i="62"/>
  <c r="J11" i="42"/>
  <c r="H14" i="35"/>
  <c r="D38" i="62"/>
  <c r="F18" i="34"/>
  <c r="J14" i="35"/>
  <c r="J11" i="44"/>
  <c r="J13" i="35" s="1"/>
  <c r="L4"/>
  <c r="E39" i="62"/>
  <c r="E41" i="33" s="1"/>
  <c r="F11" i="35"/>
  <c r="G13"/>
  <c r="E19" i="45"/>
  <c r="D27"/>
  <c r="D42" i="60"/>
  <c r="D43" s="1"/>
  <c r="D45" s="1"/>
  <c r="D49" s="1"/>
  <c r="L13" i="34"/>
  <c r="E24" i="41"/>
  <c r="D31"/>
  <c r="F22" i="34"/>
  <c r="I23" i="42"/>
  <c r="I18" i="36"/>
  <c r="K27" i="45"/>
  <c r="J34"/>
  <c r="J6" i="57"/>
  <c r="J14" s="1"/>
  <c r="K20" i="28"/>
  <c r="K30" s="1"/>
  <c r="K31" s="1"/>
  <c r="H24" i="41"/>
  <c r="K43" i="28"/>
  <c r="C46" i="61"/>
  <c r="P13" i="53" l="1"/>
  <c r="P28" s="1"/>
  <c r="T26"/>
  <c r="T13"/>
  <c r="T19"/>
  <c r="H19"/>
  <c r="H28" s="1"/>
  <c r="J30" i="24"/>
  <c r="J36" s="1"/>
  <c r="K23"/>
  <c r="G23"/>
  <c r="F30"/>
  <c r="M12"/>
  <c r="E39" i="33"/>
  <c r="F36" i="61"/>
  <c r="F39" i="33" s="1"/>
  <c r="N13" i="55"/>
  <c r="H13" i="35"/>
  <c r="J15" i="42"/>
  <c r="K15" s="1"/>
  <c r="L13" i="35"/>
  <c r="F9" i="48" s="1"/>
  <c r="I33" i="34"/>
  <c r="I25"/>
  <c r="L21" i="42"/>
  <c r="L23" s="1"/>
  <c r="H22" i="36"/>
  <c r="F34" i="45"/>
  <c r="G27"/>
  <c r="D20" i="36"/>
  <c r="L19" i="45"/>
  <c r="D33" i="35"/>
  <c r="I40" i="34"/>
  <c r="H46"/>
  <c r="I46" s="1"/>
  <c r="J22" i="36"/>
  <c r="L22" i="44"/>
  <c r="E18" i="34"/>
  <c r="D25"/>
  <c r="D30" i="24"/>
  <c r="E23"/>
  <c r="I28" i="41"/>
  <c r="H27"/>
  <c r="F28" i="34" s="1"/>
  <c r="L28" s="1"/>
  <c r="D19" i="48" s="1"/>
  <c r="F29" i="34"/>
  <c r="L29" s="1"/>
  <c r="D20" i="48" s="1"/>
  <c r="H29" i="41"/>
  <c r="F31" i="34" s="1"/>
  <c r="L31" s="1"/>
  <c r="D22" i="48" s="1"/>
  <c r="G38" i="44"/>
  <c r="F44"/>
  <c r="G44" s="1"/>
  <c r="J16"/>
  <c r="K16" s="1"/>
  <c r="I12" i="48"/>
  <c r="K44" i="28"/>
  <c r="M45" s="1"/>
  <c r="C35" i="33"/>
  <c r="J40" i="45"/>
  <c r="K40" s="1"/>
  <c r="K34"/>
  <c r="F22" i="35"/>
  <c r="L22" s="1"/>
  <c r="E31" i="41"/>
  <c r="D38"/>
  <c r="E27" i="45"/>
  <c r="D34"/>
  <c r="D40" i="33"/>
  <c r="F40"/>
  <c r="L24" i="44"/>
  <c r="M16"/>
  <c r="I24" i="41"/>
  <c r="L22" i="34"/>
  <c r="D14" i="48" s="1"/>
  <c r="D42" i="62"/>
  <c r="E38"/>
  <c r="F18" i="35"/>
  <c r="F4" i="48"/>
  <c r="F7" s="1"/>
  <c r="F12" s="1"/>
  <c r="L11" i="35"/>
  <c r="L18" s="1"/>
  <c r="J18"/>
  <c r="E42" i="60"/>
  <c r="F25" i="34"/>
  <c r="G18"/>
  <c r="H18" i="35"/>
  <c r="E41" i="61"/>
  <c r="G18" i="36"/>
  <c r="H24" i="44"/>
  <c r="K18" i="34"/>
  <c r="J25"/>
  <c r="I30" i="24"/>
  <c r="H36"/>
  <c r="I36" s="1"/>
  <c r="L18" i="36"/>
  <c r="I30" i="42"/>
  <c r="H37"/>
  <c r="E33" i="35"/>
  <c r="D40"/>
  <c r="D9" i="48"/>
  <c r="D12" s="1"/>
  <c r="J24" i="44"/>
  <c r="H34" i="45"/>
  <c r="I27"/>
  <c r="E31" i="44"/>
  <c r="D38"/>
  <c r="G24" i="41"/>
  <c r="F31"/>
  <c r="F21" i="35"/>
  <c r="K16" i="41"/>
  <c r="U11" i="49"/>
  <c r="T28" i="53" l="1"/>
  <c r="K36" i="24"/>
  <c r="K30"/>
  <c r="G30"/>
  <c r="F36"/>
  <c r="G36" s="1"/>
  <c r="M16"/>
  <c r="J23" i="42"/>
  <c r="J30" s="1"/>
  <c r="M23"/>
  <c r="F41" i="61"/>
  <c r="H25" i="36"/>
  <c r="F40" i="45"/>
  <c r="G40" s="1"/>
  <c r="G34"/>
  <c r="L20" i="36"/>
  <c r="D25"/>
  <c r="L27" i="45"/>
  <c r="M19"/>
  <c r="F42" i="60"/>
  <c r="J25" i="36"/>
  <c r="E25" i="34"/>
  <c r="D33"/>
  <c r="D36" i="24"/>
  <c r="E30"/>
  <c r="L28" i="41"/>
  <c r="F29" i="35"/>
  <c r="L29" s="1"/>
  <c r="F20" i="48" s="1"/>
  <c r="K28" i="41"/>
  <c r="J29"/>
  <c r="F31" i="35" s="1"/>
  <c r="L31" s="1"/>
  <c r="F22" i="48" s="1"/>
  <c r="H31" i="41"/>
  <c r="I31" s="1"/>
  <c r="L21" i="35"/>
  <c r="F14" i="48" s="1"/>
  <c r="F16" s="1"/>
  <c r="E42" i="62"/>
  <c r="D44" i="44"/>
  <c r="E44" s="1"/>
  <c r="E38"/>
  <c r="E12" i="48"/>
  <c r="D16"/>
  <c r="K24" i="41"/>
  <c r="I34" i="45"/>
  <c r="H40"/>
  <c r="I40" s="1"/>
  <c r="J31" i="44"/>
  <c r="K24"/>
  <c r="M18" i="34"/>
  <c r="L25"/>
  <c r="H31" i="44"/>
  <c r="I24"/>
  <c r="I18" i="35"/>
  <c r="H25"/>
  <c r="G25" i="34"/>
  <c r="F33"/>
  <c r="K18" i="35"/>
  <c r="J25"/>
  <c r="G12" i="48"/>
  <c r="E40" i="33"/>
  <c r="H38" i="41"/>
  <c r="L31" i="44"/>
  <c r="M24"/>
  <c r="F22" i="36"/>
  <c r="L22" i="41"/>
  <c r="L24" s="1"/>
  <c r="G31"/>
  <c r="F38"/>
  <c r="D46" i="35"/>
  <c r="E46" s="1"/>
  <c r="E40"/>
  <c r="H43" i="42"/>
  <c r="I37"/>
  <c r="M18" i="36"/>
  <c r="K25" i="34"/>
  <c r="E42" i="61"/>
  <c r="E44" s="1"/>
  <c r="E48" s="1"/>
  <c r="K23" i="42"/>
  <c r="E43" i="60"/>
  <c r="E45" s="1"/>
  <c r="E49" s="1"/>
  <c r="M18" i="35"/>
  <c r="F25"/>
  <c r="G18"/>
  <c r="D43" i="62"/>
  <c r="D45" i="33" s="1"/>
  <c r="D44"/>
  <c r="D40" i="45"/>
  <c r="E40" s="1"/>
  <c r="E34"/>
  <c r="E38" i="41"/>
  <c r="D44"/>
  <c r="E44" s="1"/>
  <c r="C48" i="33"/>
  <c r="C49" s="1"/>
  <c r="E36" i="24" l="1"/>
  <c r="M23"/>
  <c r="F42" i="61"/>
  <c r="F44"/>
  <c r="F48" s="1"/>
  <c r="I25" i="36"/>
  <c r="H33"/>
  <c r="L37" i="42"/>
  <c r="M30"/>
  <c r="L34" i="45"/>
  <c r="M27"/>
  <c r="D33" i="36"/>
  <c r="E25"/>
  <c r="L25" i="35"/>
  <c r="F43" i="60"/>
  <c r="F45" s="1"/>
  <c r="F49" s="1"/>
  <c r="D40" i="34"/>
  <c r="E33"/>
  <c r="K25" i="36"/>
  <c r="J33"/>
  <c r="F29"/>
  <c r="L29" s="1"/>
  <c r="H20" i="48" s="1"/>
  <c r="L29" i="41"/>
  <c r="M28"/>
  <c r="J27"/>
  <c r="D45" i="62"/>
  <c r="D49" s="1"/>
  <c r="D47" i="33"/>
  <c r="D51" s="1"/>
  <c r="G25" i="35"/>
  <c r="M25"/>
  <c r="D6" i="61"/>
  <c r="D11" s="1"/>
  <c r="D20" s="1"/>
  <c r="D31" s="1"/>
  <c r="D32" s="1"/>
  <c r="I43" i="42"/>
  <c r="L22" i="36"/>
  <c r="F42" i="62"/>
  <c r="F25" i="36"/>
  <c r="L38" i="44"/>
  <c r="M31"/>
  <c r="H44" i="41"/>
  <c r="I44" s="1"/>
  <c r="I38"/>
  <c r="G16" i="48"/>
  <c r="H38" i="44"/>
  <c r="I31"/>
  <c r="J38"/>
  <c r="K31"/>
  <c r="J37" i="42"/>
  <c r="K30"/>
  <c r="K33" i="34"/>
  <c r="J40"/>
  <c r="G38" i="41"/>
  <c r="F44"/>
  <c r="G44" s="1"/>
  <c r="M24"/>
  <c r="K25" i="35"/>
  <c r="J33"/>
  <c r="F40" i="34"/>
  <c r="G33"/>
  <c r="H33" i="35"/>
  <c r="I25"/>
  <c r="L33" i="34"/>
  <c r="M25"/>
  <c r="D24" i="48"/>
  <c r="E16"/>
  <c r="E43" i="62"/>
  <c r="E44" i="33"/>
  <c r="M36" i="24" l="1"/>
  <c r="M30"/>
  <c r="L43" i="42"/>
  <c r="M37"/>
  <c r="H40" i="36"/>
  <c r="I33"/>
  <c r="D40"/>
  <c r="E33"/>
  <c r="M34" i="45"/>
  <c r="L40"/>
  <c r="M40" s="1"/>
  <c r="D46" i="34"/>
  <c r="E46" s="1"/>
  <c r="E40"/>
  <c r="K33" i="36"/>
  <c r="J40"/>
  <c r="F28" i="35"/>
  <c r="J31" i="41"/>
  <c r="F31" i="36"/>
  <c r="L31" s="1"/>
  <c r="H22" i="48" s="1"/>
  <c r="L27" i="41"/>
  <c r="J40" i="35"/>
  <c r="K33"/>
  <c r="J46" i="34"/>
  <c r="K46" s="1"/>
  <c r="K40"/>
  <c r="H44" i="44"/>
  <c r="I38"/>
  <c r="L44"/>
  <c r="M38"/>
  <c r="E45" i="33"/>
  <c r="E47" s="1"/>
  <c r="E51" s="1"/>
  <c r="E45" i="62"/>
  <c r="E49" s="1"/>
  <c r="D31" i="48"/>
  <c r="E24"/>
  <c r="M33" i="34"/>
  <c r="L40"/>
  <c r="H40" i="35"/>
  <c r="I33"/>
  <c r="G40" i="34"/>
  <c r="F46"/>
  <c r="J43" i="42"/>
  <c r="K37"/>
  <c r="G25" i="36"/>
  <c r="H14" i="48"/>
  <c r="H16" s="1"/>
  <c r="L25" i="36"/>
  <c r="D45" i="61"/>
  <c r="D46" s="1"/>
  <c r="J44" i="44"/>
  <c r="K38"/>
  <c r="F44" i="33"/>
  <c r="F43" i="62"/>
  <c r="F45" i="33" s="1"/>
  <c r="I40" i="36" l="1"/>
  <c r="H46"/>
  <c r="I46" s="1"/>
  <c r="M43" i="42"/>
  <c r="F6" i="61"/>
  <c r="F11" s="1"/>
  <c r="F20" s="1"/>
  <c r="F31" s="1"/>
  <c r="D46" i="36"/>
  <c r="E46" s="1"/>
  <c r="E40"/>
  <c r="J46"/>
  <c r="K46" s="1"/>
  <c r="K40"/>
  <c r="L28" i="35"/>
  <c r="F33"/>
  <c r="F28" i="36"/>
  <c r="L31" i="41"/>
  <c r="J38"/>
  <c r="K31"/>
  <c r="M25" i="36"/>
  <c r="G46" i="34"/>
  <c r="D6" i="62"/>
  <c r="D11" s="1"/>
  <c r="D21" s="1"/>
  <c r="D32" s="1"/>
  <c r="D33" s="1"/>
  <c r="L46" i="34"/>
  <c r="M46" s="1"/>
  <c r="M40"/>
  <c r="K44" i="44"/>
  <c r="E6" i="60"/>
  <c r="E11" s="1"/>
  <c r="E20" s="1"/>
  <c r="E32" s="1"/>
  <c r="I16" i="48"/>
  <c r="K43" i="42"/>
  <c r="E6" i="61"/>
  <c r="E11" s="1"/>
  <c r="E20" s="1"/>
  <c r="E31" s="1"/>
  <c r="E32" s="1"/>
  <c r="I40" i="35"/>
  <c r="H46"/>
  <c r="I46" s="1"/>
  <c r="D37" i="48"/>
  <c r="E31"/>
  <c r="M44" i="44"/>
  <c r="F6" i="60"/>
  <c r="F11" s="1"/>
  <c r="F20" s="1"/>
  <c r="F32" s="1"/>
  <c r="I44" i="44"/>
  <c r="D6" i="60"/>
  <c r="D11" s="1"/>
  <c r="D20" s="1"/>
  <c r="D32" s="1"/>
  <c r="D33" s="1"/>
  <c r="J46" i="35"/>
  <c r="K46" s="1"/>
  <c r="K40"/>
  <c r="F45" i="62"/>
  <c r="F49" s="1"/>
  <c r="F47" i="33"/>
  <c r="F51" s="1"/>
  <c r="K38" i="41" l="1"/>
  <c r="J44"/>
  <c r="K44" s="1"/>
  <c r="L28" i="36"/>
  <c r="F33"/>
  <c r="F19" i="48"/>
  <c r="F24" s="1"/>
  <c r="L33" i="35"/>
  <c r="L38" i="41"/>
  <c r="M31"/>
  <c r="F40" i="35"/>
  <c r="G33"/>
  <c r="E33" i="60"/>
  <c r="D46"/>
  <c r="D47" s="1"/>
  <c r="E45" i="61"/>
  <c r="E46" s="1"/>
  <c r="F32"/>
  <c r="F45" s="1"/>
  <c r="F46" s="1"/>
  <c r="D46" i="62"/>
  <c r="D47" s="1"/>
  <c r="E37" i="48"/>
  <c r="D6" i="33"/>
  <c r="D11" s="1"/>
  <c r="D21" s="1"/>
  <c r="D34" s="1"/>
  <c r="D35" s="1"/>
  <c r="F46" i="35" l="1"/>
  <c r="G40"/>
  <c r="L44" i="41"/>
  <c r="M44" s="1"/>
  <c r="M38"/>
  <c r="G24" i="48"/>
  <c r="F31"/>
  <c r="H19"/>
  <c r="H24" s="1"/>
  <c r="L33" i="36"/>
  <c r="L40" i="35"/>
  <c r="M33"/>
  <c r="F40" i="36"/>
  <c r="G33"/>
  <c r="E46" i="60"/>
  <c r="E47" s="1"/>
  <c r="F33"/>
  <c r="F46" s="1"/>
  <c r="F47" s="1"/>
  <c r="D48" i="33"/>
  <c r="D49" s="1"/>
  <c r="M33" i="36" l="1"/>
  <c r="L40"/>
  <c r="F37" i="48"/>
  <c r="G31"/>
  <c r="F46" i="36"/>
  <c r="G40"/>
  <c r="L46" i="35"/>
  <c r="M46" s="1"/>
  <c r="M40"/>
  <c r="H31" i="48"/>
  <c r="I24"/>
  <c r="G46" i="35"/>
  <c r="E6" i="62"/>
  <c r="E11" s="1"/>
  <c r="E21" s="1"/>
  <c r="E32" s="1"/>
  <c r="E33" s="1"/>
  <c r="E46" s="1"/>
  <c r="E47" s="1"/>
  <c r="M40" i="36" l="1"/>
  <c r="L46"/>
  <c r="M46" s="1"/>
  <c r="I31" i="48"/>
  <c r="H37"/>
  <c r="F6" i="62"/>
  <c r="F11" s="1"/>
  <c r="F21" s="1"/>
  <c r="F32" s="1"/>
  <c r="F33" s="1"/>
  <c r="F46" s="1"/>
  <c r="F47" s="1"/>
  <c r="O46" i="36"/>
  <c r="G46"/>
  <c r="E6" i="33"/>
  <c r="E11" s="1"/>
  <c r="E21" s="1"/>
  <c r="E34" s="1"/>
  <c r="E35" s="1"/>
  <c r="E48" s="1"/>
  <c r="E49" s="1"/>
  <c r="G37" i="48"/>
  <c r="I37" l="1"/>
  <c r="F6" i="33"/>
  <c r="F11" s="1"/>
  <c r="F21" s="1"/>
  <c r="F34" s="1"/>
  <c r="F35" s="1"/>
  <c r="F48" s="1"/>
  <c r="F49" s="1"/>
</calcChain>
</file>

<file path=xl/comments1.xml><?xml version="1.0" encoding="utf-8"?>
<comments xmlns="http://schemas.openxmlformats.org/spreadsheetml/2006/main">
  <authors>
    <author>Arpeggio</author>
  </authors>
  <commentList>
    <comment ref="G21" authorId="0">
      <text>
        <r>
          <rPr>
            <b/>
            <sz val="9"/>
            <color indexed="81"/>
            <rFont val="Tahoma"/>
            <family val="2"/>
          </rPr>
          <t>Arpeggio:</t>
        </r>
        <r>
          <rPr>
            <sz val="9"/>
            <color indexed="81"/>
            <rFont val="Tahoma"/>
            <family val="2"/>
          </rPr>
          <t xml:space="preserve">
Quelle est la répartition des charges entre fixes et variables ?</t>
        </r>
      </text>
    </comment>
  </commentList>
</comments>
</file>

<file path=xl/sharedStrings.xml><?xml version="1.0" encoding="utf-8"?>
<sst xmlns="http://schemas.openxmlformats.org/spreadsheetml/2006/main" count="1529" uniqueCount="609">
  <si>
    <t>PRODUIT D'EXPLOITATION</t>
  </si>
  <si>
    <t>VALEUR AJOUTEE</t>
  </si>
  <si>
    <t>EXCEDENT BRUT D'EXPLOITATION (EBITDA)</t>
  </si>
  <si>
    <t>Dotations aux amortissements</t>
  </si>
  <si>
    <t>RESULTAT D'EXPLOITATION</t>
  </si>
  <si>
    <t>Résultat Financier</t>
  </si>
  <si>
    <t>+</t>
  </si>
  <si>
    <t>Actif Circulant</t>
  </si>
  <si>
    <t>Dettes</t>
  </si>
  <si>
    <t>IS</t>
  </si>
  <si>
    <t>RESULTAT NET</t>
  </si>
  <si>
    <t>RESSOURCES</t>
  </si>
  <si>
    <t>Dotations aux amortissements &amp; provisions</t>
  </si>
  <si>
    <t>CAPACITE D'AUTOFINANCEMENT</t>
  </si>
  <si>
    <t>Augmentation du Capital</t>
  </si>
  <si>
    <t>Total des ressources</t>
  </si>
  <si>
    <t>EMPLOIS</t>
  </si>
  <si>
    <t>Achat d'élément de l'actif immobilisé</t>
  </si>
  <si>
    <t>Remboursement de la dette financière</t>
  </si>
  <si>
    <t>Total des emplois</t>
  </si>
  <si>
    <t>VARIATION DU FONDS DE ROULEMENT NET GLOBAL</t>
  </si>
  <si>
    <t>Origine de la variation de Trésorerie</t>
  </si>
  <si>
    <t>Stocks</t>
  </si>
  <si>
    <t>Clients</t>
  </si>
  <si>
    <t>Fournisseurs</t>
  </si>
  <si>
    <t>Autres dettes</t>
  </si>
  <si>
    <t>FONDS DE ROULEMENT NET GLOBAL</t>
  </si>
  <si>
    <t>TRESORERIE</t>
  </si>
  <si>
    <t>TABLEAU DE FINANCEMENT</t>
  </si>
  <si>
    <t>Résultat Exceptionel</t>
  </si>
  <si>
    <t>BESOIN OU RESSOURCES EN FONDS DE ROULEMENT</t>
  </si>
  <si>
    <t>Compte courant</t>
  </si>
  <si>
    <t>MARGE BRUTE</t>
  </si>
  <si>
    <t>FRNG</t>
  </si>
  <si>
    <t>Remboursement du compte courant</t>
  </si>
  <si>
    <t>TECSABOIS</t>
  </si>
  <si>
    <t>CHENE DECORS</t>
  </si>
  <si>
    <t>Variation de stock</t>
  </si>
  <si>
    <t>Autres achats et charges externes</t>
  </si>
  <si>
    <t>Impôts et Taxes</t>
  </si>
  <si>
    <t>Charges sociales</t>
  </si>
  <si>
    <t xml:space="preserve">Autres charges </t>
  </si>
  <si>
    <t>Autre produits</t>
  </si>
  <si>
    <t xml:space="preserve">Production stockée </t>
  </si>
  <si>
    <t>TECSAFINANCE</t>
  </si>
  <si>
    <t>TECSABOIS CHARPENTE</t>
  </si>
  <si>
    <t>Matières premières</t>
  </si>
  <si>
    <t>-</t>
  </si>
  <si>
    <t>Reprises et transferts de charges</t>
  </si>
  <si>
    <t>Subventions d'exploitation</t>
  </si>
  <si>
    <t>Salaires et traitements</t>
  </si>
  <si>
    <t>Cumul au 31 décembre 2012</t>
  </si>
  <si>
    <t>Résultat net (cumulé)</t>
  </si>
  <si>
    <t>Autres emprunts</t>
  </si>
  <si>
    <t>Subvention d'investissement</t>
  </si>
  <si>
    <t>Prov pour risques</t>
  </si>
  <si>
    <t>CUMUL</t>
  </si>
  <si>
    <t>Charges variables</t>
  </si>
  <si>
    <t>Charges fixes</t>
  </si>
  <si>
    <t>CA Chêne Décors</t>
  </si>
  <si>
    <t>CA Tecsabois Charpente</t>
  </si>
  <si>
    <t>CA Chêne Décors (Séchage)</t>
  </si>
  <si>
    <t>MP Tecsa bois</t>
  </si>
  <si>
    <t>CA Tecsabois</t>
  </si>
  <si>
    <t>EDF</t>
  </si>
  <si>
    <t>1er Semestre</t>
  </si>
  <si>
    <t>Fournitures administratives</t>
  </si>
  <si>
    <t>Loyer</t>
  </si>
  <si>
    <t xml:space="preserve">Entretien </t>
  </si>
  <si>
    <t>Assurances Multirsique et RC</t>
  </si>
  <si>
    <t>ASS. Décennale</t>
  </si>
  <si>
    <t>Coface</t>
  </si>
  <si>
    <t>Révisa</t>
  </si>
  <si>
    <t>Tecsafincance</t>
  </si>
  <si>
    <t>Pub et Foire</t>
  </si>
  <si>
    <t>Frais de déplacement</t>
  </si>
  <si>
    <t>téléphone</t>
  </si>
  <si>
    <t xml:space="preserve">Frais bancaires </t>
  </si>
  <si>
    <t>Transport</t>
  </si>
  <si>
    <t>Fournitres indus</t>
  </si>
  <si>
    <t>Charges Interco Tecsafinance</t>
  </si>
  <si>
    <t>Reel</t>
  </si>
  <si>
    <t>Prev.</t>
  </si>
  <si>
    <t>2eme semestre</t>
  </si>
  <si>
    <t>Annuel</t>
  </si>
  <si>
    <t>Rémunération du dirigeant</t>
  </si>
  <si>
    <t>MP Tecsa bois (séchage)</t>
  </si>
  <si>
    <t>Charges Interco Tecsa Finance</t>
  </si>
  <si>
    <t xml:space="preserve">CA Tecsabois </t>
  </si>
  <si>
    <t>GROUPE</t>
  </si>
  <si>
    <t>Cumul</t>
  </si>
  <si>
    <t xml:space="preserve">Chiffres d'affaires </t>
  </si>
  <si>
    <t>Séchage</t>
  </si>
  <si>
    <t>R</t>
  </si>
  <si>
    <t>E</t>
  </si>
  <si>
    <t>Exploitation Forestière</t>
  </si>
  <si>
    <t>Récupération Résidus</t>
  </si>
  <si>
    <t>Menuiserie &amp; Meuble</t>
  </si>
  <si>
    <t>Négociants Bois</t>
  </si>
  <si>
    <t>Charpente</t>
  </si>
  <si>
    <t>Total</t>
  </si>
  <si>
    <t>R pour Répartition, E pour évolution par rapport à l'année N-1</t>
  </si>
  <si>
    <t>CHÊNE DECORS</t>
  </si>
  <si>
    <t>GSB</t>
  </si>
  <si>
    <t>Leroy Merlin</t>
  </si>
  <si>
    <t>Bricomarché</t>
  </si>
  <si>
    <t>Bricorama</t>
  </si>
  <si>
    <t>Mr Bricolage</t>
  </si>
  <si>
    <t>Castorama</t>
  </si>
  <si>
    <t xml:space="preserve">Négoces </t>
  </si>
  <si>
    <t>Généraliste</t>
  </si>
  <si>
    <t>Spécialisé</t>
  </si>
  <si>
    <t>Autres</t>
  </si>
  <si>
    <t xml:space="preserve">Indutriels </t>
  </si>
  <si>
    <t>Particuliers</t>
  </si>
  <si>
    <t>Professionnels déco</t>
  </si>
  <si>
    <t>Charpente décorative</t>
  </si>
  <si>
    <t>Vérandas</t>
  </si>
  <si>
    <t>Sous-Traitance</t>
  </si>
  <si>
    <t>Appel d'offre &amp; espace vert</t>
  </si>
  <si>
    <t>Produits pour le négoce Bâtiment</t>
  </si>
  <si>
    <t xml:space="preserve">Fixe </t>
  </si>
  <si>
    <t>Variable</t>
  </si>
  <si>
    <t>Bureaux</t>
  </si>
  <si>
    <t>Honoraires</t>
  </si>
  <si>
    <t>Infrastructure</t>
  </si>
  <si>
    <t>Communication</t>
  </si>
  <si>
    <t>Divers outils</t>
  </si>
  <si>
    <t>Déplacements</t>
  </si>
  <si>
    <t>Assurance</t>
  </si>
  <si>
    <t>Carburant</t>
  </si>
  <si>
    <t>Frais divers (Péage, parking, …)</t>
  </si>
  <si>
    <t>Frais de mission</t>
  </si>
  <si>
    <t>Frais postaux et telecom</t>
  </si>
  <si>
    <t>Frais postaux</t>
  </si>
  <si>
    <t>Poste</t>
  </si>
  <si>
    <t>Date d'arrivée</t>
  </si>
  <si>
    <t>Type</t>
  </si>
  <si>
    <t>Durée</t>
  </si>
  <si>
    <t>%</t>
  </si>
  <si>
    <t>Salaire de Base</t>
  </si>
  <si>
    <t>Salaire</t>
  </si>
  <si>
    <t>Charges patronales</t>
  </si>
  <si>
    <t>Salaires chargés</t>
  </si>
  <si>
    <t>Brut</t>
  </si>
  <si>
    <t>CSP</t>
  </si>
  <si>
    <t>CDI</t>
  </si>
  <si>
    <t>Temps complet</t>
  </si>
  <si>
    <t>Net</t>
  </si>
  <si>
    <t>CS</t>
  </si>
  <si>
    <t>Montant</t>
  </si>
  <si>
    <t>Date</t>
  </si>
  <si>
    <t>Amortissement</t>
  </si>
  <si>
    <t>Montant amorti au</t>
  </si>
  <si>
    <t>Valeur Nette Comptable au</t>
  </si>
  <si>
    <t>Investissements corporels</t>
  </si>
  <si>
    <t>Investissements incorporels</t>
  </si>
  <si>
    <t>Investissements financiers</t>
  </si>
  <si>
    <t>Caution</t>
  </si>
  <si>
    <t>Charges supplémentaires à prévoir liée au plan d'action</t>
  </si>
  <si>
    <t>Salon</t>
  </si>
  <si>
    <t xml:space="preserve">Directeur de site </t>
  </si>
  <si>
    <t>Leasing Chariot</t>
  </si>
  <si>
    <t>Véhicules (Leasing C4)</t>
  </si>
  <si>
    <t>Frais d'augmentation de capital</t>
  </si>
  <si>
    <t>Chaudière à bois</t>
  </si>
  <si>
    <t xml:space="preserve">Abouteuse </t>
  </si>
  <si>
    <t>Linéaire 60 mois?</t>
  </si>
  <si>
    <t>Coupe rapide à Commande Numérique</t>
  </si>
  <si>
    <t>Responsable commercial</t>
  </si>
  <si>
    <t xml:space="preserve">Portable </t>
  </si>
  <si>
    <t xml:space="preserve">Responsable de site </t>
  </si>
  <si>
    <t>Responsable de centre de profit</t>
  </si>
  <si>
    <t xml:space="preserve">Responsable d'atelier </t>
  </si>
  <si>
    <t>Assistant commercial BE</t>
  </si>
  <si>
    <t>Responsable informatique</t>
  </si>
  <si>
    <t>Communication Internet</t>
  </si>
  <si>
    <t xml:space="preserve">Publicité </t>
  </si>
  <si>
    <t xml:space="preserve">4 Face </t>
  </si>
  <si>
    <t>Chariot</t>
  </si>
  <si>
    <t>Séchoir sous vide</t>
  </si>
  <si>
    <t>Linéaire 120 mois</t>
  </si>
  <si>
    <t>TOTAL</t>
  </si>
  <si>
    <t>Masse salariale</t>
  </si>
  <si>
    <t>Effectifs</t>
  </si>
  <si>
    <t>MS/Eff</t>
  </si>
  <si>
    <t>CA/Eff</t>
  </si>
  <si>
    <t>Parquetteurs</t>
  </si>
  <si>
    <t>Assemblage Poutre à cheminée</t>
  </si>
  <si>
    <t xml:space="preserve">France </t>
  </si>
  <si>
    <t>Export</t>
  </si>
  <si>
    <t>Autres créances</t>
  </si>
  <si>
    <t xml:space="preserve"> TECSABOIS</t>
  </si>
  <si>
    <t>Délai de règlement fournisseur (j)</t>
  </si>
  <si>
    <t>Délai de règlement Client (j)</t>
  </si>
  <si>
    <t>Remboursement de la dette sociale</t>
  </si>
  <si>
    <t xml:space="preserve">Remboursement de la dette financière </t>
  </si>
  <si>
    <t xml:space="preserve">Résultat net </t>
  </si>
  <si>
    <t>Carry Back</t>
  </si>
  <si>
    <t xml:space="preserve">Stocks </t>
  </si>
  <si>
    <t>TOTAL DE L ASSURANCE: 24300 EUROS</t>
  </si>
  <si>
    <t>TOTAL DES INTERETS: 10546.39 EUROS</t>
  </si>
  <si>
    <t>TOTAL DES MENSUALITES HORS ASSURANCE: 145546.39 EUROS</t>
  </si>
  <si>
    <t>2830.77</t>
  </si>
  <si>
    <t>405.00</t>
  </si>
  <si>
    <t>6.05</t>
  </si>
  <si>
    <t>2419.72</t>
  </si>
  <si>
    <t>2425.77</t>
  </si>
  <si>
    <t>-0.00</t>
  </si>
  <si>
    <t>12.08</t>
  </si>
  <si>
    <t>2413.69</t>
  </si>
  <si>
    <t>18.10</t>
  </si>
  <si>
    <t>2407.67</t>
  </si>
  <si>
    <t>4833.41</t>
  </si>
  <si>
    <t>24.11</t>
  </si>
  <si>
    <t>2401.67</t>
  </si>
  <si>
    <t>7241.08</t>
  </si>
  <si>
    <t>30.10</t>
  </si>
  <si>
    <t>2395.68</t>
  </si>
  <si>
    <t>9642.75</t>
  </si>
  <si>
    <t>36.07</t>
  </si>
  <si>
    <t>2389.70</t>
  </si>
  <si>
    <t>12038.43</t>
  </si>
  <si>
    <t>42.03</t>
  </si>
  <si>
    <t>2383.74</t>
  </si>
  <si>
    <t>14428.13</t>
  </si>
  <si>
    <t>47.97</t>
  </si>
  <si>
    <t>2377.80</t>
  </si>
  <si>
    <t>16811.87</t>
  </si>
  <si>
    <t>53.90</t>
  </si>
  <si>
    <t>2371.87</t>
  </si>
  <si>
    <t>19189.67</t>
  </si>
  <si>
    <t>59.82</t>
  </si>
  <si>
    <t>2365.95</t>
  </si>
  <si>
    <t>21561.54</t>
  </si>
  <si>
    <t>65.72</t>
  </si>
  <si>
    <t>2360.05</t>
  </si>
  <si>
    <t>23927.50</t>
  </si>
  <si>
    <t>71.60</t>
  </si>
  <si>
    <t>2354.17</t>
  </si>
  <si>
    <t>26287.55</t>
  </si>
  <si>
    <t>77.48</t>
  </si>
  <si>
    <t>2348.30</t>
  </si>
  <si>
    <t>28641.72</t>
  </si>
  <si>
    <t>83.33</t>
  </si>
  <si>
    <t>2342.44</t>
  </si>
  <si>
    <t>30990.02</t>
  </si>
  <si>
    <t>89.17</t>
  </si>
  <si>
    <t>2336.60</t>
  </si>
  <si>
    <t>33332.46</t>
  </si>
  <si>
    <t>95.00</t>
  </si>
  <si>
    <t>2330.77</t>
  </si>
  <si>
    <t>35669.06</t>
  </si>
  <si>
    <t>100.81</t>
  </si>
  <si>
    <t>2324.96</t>
  </si>
  <si>
    <t>37999.83</t>
  </si>
  <si>
    <t>106.61</t>
  </si>
  <si>
    <t>2319.16</t>
  </si>
  <si>
    <t>40324.80</t>
  </si>
  <si>
    <t>112.39</t>
  </si>
  <si>
    <t>2313.38</t>
  </si>
  <si>
    <t>42643.96</t>
  </si>
  <si>
    <t>118.16</t>
  </si>
  <si>
    <t>2307.61</t>
  </si>
  <si>
    <t>44957.34</t>
  </si>
  <si>
    <t>123.92</t>
  </si>
  <si>
    <t>2301.86</t>
  </si>
  <si>
    <t>47264.95</t>
  </si>
  <si>
    <t>129.66</t>
  </si>
  <si>
    <t>2296.12</t>
  </si>
  <si>
    <t>49566.81</t>
  </si>
  <si>
    <t>135.38</t>
  </si>
  <si>
    <t>2290.39</t>
  </si>
  <si>
    <t>51862.92</t>
  </si>
  <si>
    <t>141.09</t>
  </si>
  <si>
    <t>2284.68</t>
  </si>
  <si>
    <t>54153.31</t>
  </si>
  <si>
    <t>146.79</t>
  </si>
  <si>
    <t>2278.98</t>
  </si>
  <si>
    <t>56437.99</t>
  </si>
  <si>
    <t>152.48</t>
  </si>
  <si>
    <t>2273.30</t>
  </si>
  <si>
    <t>58716.97</t>
  </si>
  <si>
    <t>158.14</t>
  </si>
  <si>
    <t>2267.63</t>
  </si>
  <si>
    <t>60990.27</t>
  </si>
  <si>
    <t>163.80</t>
  </si>
  <si>
    <t>2261.97</t>
  </si>
  <si>
    <t>63257.90</t>
  </si>
  <si>
    <t>169.44</t>
  </si>
  <si>
    <t>2256.33</t>
  </si>
  <si>
    <t>65519.87</t>
  </si>
  <si>
    <t>175.07</t>
  </si>
  <si>
    <t>2250.71</t>
  </si>
  <si>
    <t>67776.20</t>
  </si>
  <si>
    <t>180.68</t>
  </si>
  <si>
    <t>2245.09</t>
  </si>
  <si>
    <t>70026.91</t>
  </si>
  <si>
    <t>186.28</t>
  </si>
  <si>
    <t>2239.49</t>
  </si>
  <si>
    <t>72272.00</t>
  </si>
  <si>
    <t>191.86</t>
  </si>
  <si>
    <t>2233.91</t>
  </si>
  <si>
    <t>74511.50</t>
  </si>
  <si>
    <t>197.43</t>
  </si>
  <si>
    <t>2228.34</t>
  </si>
  <si>
    <t>76745.41</t>
  </si>
  <si>
    <t>202.99</t>
  </si>
  <si>
    <t>2222.78</t>
  </si>
  <si>
    <t>78973.75</t>
  </si>
  <si>
    <t>208.53</t>
  </si>
  <si>
    <t>2217.24</t>
  </si>
  <si>
    <t>81196.53</t>
  </si>
  <si>
    <t>214.06</t>
  </si>
  <si>
    <t>2211.71</t>
  </si>
  <si>
    <t>83413.77</t>
  </si>
  <si>
    <t>219.58</t>
  </si>
  <si>
    <t>2206.19</t>
  </si>
  <si>
    <t>85625.48</t>
  </si>
  <si>
    <t>225.08</t>
  </si>
  <si>
    <t>2200.69</t>
  </si>
  <si>
    <t>87831.67</t>
  </si>
  <si>
    <t>230.57</t>
  </si>
  <si>
    <t>2195.20</t>
  </si>
  <si>
    <t>90032.36</t>
  </si>
  <si>
    <t>236.04</t>
  </si>
  <si>
    <t>2189.73</t>
  </si>
  <si>
    <t>92227.57</t>
  </si>
  <si>
    <t>241.50</t>
  </si>
  <si>
    <t>2184.27</t>
  </si>
  <si>
    <t>94417.30</t>
  </si>
  <si>
    <t>246.95</t>
  </si>
  <si>
    <t>96601.57</t>
  </si>
  <si>
    <t>252.38</t>
  </si>
  <si>
    <t>98780.39</t>
  </si>
  <si>
    <t>257.80</t>
  </si>
  <si>
    <t>100953.78</t>
  </si>
  <si>
    <t>263.21</t>
  </si>
  <si>
    <t>103121.75</t>
  </si>
  <si>
    <t>268.60</t>
  </si>
  <si>
    <t>105284.31</t>
  </si>
  <si>
    <t>273.98</t>
  </si>
  <si>
    <t>107441.48</t>
  </si>
  <si>
    <t>279.35</t>
  </si>
  <si>
    <t>109593.27</t>
  </si>
  <si>
    <t>284.70</t>
  </si>
  <si>
    <t>111739.69</t>
  </si>
  <si>
    <t>290.04</t>
  </si>
  <si>
    <t>113880.76</t>
  </si>
  <si>
    <t>295.37</t>
  </si>
  <si>
    <t>116016.50</t>
  </si>
  <si>
    <t>300.68</t>
  </si>
  <si>
    <t>118146.90</t>
  </si>
  <si>
    <t>305.98</t>
  </si>
  <si>
    <t>2119.79</t>
  </si>
  <si>
    <t>120272.00</t>
  </si>
  <si>
    <t>311.27</t>
  </si>
  <si>
    <t>122391.79</t>
  </si>
  <si>
    <t>316.54</t>
  </si>
  <si>
    <t>124506.30</t>
  </si>
  <si>
    <t>321.80</t>
  </si>
  <si>
    <t>126615.53</t>
  </si>
  <si>
    <t>327.05</t>
  </si>
  <si>
    <t>128719.51</t>
  </si>
  <si>
    <t>332.28</t>
  </si>
  <si>
    <t>130818.23</t>
  </si>
  <si>
    <t>337.50</t>
  </si>
  <si>
    <t>132911.73</t>
  </si>
  <si>
    <t>MENSUALITE AVEC ASSURANCE</t>
  </si>
  <si>
    <t>ASSURANCE</t>
  </si>
  <si>
    <t>DONT INTERETS</t>
  </si>
  <si>
    <t>DONT CAPITAL</t>
  </si>
  <si>
    <t>MENSUALITE</t>
  </si>
  <si>
    <t>CAPITAL RESTANT DU</t>
  </si>
  <si>
    <t>DATE</t>
  </si>
  <si>
    <t>ECHEANCE</t>
  </si>
  <si>
    <t>49226.57</t>
  </si>
  <si>
    <t>898.43</t>
  </si>
  <si>
    <t>125.00</t>
  </si>
  <si>
    <t>150.00</t>
  </si>
  <si>
    <t>1048.43</t>
  </si>
  <si>
    <t>48451.20</t>
  </si>
  <si>
    <t>123.07</t>
  </si>
  <si>
    <t>47673.89</t>
  </si>
  <si>
    <t>121.13</t>
  </si>
  <si>
    <t>46894.64</t>
  </si>
  <si>
    <t>119.18</t>
  </si>
  <si>
    <t>46113.44</t>
  </si>
  <si>
    <t>117.24</t>
  </si>
  <si>
    <t>45330.29</t>
  </si>
  <si>
    <t>115.28</t>
  </si>
  <si>
    <t>44545.18</t>
  </si>
  <si>
    <t>113.33</t>
  </si>
  <si>
    <t>43758.11</t>
  </si>
  <si>
    <t>787.07</t>
  </si>
  <si>
    <t>111.36</t>
  </si>
  <si>
    <t>42969.07</t>
  </si>
  <si>
    <t>789.04</t>
  </si>
  <si>
    <t>109.40</t>
  </si>
  <si>
    <t>42178.06</t>
  </si>
  <si>
    <t>791.01</t>
  </si>
  <si>
    <t>107.42</t>
  </si>
  <si>
    <t>41385.07</t>
  </si>
  <si>
    <t>792.99</t>
  </si>
  <si>
    <t>105.45</t>
  </si>
  <si>
    <t>40590.10</t>
  </si>
  <si>
    <t>794.97</t>
  </si>
  <si>
    <t>103.46</t>
  </si>
  <si>
    <t>39793.14</t>
  </si>
  <si>
    <t>796.96</t>
  </si>
  <si>
    <t>101.48</t>
  </si>
  <si>
    <t>38994.19</t>
  </si>
  <si>
    <t>798.95</t>
  </si>
  <si>
    <t>99.48</t>
  </si>
  <si>
    <t>38193.24</t>
  </si>
  <si>
    <t>800.95</t>
  </si>
  <si>
    <t>97.49</t>
  </si>
  <si>
    <t>37390.29</t>
  </si>
  <si>
    <t>802.95</t>
  </si>
  <si>
    <t>95.48</t>
  </si>
  <si>
    <t>36585.33</t>
  </si>
  <si>
    <t>804.96</t>
  </si>
  <si>
    <t>93.48</t>
  </si>
  <si>
    <t>35778.36</t>
  </si>
  <si>
    <t>806.97</t>
  </si>
  <si>
    <t>91.46</t>
  </si>
  <si>
    <t>34969.37</t>
  </si>
  <si>
    <t>808.99</t>
  </si>
  <si>
    <t>89.45</t>
  </si>
  <si>
    <t>34158.36</t>
  </si>
  <si>
    <t>811.01</t>
  </si>
  <si>
    <t>87.42</t>
  </si>
  <si>
    <t>33345.32</t>
  </si>
  <si>
    <t>813.04</t>
  </si>
  <si>
    <t>85.40</t>
  </si>
  <si>
    <t>32530.25</t>
  </si>
  <si>
    <t>815.07</t>
  </si>
  <si>
    <t>83.36</t>
  </si>
  <si>
    <t>31713.14</t>
  </si>
  <si>
    <t>817.11</t>
  </si>
  <si>
    <t>81.33</t>
  </si>
  <si>
    <t>30893.99</t>
  </si>
  <si>
    <t>819.15</t>
  </si>
  <si>
    <t>79.28</t>
  </si>
  <si>
    <t>30072.79</t>
  </si>
  <si>
    <t>821.20</t>
  </si>
  <si>
    <t>77.23</t>
  </si>
  <si>
    <t>29249.54</t>
  </si>
  <si>
    <t>823.25</t>
  </si>
  <si>
    <t>75.18</t>
  </si>
  <si>
    <t>28424.22</t>
  </si>
  <si>
    <t>825.31</t>
  </si>
  <si>
    <t>73.12</t>
  </si>
  <si>
    <t>27596.85</t>
  </si>
  <si>
    <t>827.37</t>
  </si>
  <si>
    <t>71.06</t>
  </si>
  <si>
    <t>26767.41</t>
  </si>
  <si>
    <t>829.44</t>
  </si>
  <si>
    <t>68.99</t>
  </si>
  <si>
    <t>25935.89</t>
  </si>
  <si>
    <t>831.52</t>
  </si>
  <si>
    <t>66.92</t>
  </si>
  <si>
    <t>25102.30</t>
  </si>
  <si>
    <t>833.59</t>
  </si>
  <si>
    <t>64.84</t>
  </si>
  <si>
    <t>24266.62</t>
  </si>
  <si>
    <t>835.68</t>
  </si>
  <si>
    <t>62.76</t>
  </si>
  <si>
    <t>23428.85</t>
  </si>
  <si>
    <t>837.77</t>
  </si>
  <si>
    <t>60.67</t>
  </si>
  <si>
    <t>22588.99</t>
  </si>
  <si>
    <t>839.86</t>
  </si>
  <si>
    <t>58.57</t>
  </si>
  <si>
    <t>21747.03</t>
  </si>
  <si>
    <t>841.96</t>
  </si>
  <si>
    <t>56.47</t>
  </si>
  <si>
    <t>20902.96</t>
  </si>
  <si>
    <t>844.07</t>
  </si>
  <si>
    <t>54.37</t>
  </si>
  <si>
    <t>20056.78</t>
  </si>
  <si>
    <t>846.18</t>
  </si>
  <si>
    <t>52.26</t>
  </si>
  <si>
    <t>19208.49</t>
  </si>
  <si>
    <t>848.29</t>
  </si>
  <si>
    <t>50.14</t>
  </si>
  <si>
    <t>18358.08</t>
  </si>
  <si>
    <t>850.41</t>
  </si>
  <si>
    <t>48.02</t>
  </si>
  <si>
    <t>17505.54</t>
  </si>
  <si>
    <t>852.54</t>
  </si>
  <si>
    <t>45.90</t>
  </si>
  <si>
    <t>16650.87</t>
  </si>
  <si>
    <t>854.67</t>
  </si>
  <si>
    <t>43.76</t>
  </si>
  <si>
    <t>15794.06</t>
  </si>
  <si>
    <t>856.81</t>
  </si>
  <si>
    <t>41.63</t>
  </si>
  <si>
    <t>14935.11</t>
  </si>
  <si>
    <t>858.95</t>
  </si>
  <si>
    <t>39.49</t>
  </si>
  <si>
    <t>14074.01</t>
  </si>
  <si>
    <t>861.10</t>
  </si>
  <si>
    <t>37.34</t>
  </si>
  <si>
    <t>13210.76</t>
  </si>
  <si>
    <t>863.25</t>
  </si>
  <si>
    <t>35.19</t>
  </si>
  <si>
    <t>12345.36</t>
  </si>
  <si>
    <t>865.41</t>
  </si>
  <si>
    <t>33.03</t>
  </si>
  <si>
    <t>11477.78</t>
  </si>
  <si>
    <t>867.57</t>
  </si>
  <si>
    <t>30.86</t>
  </si>
  <si>
    <t>10608.04</t>
  </si>
  <si>
    <t>869.74</t>
  </si>
  <si>
    <t>28.69</t>
  </si>
  <si>
    <t>9736.13</t>
  </si>
  <si>
    <t>871.91</t>
  </si>
  <si>
    <t>26.52</t>
  </si>
  <si>
    <t>8862.04</t>
  </si>
  <si>
    <t>874.09</t>
  </si>
  <si>
    <t>24.34</t>
  </si>
  <si>
    <t>7985.76</t>
  </si>
  <si>
    <t>876.28</t>
  </si>
  <si>
    <t>22.16</t>
  </si>
  <si>
    <t>7107.29</t>
  </si>
  <si>
    <t>878.47</t>
  </si>
  <si>
    <t>19.96</t>
  </si>
  <si>
    <t>6226.62</t>
  </si>
  <si>
    <t>880.67</t>
  </si>
  <si>
    <t>17.77</t>
  </si>
  <si>
    <t>5343.75</t>
  </si>
  <si>
    <t>882.87</t>
  </si>
  <si>
    <t>15.57</t>
  </si>
  <si>
    <t>4458.68</t>
  </si>
  <si>
    <t>885.08</t>
  </si>
  <si>
    <t>13.36</t>
  </si>
  <si>
    <t>3571.39</t>
  </si>
  <si>
    <t>887.29</t>
  </si>
  <si>
    <t>11.15</t>
  </si>
  <si>
    <t>2681.88</t>
  </si>
  <si>
    <t>889.51</t>
  </si>
  <si>
    <t>8.93</t>
  </si>
  <si>
    <t>1790.15</t>
  </si>
  <si>
    <t>891.73</t>
  </si>
  <si>
    <t>6.70</t>
  </si>
  <si>
    <t>896.19</t>
  </si>
  <si>
    <t>893.96</t>
  </si>
  <si>
    <t>4.48</t>
  </si>
  <si>
    <t>2.24</t>
  </si>
  <si>
    <t>TOTAL DES MENSUALITES HORS ASSURANCE: 53906.07 EUROS</t>
  </si>
  <si>
    <t>TOTAL DES INTERETS: 3906.07 EUROS</t>
  </si>
  <si>
    <t>TOTAL DE L ASSURANCE: 9000 EUROS</t>
  </si>
  <si>
    <t>Vous trouverez ci dessus le tableau d'amortissement complet de votre prêt , vous pouvez aussi refaire une simulation.</t>
  </si>
  <si>
    <r>
      <t>Le tableau d'amortissement obtenu peut servir de point de départ dans une </t>
    </r>
    <r>
      <rPr>
        <b/>
        <sz val="14"/>
        <color indexed="8"/>
        <rFont val="Tahoma"/>
        <family val="2"/>
      </rPr>
      <t>démarche de rachat de crédit</t>
    </r>
  </si>
  <si>
    <t xml:space="preserve">Remboursement de la dette sociale </t>
  </si>
  <si>
    <t>Forinvest</t>
  </si>
  <si>
    <t>Investissement potentiel</t>
  </si>
  <si>
    <t>Appro de 4000m3 payé à 180jours</t>
  </si>
  <si>
    <t>Loi Tépa</t>
  </si>
  <si>
    <t>Atome Conseil</t>
  </si>
  <si>
    <t>Investisseur1</t>
  </si>
  <si>
    <t>Investisseur2</t>
  </si>
  <si>
    <t>SOFIMAC</t>
  </si>
  <si>
    <t>FSI</t>
  </si>
  <si>
    <t>Fond d'investi technopôle</t>
  </si>
  <si>
    <t>Année</t>
  </si>
  <si>
    <t>Non?</t>
  </si>
  <si>
    <t>Benoît HUE</t>
  </si>
  <si>
    <t xml:space="preserve">Transabois </t>
  </si>
  <si>
    <t>Tecsaf</t>
  </si>
  <si>
    <t>Remboursement du découvert autorisé</t>
  </si>
  <si>
    <t>Régularisation du trop perçu impôt Carry Back</t>
  </si>
  <si>
    <t>Clients (Affacturage à 95%)</t>
  </si>
  <si>
    <t>Clients (Escompté à 95%)</t>
  </si>
  <si>
    <t xml:space="preserve">Yann gorin </t>
  </si>
  <si>
    <t>CA en €</t>
  </si>
  <si>
    <t>Répartition par activités</t>
  </si>
  <si>
    <t>Répartition par zone géographique</t>
  </si>
  <si>
    <t>Autres activités (transférées en 2013)</t>
  </si>
  <si>
    <t>s/total</t>
  </si>
  <si>
    <t>TOTAL CA</t>
  </si>
  <si>
    <t>CA Groupe</t>
  </si>
  <si>
    <t>Sciage*</t>
  </si>
  <si>
    <t>*Répartion de l'activité "sciage"</t>
  </si>
  <si>
    <t>Annexe B1, solde  intermédiaire de gestion de la Société:      TECSABOIS</t>
  </si>
  <si>
    <t>Provision pour risques</t>
  </si>
  <si>
    <t>Produits/titres participations</t>
  </si>
  <si>
    <t>Clients (Affacturage à 95%, à partir de 2013)</t>
  </si>
  <si>
    <t>Produits / Titres participations</t>
  </si>
  <si>
    <t>Remboursement du découvert autorisé CHÊNE DECORS</t>
  </si>
  <si>
    <t>Emprunts bancaires</t>
  </si>
  <si>
    <t>Administrateur des ventes &amp; SAV</t>
  </si>
  <si>
    <t>Cautionnement  TECSABOIS pour l'achat de grumes</t>
  </si>
  <si>
    <t>Cautionnement pour l'achat de grumes</t>
  </si>
  <si>
    <t>BFR en Jour de chiffre d'affaire</t>
  </si>
  <si>
    <t>Emprunt</t>
  </si>
  <si>
    <t>Leasing</t>
  </si>
  <si>
    <t>4 Faces à Frises</t>
  </si>
  <si>
    <t>Table de Montage</t>
  </si>
  <si>
    <t>Hundegger Robotdrive</t>
  </si>
  <si>
    <t>Défonceuse CN</t>
  </si>
  <si>
    <t>2ème aspiration</t>
  </si>
  <si>
    <t>Chariot élévateur</t>
  </si>
  <si>
    <t>3 gerbeurs</t>
  </si>
  <si>
    <r>
      <t>Compte courant</t>
    </r>
    <r>
      <rPr>
        <i/>
        <sz val="10"/>
        <rFont val="Calibri"/>
        <family val="2"/>
      </rPr>
      <t xml:space="preserve"> </t>
    </r>
    <r>
      <rPr>
        <i/>
        <sz val="9"/>
        <rFont val="Calibri"/>
        <family val="2"/>
      </rPr>
      <t xml:space="preserve">(En 2014: bloqué pour caution) </t>
    </r>
  </si>
  <si>
    <t>Espace vert</t>
  </si>
  <si>
    <t>KIMI Ossature Bois</t>
  </si>
  <si>
    <t>Leroy Merlin Ibérique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</si>
</sst>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_ * #,##0.00_)\ &quot;€&quot;_ ;_ * \(#,##0.00\)\ &quot;€&quot;_ ;_ * &quot;-&quot;??_)\ &quot;€&quot;_ ;_ @_ "/>
    <numFmt numFmtId="165" formatCode="_ * #,##0.00_)\ _€_ ;_ * \(#,##0.00\)\ _€_ ;_ * &quot;-&quot;??_)\ _€_ ;_ @_ "/>
    <numFmt numFmtId="166" formatCode="_ * #,##0_)\ _€_ ;_ * \(#,##0\)\ _€_ ;_ * &quot;-&quot;??_)\ _€_ ;_ @_ "/>
    <numFmt numFmtId="167" formatCode="_-* #,##0\ _€_-;\-* #,##0\ _€_-;_-* &quot;-&quot;??\ _€_-;_-@_-"/>
    <numFmt numFmtId="168" formatCode="_ * #,##0_)\ &quot;€&quot;_ ;_ * \(#,##0\)\ &quot;€&quot;_ ;_ * &quot;-&quot;??_)\ &quot;€&quot;_ ;_ @_ "/>
    <numFmt numFmtId="169" formatCode="0.0%"/>
    <numFmt numFmtId="170" formatCode="dd/mm/yy;@"/>
    <numFmt numFmtId="171" formatCode="0#&quot; &quot;##&quot; &quot;##&quot; &quot;##&quot; &quot;##"/>
    <numFmt numFmtId="172" formatCode="_-* #,##0.00000\ _€_-;\-* #,##0.00000\ _€_-;_-* &quot;-&quot;??\ _€_-;_-@_-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.5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55"/>
      <name val="Calibri"/>
      <family val="2"/>
    </font>
    <font>
      <i/>
      <sz val="9"/>
      <name val="Calibri"/>
      <family val="2"/>
    </font>
    <font>
      <i/>
      <sz val="11"/>
      <color indexed="55"/>
      <name val="Calibri"/>
      <family val="2"/>
    </font>
    <font>
      <sz val="8"/>
      <color indexed="10"/>
      <name val="Calibri"/>
      <family val="2"/>
    </font>
    <font>
      <sz val="11"/>
      <color indexed="10"/>
      <name val="Calibri"/>
      <family val="2"/>
    </font>
    <font>
      <sz val="8"/>
      <color indexed="10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indexed="11"/>
      <name val="Calibri"/>
      <family val="2"/>
    </font>
    <font>
      <sz val="11"/>
      <color indexed="55"/>
      <name val="Calibri"/>
      <family val="2"/>
    </font>
    <font>
      <sz val="9"/>
      <color indexed="22"/>
      <name val="Calibri"/>
      <family val="2"/>
    </font>
    <font>
      <sz val="14"/>
      <color indexed="8"/>
      <name val="Tahoma"/>
      <family val="2"/>
    </font>
    <font>
      <sz val="11"/>
      <color indexed="8"/>
      <name val="Times New Roman"/>
      <family val="1"/>
    </font>
    <font>
      <b/>
      <sz val="11"/>
      <color indexed="8"/>
      <name val="Tahoma"/>
      <family val="2"/>
    </font>
    <font>
      <b/>
      <sz val="14"/>
      <color indexed="8"/>
      <name val="Tahoma"/>
      <family val="2"/>
    </font>
    <font>
      <b/>
      <sz val="11"/>
      <color indexed="9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i/>
      <sz val="1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0">
    <xf numFmtId="0" fontId="0" fillId="0" borderId="0" xfId="0"/>
    <xf numFmtId="0" fontId="4" fillId="0" borderId="0" xfId="0" applyFont="1" applyFill="1"/>
    <xf numFmtId="166" fontId="4" fillId="0" borderId="0" xfId="2" applyNumberFormat="1" applyFont="1" applyFill="1" applyBorder="1"/>
    <xf numFmtId="168" fontId="4" fillId="0" borderId="0" xfId="5" applyNumberFormat="1" applyFont="1" applyFill="1"/>
    <xf numFmtId="168" fontId="4" fillId="0" borderId="0" xfId="0" applyNumberFormat="1" applyFont="1" applyFill="1"/>
    <xf numFmtId="0" fontId="4" fillId="0" borderId="0" xfId="0" applyFont="1" applyFill="1" applyBorder="1"/>
    <xf numFmtId="9" fontId="4" fillId="0" borderId="0" xfId="8" applyFont="1" applyFill="1"/>
    <xf numFmtId="0" fontId="6" fillId="0" borderId="0" xfId="2" applyNumberFormat="1" applyFont="1" applyFill="1" applyBorder="1" applyAlignment="1"/>
    <xf numFmtId="169" fontId="7" fillId="0" borderId="0" xfId="8" applyNumberFormat="1" applyFont="1" applyFill="1" applyAlignment="1">
      <alignment horizontal="center"/>
    </xf>
    <xf numFmtId="0" fontId="4" fillId="0" borderId="0" xfId="0" applyNumberFormat="1" applyFont="1" applyFill="1"/>
    <xf numFmtId="0" fontId="4" fillId="0" borderId="0" xfId="2" applyNumberFormat="1" applyFont="1" applyFill="1" applyAlignment="1">
      <alignment horizontal="left"/>
    </xf>
    <xf numFmtId="0" fontId="4" fillId="0" borderId="0" xfId="2" applyNumberFormat="1" applyFont="1" applyFill="1"/>
    <xf numFmtId="169" fontId="8" fillId="0" borderId="0" xfId="8" applyNumberFormat="1" applyFont="1" applyFill="1"/>
    <xf numFmtId="166" fontId="4" fillId="0" borderId="0" xfId="2" applyNumberFormat="1" applyFont="1" applyFill="1"/>
    <xf numFmtId="0" fontId="3" fillId="0" borderId="0" xfId="2" applyNumberFormat="1" applyFont="1" applyFill="1" applyBorder="1" applyAlignment="1">
      <alignment horizontal="left"/>
    </xf>
    <xf numFmtId="0" fontId="4" fillId="0" borderId="0" xfId="0" applyNumberFormat="1" applyFont="1" applyFill="1" applyBorder="1"/>
    <xf numFmtId="169" fontId="8" fillId="0" borderId="0" xfId="8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2" applyNumberFormat="1" applyFont="1" applyFill="1" applyAlignment="1">
      <alignment horizontal="center"/>
    </xf>
    <xf numFmtId="166" fontId="3" fillId="0" borderId="0" xfId="2" applyNumberFormat="1" applyFont="1" applyFill="1"/>
    <xf numFmtId="166" fontId="5" fillId="0" borderId="0" xfId="2" applyNumberFormat="1" applyFont="1" applyFill="1"/>
    <xf numFmtId="166" fontId="3" fillId="0" borderId="1" xfId="2" applyNumberFormat="1" applyFont="1" applyFill="1" applyBorder="1"/>
    <xf numFmtId="166" fontId="4" fillId="0" borderId="1" xfId="2" applyNumberFormat="1" applyFont="1" applyFill="1" applyBorder="1"/>
    <xf numFmtId="167" fontId="3" fillId="0" borderId="2" xfId="2" applyNumberFormat="1" applyFont="1" applyFill="1" applyBorder="1"/>
    <xf numFmtId="169" fontId="7" fillId="0" borderId="2" xfId="8" applyNumberFormat="1" applyFont="1" applyFill="1" applyBorder="1"/>
    <xf numFmtId="0" fontId="3" fillId="0" borderId="0" xfId="0" applyNumberFormat="1" applyFont="1" applyFill="1"/>
    <xf numFmtId="0" fontId="3" fillId="0" borderId="0" xfId="2" applyNumberFormat="1" applyFont="1" applyFill="1" applyAlignment="1">
      <alignment horizontal="left"/>
    </xf>
    <xf numFmtId="0" fontId="9" fillId="0" borderId="0" xfId="2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166" fontId="12" fillId="0" borderId="0" xfId="2" applyNumberFormat="1" applyFont="1" applyFill="1"/>
    <xf numFmtId="166" fontId="10" fillId="0" borderId="0" xfId="2" applyNumberFormat="1" applyFont="1" applyFill="1"/>
    <xf numFmtId="166" fontId="11" fillId="0" borderId="0" xfId="2" applyNumberFormat="1" applyFont="1" applyFill="1"/>
    <xf numFmtId="166" fontId="13" fillId="0" borderId="0" xfId="2" applyNumberFormat="1" applyFont="1" applyFill="1" applyAlignment="1">
      <alignment horizontal="right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 applyAlignment="1">
      <alignment horizontal="right"/>
    </xf>
    <xf numFmtId="9" fontId="8" fillId="0" borderId="0" xfId="8" applyNumberFormat="1" applyFont="1" applyFill="1"/>
    <xf numFmtId="9" fontId="4" fillId="0" borderId="0" xfId="2" applyNumberFormat="1" applyFont="1" applyFill="1" applyAlignment="1">
      <alignment horizontal="left"/>
    </xf>
    <xf numFmtId="166" fontId="4" fillId="2" borderId="0" xfId="2" applyNumberFormat="1" applyFont="1" applyFill="1"/>
    <xf numFmtId="0" fontId="3" fillId="2" borderId="0" xfId="2" applyNumberFormat="1" applyFont="1" applyFill="1" applyAlignment="1">
      <alignment horizontal="left"/>
    </xf>
    <xf numFmtId="0" fontId="4" fillId="2" borderId="0" xfId="2" applyNumberFormat="1" applyFont="1" applyFill="1" applyAlignment="1">
      <alignment horizontal="center"/>
    </xf>
    <xf numFmtId="166" fontId="3" fillId="2" borderId="1" xfId="2" applyNumberFormat="1" applyFont="1" applyFill="1" applyBorder="1"/>
    <xf numFmtId="166" fontId="4" fillId="2" borderId="1" xfId="2" applyNumberFormat="1" applyFont="1" applyFill="1" applyBorder="1"/>
    <xf numFmtId="166" fontId="3" fillId="2" borderId="0" xfId="2" applyNumberFormat="1" applyFont="1" applyFill="1"/>
    <xf numFmtId="166" fontId="4" fillId="2" borderId="0" xfId="2" applyNumberFormat="1" applyFont="1" applyFill="1" applyBorder="1"/>
    <xf numFmtId="166" fontId="5" fillId="2" borderId="0" xfId="2" applyNumberFormat="1" applyFont="1" applyFill="1"/>
    <xf numFmtId="164" fontId="0" fillId="0" borderId="0" xfId="5" applyFont="1"/>
    <xf numFmtId="164" fontId="0" fillId="0" borderId="3" xfId="5" applyFont="1" applyBorder="1"/>
    <xf numFmtId="164" fontId="0" fillId="0" borderId="0" xfId="0" applyNumberFormat="1"/>
    <xf numFmtId="9" fontId="4" fillId="0" borderId="0" xfId="0" applyNumberFormat="1" applyFont="1" applyFill="1"/>
    <xf numFmtId="167" fontId="4" fillId="0" borderId="0" xfId="2" applyNumberFormat="1" applyFont="1" applyFill="1"/>
    <xf numFmtId="168" fontId="4" fillId="2" borderId="0" xfId="5" applyNumberFormat="1" applyFont="1" applyFill="1"/>
    <xf numFmtId="168" fontId="4" fillId="2" borderId="0" xfId="5" applyNumberFormat="1" applyFont="1" applyFill="1" applyBorder="1"/>
    <xf numFmtId="169" fontId="8" fillId="0" borderId="0" xfId="8" quotePrefix="1" applyNumberFormat="1" applyFont="1" applyFill="1" applyBorder="1"/>
    <xf numFmtId="168" fontId="3" fillId="2" borderId="0" xfId="5" applyNumberFormat="1" applyFont="1" applyFill="1" applyBorder="1"/>
    <xf numFmtId="169" fontId="7" fillId="0" borderId="0" xfId="8" applyNumberFormat="1" applyFont="1" applyFill="1" applyBorder="1"/>
    <xf numFmtId="168" fontId="20" fillId="2" borderId="0" xfId="5" applyNumberFormat="1" applyFont="1" applyFill="1" applyBorder="1"/>
    <xf numFmtId="169" fontId="21" fillId="0" borderId="0" xfId="8" applyNumberFormat="1" applyFont="1" applyFill="1" applyBorder="1"/>
    <xf numFmtId="168" fontId="19" fillId="2" borderId="0" xfId="5" applyNumberFormat="1" applyFont="1" applyFill="1" applyBorder="1"/>
    <xf numFmtId="169" fontId="8" fillId="2" borderId="0" xfId="8" applyNumberFormat="1" applyFont="1" applyFill="1"/>
    <xf numFmtId="0" fontId="4" fillId="2" borderId="0" xfId="0" applyFont="1" applyFill="1"/>
    <xf numFmtId="0" fontId="4" fillId="2" borderId="0" xfId="2" applyNumberFormat="1" applyFont="1" applyFill="1" applyBorder="1" applyAlignment="1">
      <alignment horizontal="left"/>
    </xf>
    <xf numFmtId="0" fontId="4" fillId="2" borderId="0" xfId="2" applyNumberFormat="1" applyFont="1" applyFill="1" applyBorder="1"/>
    <xf numFmtId="0" fontId="4" fillId="2" borderId="0" xfId="0" applyFont="1" applyFill="1" applyBorder="1"/>
    <xf numFmtId="169" fontId="8" fillId="2" borderId="0" xfId="8" applyNumberFormat="1" applyFont="1" applyFill="1" applyBorder="1"/>
    <xf numFmtId="169" fontId="8" fillId="2" borderId="0" xfId="8" quotePrefix="1" applyNumberFormat="1" applyFont="1" applyFill="1" applyBorder="1"/>
    <xf numFmtId="167" fontId="3" fillId="2" borderId="0" xfId="2" applyNumberFormat="1" applyFont="1" applyFill="1" applyBorder="1"/>
    <xf numFmtId="169" fontId="7" fillId="2" borderId="0" xfId="8" applyNumberFormat="1" applyFont="1" applyFill="1" applyBorder="1"/>
    <xf numFmtId="0" fontId="4" fillId="2" borderId="0" xfId="0" applyNumberFormat="1" applyFont="1" applyFill="1" applyBorder="1"/>
    <xf numFmtId="9" fontId="8" fillId="2" borderId="0" xfId="8" applyNumberFormat="1" applyFont="1" applyFill="1" applyBorder="1"/>
    <xf numFmtId="168" fontId="15" fillId="2" borderId="0" xfId="5" applyNumberFormat="1" applyFont="1" applyFill="1" applyBorder="1"/>
    <xf numFmtId="169" fontId="21" fillId="2" borderId="0" xfId="8" applyNumberFormat="1" applyFont="1" applyFill="1" applyBorder="1"/>
    <xf numFmtId="9" fontId="4" fillId="2" borderId="0" xfId="2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3" fillId="2" borderId="0" xfId="2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164" fontId="4" fillId="2" borderId="0" xfId="5" applyFont="1" applyFill="1" applyBorder="1"/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/>
    <xf numFmtId="0" fontId="3" fillId="0" borderId="0" xfId="0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/>
    <xf numFmtId="0" fontId="28" fillId="0" borderId="0" xfId="0" applyFont="1" applyFill="1"/>
    <xf numFmtId="168" fontId="28" fillId="0" borderId="0" xfId="6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/>
    <xf numFmtId="168" fontId="29" fillId="0" borderId="0" xfId="6" applyNumberFormat="1" applyFont="1" applyFill="1"/>
    <xf numFmtId="168" fontId="29" fillId="0" borderId="0" xfId="0" applyNumberFormat="1" applyFont="1" applyFill="1"/>
    <xf numFmtId="164" fontId="29" fillId="0" borderId="0" xfId="6" applyFont="1" applyFill="1"/>
    <xf numFmtId="10" fontId="29" fillId="0" borderId="0" xfId="0" applyNumberFormat="1" applyFont="1" applyFill="1"/>
    <xf numFmtId="168" fontId="29" fillId="0" borderId="3" xfId="6" applyNumberFormat="1" applyFont="1" applyFill="1" applyBorder="1"/>
    <xf numFmtId="9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43" fontId="29" fillId="0" borderId="0" xfId="4" applyFont="1" applyFill="1"/>
    <xf numFmtId="0" fontId="29" fillId="0" borderId="0" xfId="0" applyFont="1" applyFill="1" applyBorder="1"/>
    <xf numFmtId="167" fontId="29" fillId="0" borderId="0" xfId="4" applyNumberFormat="1" applyFont="1" applyFill="1"/>
    <xf numFmtId="170" fontId="29" fillId="0" borderId="0" xfId="4" applyNumberFormat="1" applyFont="1" applyFill="1"/>
    <xf numFmtId="168" fontId="29" fillId="0" borderId="0" xfId="6" applyNumberFormat="1" applyFont="1" applyFill="1" applyAlignment="1">
      <alignment horizontal="center" wrapText="1" shrinkToFit="1"/>
    </xf>
    <xf numFmtId="167" fontId="29" fillId="0" borderId="3" xfId="4" applyNumberFormat="1" applyFont="1" applyFill="1" applyBorder="1"/>
    <xf numFmtId="170" fontId="29" fillId="0" borderId="3" xfId="4" applyNumberFormat="1" applyFont="1" applyFill="1" applyBorder="1"/>
    <xf numFmtId="168" fontId="29" fillId="0" borderId="0" xfId="6" applyNumberFormat="1" applyFont="1" applyFill="1" applyBorder="1"/>
    <xf numFmtId="168" fontId="29" fillId="0" borderId="4" xfId="6" applyNumberFormat="1" applyFont="1" applyFill="1" applyBorder="1"/>
    <xf numFmtId="168" fontId="29" fillId="3" borderId="0" xfId="6" applyNumberFormat="1" applyFont="1" applyFill="1"/>
    <xf numFmtId="168" fontId="26" fillId="0" borderId="3" xfId="6" applyNumberFormat="1" applyFont="1" applyFill="1" applyBorder="1"/>
    <xf numFmtId="170" fontId="29" fillId="3" borderId="0" xfId="4" applyNumberFormat="1" applyFont="1" applyFill="1"/>
    <xf numFmtId="0" fontId="30" fillId="0" borderId="0" xfId="0" applyFont="1" applyFill="1"/>
    <xf numFmtId="0" fontId="29" fillId="0" borderId="5" xfId="0" applyFont="1" applyFill="1" applyBorder="1"/>
    <xf numFmtId="0" fontId="28" fillId="0" borderId="0" xfId="0" applyFont="1" applyFill="1" applyBorder="1"/>
    <xf numFmtId="0" fontId="28" fillId="0" borderId="5" xfId="0" applyFont="1" applyFill="1" applyBorder="1"/>
    <xf numFmtId="168" fontId="29" fillId="0" borderId="5" xfId="6" applyNumberFormat="1" applyFont="1" applyFill="1" applyBorder="1"/>
    <xf numFmtId="168" fontId="29" fillId="3" borderId="0" xfId="6" applyNumberFormat="1" applyFont="1" applyFill="1" applyBorder="1"/>
    <xf numFmtId="168" fontId="29" fillId="3" borderId="5" xfId="6" applyNumberFormat="1" applyFont="1" applyFill="1" applyBorder="1"/>
    <xf numFmtId="0" fontId="29" fillId="3" borderId="0" xfId="0" applyFont="1" applyFill="1" applyBorder="1"/>
    <xf numFmtId="168" fontId="29" fillId="0" borderId="0" xfId="0" applyNumberFormat="1" applyFont="1" applyFill="1" applyBorder="1"/>
    <xf numFmtId="168" fontId="29" fillId="0" borderId="5" xfId="0" applyNumberFormat="1" applyFont="1" applyFill="1" applyBorder="1"/>
    <xf numFmtId="168" fontId="29" fillId="0" borderId="6" xfId="6" applyNumberFormat="1" applyFont="1" applyFill="1" applyBorder="1"/>
    <xf numFmtId="0" fontId="29" fillId="0" borderId="7" xfId="0" applyFont="1" applyFill="1" applyBorder="1"/>
    <xf numFmtId="0" fontId="28" fillId="0" borderId="7" xfId="0" applyFont="1" applyFill="1" applyBorder="1"/>
    <xf numFmtId="168" fontId="29" fillId="0" borderId="7" xfId="6" applyNumberFormat="1" applyFont="1" applyFill="1" applyBorder="1"/>
    <xf numFmtId="168" fontId="29" fillId="3" borderId="7" xfId="6" applyNumberFormat="1" applyFont="1" applyFill="1" applyBorder="1"/>
    <xf numFmtId="168" fontId="29" fillId="0" borderId="7" xfId="0" applyNumberFormat="1" applyFont="1" applyFill="1" applyBorder="1"/>
    <xf numFmtId="168" fontId="29" fillId="0" borderId="8" xfId="6" applyNumberFormat="1" applyFont="1" applyFill="1" applyBorder="1"/>
    <xf numFmtId="168" fontId="4" fillId="0" borderId="0" xfId="6" applyNumberFormat="1" applyFont="1" applyFill="1"/>
    <xf numFmtId="0" fontId="29" fillId="2" borderId="0" xfId="0" applyFont="1" applyFill="1"/>
    <xf numFmtId="14" fontId="29" fillId="2" borderId="0" xfId="0" applyNumberFormat="1" applyFont="1" applyFill="1" applyAlignment="1">
      <alignment horizontal="center" vertical="center"/>
    </xf>
    <xf numFmtId="164" fontId="29" fillId="2" borderId="0" xfId="6" applyFont="1" applyFill="1"/>
    <xf numFmtId="9" fontId="29" fillId="2" borderId="0" xfId="0" applyNumberFormat="1" applyFont="1" applyFill="1"/>
    <xf numFmtId="168" fontId="29" fillId="2" borderId="0" xfId="6" applyNumberFormat="1" applyFont="1" applyFill="1"/>
    <xf numFmtId="14" fontId="29" fillId="2" borderId="0" xfId="0" applyNumberFormat="1" applyFont="1" applyFill="1"/>
    <xf numFmtId="0" fontId="28" fillId="4" borderId="0" xfId="0" applyFont="1" applyFill="1"/>
    <xf numFmtId="0" fontId="28" fillId="4" borderId="0" xfId="0" applyFont="1" applyFill="1" applyAlignment="1">
      <alignment horizontal="center"/>
    </xf>
    <xf numFmtId="168" fontId="29" fillId="2" borderId="0" xfId="0" applyNumberFormat="1" applyFont="1" applyFill="1"/>
    <xf numFmtId="170" fontId="29" fillId="2" borderId="0" xfId="4" applyNumberFormat="1" applyFont="1" applyFill="1"/>
    <xf numFmtId="167" fontId="29" fillId="2" borderId="0" xfId="4" applyNumberFormat="1" applyFont="1" applyFill="1"/>
    <xf numFmtId="167" fontId="29" fillId="2" borderId="3" xfId="4" applyNumberFormat="1" applyFont="1" applyFill="1" applyBorder="1"/>
    <xf numFmtId="168" fontId="29" fillId="2" borderId="3" xfId="6" applyNumberFormat="1" applyFont="1" applyFill="1" applyBorder="1"/>
    <xf numFmtId="170" fontId="29" fillId="2" borderId="3" xfId="4" applyNumberFormat="1" applyFont="1" applyFill="1" applyBorder="1"/>
    <xf numFmtId="167" fontId="29" fillId="2" borderId="0" xfId="4" applyNumberFormat="1" applyFont="1" applyFill="1" applyBorder="1"/>
    <xf numFmtId="168" fontId="29" fillId="2" borderId="0" xfId="6" applyNumberFormat="1" applyFont="1" applyFill="1" applyBorder="1"/>
    <xf numFmtId="170" fontId="29" fillId="2" borderId="0" xfId="4" applyNumberFormat="1" applyFont="1" applyFill="1" applyBorder="1"/>
    <xf numFmtId="167" fontId="4" fillId="2" borderId="0" xfId="4" applyNumberFormat="1" applyFont="1" applyFill="1" applyAlignment="1">
      <alignment horizontal="right"/>
    </xf>
    <xf numFmtId="168" fontId="0" fillId="0" borderId="0" xfId="5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4" fillId="0" borderId="3" xfId="2" applyNumberFormat="1" applyFont="1" applyFill="1" applyBorder="1" applyAlignment="1">
      <alignment horizontal="right"/>
    </xf>
    <xf numFmtId="166" fontId="11" fillId="0" borderId="0" xfId="2" applyNumberFormat="1" applyFont="1" applyFill="1" applyAlignment="1">
      <alignment horizontal="center" vertical="center"/>
    </xf>
    <xf numFmtId="9" fontId="4" fillId="2" borderId="0" xfId="8" applyFont="1" applyFill="1"/>
    <xf numFmtId="43" fontId="7" fillId="0" borderId="0" xfId="2" applyNumberFormat="1" applyFont="1" applyFill="1"/>
    <xf numFmtId="166" fontId="33" fillId="0" borderId="0" xfId="2" applyNumberFormat="1" applyFont="1" applyFill="1" applyAlignment="1">
      <alignment horizontal="right"/>
    </xf>
    <xf numFmtId="166" fontId="4" fillId="0" borderId="9" xfId="2" applyNumberFormat="1" applyFont="1" applyFill="1" applyBorder="1"/>
    <xf numFmtId="166" fontId="4" fillId="0" borderId="10" xfId="2" applyNumberFormat="1" applyFont="1" applyFill="1" applyBorder="1"/>
    <xf numFmtId="166" fontId="4" fillId="0" borderId="11" xfId="2" applyNumberFormat="1" applyFont="1" applyFill="1" applyBorder="1"/>
    <xf numFmtId="0" fontId="34" fillId="0" borderId="0" xfId="0" applyFont="1"/>
    <xf numFmtId="0" fontId="35" fillId="0" borderId="0" xfId="0" applyFont="1" applyAlignment="1">
      <alignment horizontal="center" wrapText="1"/>
    </xf>
    <xf numFmtId="17" fontId="35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left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42" fillId="0" borderId="0" xfId="1" applyAlignment="1" applyProtection="1">
      <alignment wrapText="1"/>
    </xf>
    <xf numFmtId="166" fontId="4" fillId="0" borderId="0" xfId="2" applyNumberFormat="1" applyFont="1" applyFill="1" applyAlignment="1">
      <alignment horizontal="right"/>
    </xf>
    <xf numFmtId="166" fontId="4" fillId="0" borderId="0" xfId="2" applyNumberFormat="1" applyFont="1" applyFill="1" applyAlignment="1">
      <alignment horizontal="left" indent="2"/>
    </xf>
    <xf numFmtId="166" fontId="4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horizontal="center" vertical="center"/>
    </xf>
    <xf numFmtId="166" fontId="4" fillId="0" borderId="0" xfId="2" applyNumberFormat="1" applyFont="1" applyFill="1" applyAlignment="1">
      <alignment horizontal="right" indent="1"/>
    </xf>
    <xf numFmtId="166" fontId="11" fillId="0" borderId="0" xfId="2" applyNumberFormat="1" applyFont="1" applyFill="1" applyBorder="1" applyAlignment="1">
      <alignment horizontal="right"/>
    </xf>
    <xf numFmtId="171" fontId="4" fillId="2" borderId="0" xfId="2" applyNumberFormat="1" applyFont="1" applyFill="1"/>
    <xf numFmtId="171" fontId="4" fillId="2" borderId="0" xfId="2" applyNumberFormat="1" applyFont="1" applyFill="1" applyAlignment="1">
      <alignment horizontal="center"/>
    </xf>
    <xf numFmtId="171" fontId="3" fillId="2" borderId="0" xfId="2" applyNumberFormat="1" applyFont="1" applyFill="1"/>
    <xf numFmtId="171" fontId="5" fillId="2" borderId="0" xfId="2" applyNumberFormat="1" applyFont="1" applyFill="1"/>
    <xf numFmtId="166" fontId="11" fillId="4" borderId="0" xfId="2" applyNumberFormat="1" applyFont="1" applyFill="1" applyAlignment="1">
      <alignment horizontal="right"/>
    </xf>
    <xf numFmtId="166" fontId="11" fillId="4" borderId="0" xfId="2" applyNumberFormat="1" applyFont="1" applyFill="1" applyBorder="1" applyAlignment="1">
      <alignment horizontal="right"/>
    </xf>
    <xf numFmtId="168" fontId="3" fillId="5" borderId="2" xfId="5" applyNumberFormat="1" applyFont="1" applyFill="1" applyBorder="1"/>
    <xf numFmtId="168" fontId="4" fillId="6" borderId="0" xfId="5" applyNumberFormat="1" applyFont="1" applyFill="1"/>
    <xf numFmtId="168" fontId="22" fillId="6" borderId="0" xfId="5" applyNumberFormat="1" applyFont="1" applyFill="1"/>
    <xf numFmtId="168" fontId="3" fillId="6" borderId="2" xfId="5" applyNumberFormat="1" applyFont="1" applyFill="1" applyBorder="1"/>
    <xf numFmtId="168" fontId="4" fillId="6" borderId="0" xfId="5" applyNumberFormat="1" applyFont="1" applyFill="1" applyBorder="1"/>
    <xf numFmtId="168" fontId="31" fillId="6" borderId="0" xfId="5" applyNumberFormat="1" applyFont="1" applyFill="1"/>
    <xf numFmtId="0" fontId="3" fillId="6" borderId="0" xfId="0" applyNumberFormat="1" applyFont="1" applyFill="1" applyAlignment="1">
      <alignment horizontal="center"/>
    </xf>
    <xf numFmtId="168" fontId="18" fillId="6" borderId="0" xfId="5" applyNumberFormat="1" applyFont="1" applyFill="1"/>
    <xf numFmtId="164" fontId="4" fillId="6" borderId="0" xfId="5" applyFont="1" applyFill="1"/>
    <xf numFmtId="0" fontId="3" fillId="5" borderId="0" xfId="0" applyNumberFormat="1" applyFont="1" applyFill="1"/>
    <xf numFmtId="168" fontId="4" fillId="5" borderId="0" xfId="0" applyNumberFormat="1" applyFont="1" applyFill="1"/>
    <xf numFmtId="9" fontId="3" fillId="0" borderId="0" xfId="8" applyFont="1" applyFill="1" applyBorder="1" applyAlignment="1">
      <alignment horizontal="center"/>
    </xf>
    <xf numFmtId="168" fontId="6" fillId="0" borderId="0" xfId="5" applyNumberFormat="1" applyFont="1" applyFill="1" applyBorder="1" applyAlignment="1"/>
    <xf numFmtId="168" fontId="4" fillId="0" borderId="0" xfId="5" applyNumberFormat="1" applyFont="1" applyFill="1" applyBorder="1"/>
    <xf numFmtId="168" fontId="4" fillId="0" borderId="0" xfId="0" applyNumberFormat="1" applyFont="1" applyFill="1" applyBorder="1" applyAlignment="1">
      <alignment horizontal="center"/>
    </xf>
    <xf numFmtId="168" fontId="4" fillId="0" borderId="3" xfId="5" applyNumberFormat="1" applyFont="1" applyFill="1" applyBorder="1"/>
    <xf numFmtId="168" fontId="4" fillId="0" borderId="3" xfId="0" applyNumberFormat="1" applyFont="1" applyFill="1" applyBorder="1" applyAlignment="1">
      <alignment horizontal="center"/>
    </xf>
    <xf numFmtId="168" fontId="15" fillId="0" borderId="0" xfId="5" applyNumberFormat="1" applyFont="1" applyFill="1"/>
    <xf numFmtId="168" fontId="3" fillId="0" borderId="2" xfId="5" applyNumberFormat="1" applyFont="1" applyFill="1" applyBorder="1"/>
    <xf numFmtId="0" fontId="4" fillId="0" borderId="0" xfId="2" applyNumberFormat="1" applyFont="1" applyFill="1" applyBorder="1" applyAlignment="1">
      <alignment horizontal="left"/>
    </xf>
    <xf numFmtId="9" fontId="4" fillId="0" borderId="0" xfId="2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4" fillId="0" borderId="0" xfId="2" applyNumberFormat="1" applyFont="1" applyFill="1" applyBorder="1" applyAlignment="1"/>
    <xf numFmtId="168" fontId="4" fillId="0" borderId="0" xfId="5" applyNumberFormat="1" applyFont="1" applyFill="1" applyBorder="1" applyAlignment="1"/>
    <xf numFmtId="9" fontId="4" fillId="0" borderId="0" xfId="8" applyFont="1" applyFill="1" applyBorder="1" applyAlignment="1">
      <alignment horizontal="center"/>
    </xf>
    <xf numFmtId="168" fontId="3" fillId="0" borderId="0" xfId="5" applyNumberFormat="1" applyFont="1" applyFill="1" applyBorder="1" applyAlignment="1"/>
    <xf numFmtId="0" fontId="3" fillId="0" borderId="0" xfId="2" applyNumberFormat="1" applyFont="1" applyFill="1" applyBorder="1" applyAlignment="1"/>
    <xf numFmtId="9" fontId="4" fillId="0" borderId="0" xfId="8" applyFont="1" applyFill="1" applyBorder="1" applyAlignment="1"/>
    <xf numFmtId="0" fontId="4" fillId="0" borderId="0" xfId="0" applyFont="1" applyFill="1" applyBorder="1" applyAlignment="1"/>
    <xf numFmtId="168" fontId="15" fillId="0" borderId="0" xfId="5" applyNumberFormat="1" applyFont="1" applyFill="1" applyBorder="1" applyAlignment="1"/>
    <xf numFmtId="167" fontId="3" fillId="0" borderId="0" xfId="2" applyNumberFormat="1" applyFont="1" applyFill="1" applyBorder="1" applyAlignment="1"/>
    <xf numFmtId="9" fontId="3" fillId="0" borderId="0" xfId="8" applyFont="1" applyFill="1" applyBorder="1" applyAlignment="1"/>
    <xf numFmtId="0" fontId="4" fillId="0" borderId="0" xfId="0" applyNumberFormat="1" applyFont="1" applyFill="1" applyBorder="1" applyAlignment="1"/>
    <xf numFmtId="164" fontId="4" fillId="0" borderId="0" xfId="5" applyFont="1" applyFill="1" applyBorder="1" applyAlignment="1"/>
    <xf numFmtId="166" fontId="4" fillId="0" borderId="0" xfId="2" applyNumberFormat="1" applyFont="1" applyFill="1" applyBorder="1" applyAlignment="1"/>
    <xf numFmtId="0" fontId="3" fillId="0" borderId="12" xfId="0" applyNumberFormat="1" applyFont="1" applyFill="1" applyBorder="1" applyAlignment="1">
      <alignment horizontal="center"/>
    </xf>
    <xf numFmtId="0" fontId="3" fillId="0" borderId="12" xfId="2" applyNumberFormat="1" applyFont="1" applyFill="1" applyBorder="1" applyAlignment="1"/>
    <xf numFmtId="9" fontId="3" fillId="0" borderId="12" xfId="8" applyFont="1" applyFill="1" applyBorder="1" applyAlignment="1"/>
    <xf numFmtId="168" fontId="3" fillId="0" borderId="12" xfId="5" applyNumberFormat="1" applyFont="1" applyFill="1" applyBorder="1" applyAlignment="1"/>
    <xf numFmtId="9" fontId="3" fillId="0" borderId="12" xfId="8" applyFont="1" applyFill="1" applyBorder="1" applyAlignment="1">
      <alignment horizontal="center"/>
    </xf>
    <xf numFmtId="169" fontId="3" fillId="0" borderId="12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8" applyNumberFormat="1" applyFont="1" applyFill="1" applyBorder="1" applyAlignment="1"/>
    <xf numFmtId="169" fontId="15" fillId="0" borderId="0" xfId="8" applyNumberFormat="1" applyFont="1" applyFill="1" applyBorder="1" applyAlignment="1"/>
    <xf numFmtId="9" fontId="15" fillId="0" borderId="0" xfId="8" applyFont="1" applyFill="1" applyBorder="1" applyAlignment="1"/>
    <xf numFmtId="169" fontId="3" fillId="0" borderId="0" xfId="8" applyNumberFormat="1" applyFont="1" applyFill="1" applyBorder="1" applyAlignment="1"/>
    <xf numFmtId="9" fontId="4" fillId="0" borderId="0" xfId="8" applyNumberFormat="1" applyFont="1" applyFill="1" applyBorder="1" applyAlignment="1"/>
    <xf numFmtId="168" fontId="30" fillId="0" borderId="0" xfId="5" applyNumberFormat="1" applyFont="1" applyFill="1" applyBorder="1" applyAlignment="1"/>
    <xf numFmtId="9" fontId="30" fillId="0" borderId="0" xfId="8" applyFont="1" applyFill="1" applyBorder="1" applyAlignment="1"/>
    <xf numFmtId="168" fontId="4" fillId="0" borderId="3" xfId="5" applyNumberFormat="1" applyFont="1" applyFill="1" applyBorder="1" applyAlignment="1"/>
    <xf numFmtId="9" fontId="4" fillId="0" borderId="3" xfId="8" applyFont="1" applyFill="1" applyBorder="1" applyAlignment="1">
      <alignment horizontal="center"/>
    </xf>
    <xf numFmtId="0" fontId="4" fillId="0" borderId="3" xfId="2" applyNumberFormat="1" applyFont="1" applyFill="1" applyBorder="1" applyAlignment="1"/>
    <xf numFmtId="168" fontId="3" fillId="0" borderId="3" xfId="5" applyNumberFormat="1" applyFont="1" applyFill="1" applyBorder="1" applyAlignment="1"/>
    <xf numFmtId="169" fontId="3" fillId="0" borderId="3" xfId="8" applyNumberFormat="1" applyFont="1" applyFill="1" applyBorder="1" applyAlignment="1">
      <alignment horizontal="center"/>
    </xf>
    <xf numFmtId="9" fontId="3" fillId="0" borderId="3" xfId="8" applyFont="1" applyFill="1" applyBorder="1" applyAlignment="1">
      <alignment horizontal="center"/>
    </xf>
    <xf numFmtId="43" fontId="3" fillId="0" borderId="0" xfId="2" applyFont="1" applyFill="1" applyBorder="1" applyAlignment="1">
      <alignment horizontal="center"/>
    </xf>
    <xf numFmtId="9" fontId="3" fillId="0" borderId="3" xfId="8" applyFont="1" applyFill="1" applyBorder="1" applyAlignment="1"/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72" fontId="3" fillId="0" borderId="0" xfId="2" applyNumberFormat="1" applyFont="1" applyFill="1" applyBorder="1" applyAlignment="1"/>
    <xf numFmtId="0" fontId="3" fillId="4" borderId="0" xfId="2" applyNumberFormat="1" applyFont="1" applyFill="1" applyBorder="1" applyAlignment="1"/>
    <xf numFmtId="0" fontId="4" fillId="4" borderId="0" xfId="2" applyNumberFormat="1" applyFont="1" applyFill="1" applyBorder="1" applyAlignment="1">
      <alignment horizontal="right"/>
    </xf>
    <xf numFmtId="9" fontId="4" fillId="4" borderId="0" xfId="8" applyFont="1" applyFill="1" applyBorder="1" applyAlignment="1">
      <alignment horizontal="center"/>
    </xf>
    <xf numFmtId="168" fontId="4" fillId="4" borderId="0" xfId="5" applyNumberFormat="1" applyFont="1" applyFill="1" applyBorder="1" applyAlignment="1"/>
    <xf numFmtId="168" fontId="32" fillId="4" borderId="0" xfId="5" applyNumberFormat="1" applyFont="1" applyFill="1" applyBorder="1" applyAlignment="1"/>
    <xf numFmtId="0" fontId="3" fillId="4" borderId="0" xfId="0" applyNumberFormat="1" applyFont="1" applyFill="1" applyBorder="1" applyAlignment="1">
      <alignment horizontal="center"/>
    </xf>
    <xf numFmtId="9" fontId="3" fillId="4" borderId="0" xfId="8" applyFont="1" applyFill="1" applyBorder="1" applyAlignment="1">
      <alignment horizontal="center"/>
    </xf>
    <xf numFmtId="169" fontId="3" fillId="4" borderId="0" xfId="8" applyNumberFormat="1" applyFont="1" applyFill="1" applyBorder="1" applyAlignment="1">
      <alignment horizontal="center"/>
    </xf>
    <xf numFmtId="0" fontId="4" fillId="4" borderId="0" xfId="2" applyNumberFormat="1" applyFont="1" applyFill="1" applyBorder="1" applyAlignment="1">
      <alignment horizontal="left"/>
    </xf>
    <xf numFmtId="168" fontId="3" fillId="4" borderId="0" xfId="5" applyNumberFormat="1" applyFont="1" applyFill="1" applyBorder="1" applyAlignment="1"/>
    <xf numFmtId="9" fontId="4" fillId="4" borderId="3" xfId="8" applyFont="1" applyFill="1" applyBorder="1" applyAlignment="1">
      <alignment horizontal="center"/>
    </xf>
    <xf numFmtId="168" fontId="4" fillId="4" borderId="3" xfId="5" applyNumberFormat="1" applyFont="1" applyFill="1" applyBorder="1" applyAlignment="1"/>
    <xf numFmtId="0" fontId="4" fillId="4" borderId="3" xfId="2" applyNumberFormat="1" applyFont="1" applyFill="1" applyBorder="1" applyAlignment="1">
      <alignment horizontal="left"/>
    </xf>
    <xf numFmtId="168" fontId="3" fillId="4" borderId="3" xfId="5" applyNumberFormat="1" applyFont="1" applyFill="1" applyBorder="1" applyAlignment="1"/>
    <xf numFmtId="169" fontId="3" fillId="4" borderId="3" xfId="8" applyNumberFormat="1" applyFont="1" applyFill="1" applyBorder="1" applyAlignment="1">
      <alignment horizontal="center"/>
    </xf>
    <xf numFmtId="0" fontId="4" fillId="4" borderId="0" xfId="2" applyNumberFormat="1" applyFont="1" applyFill="1" applyBorder="1" applyAlignment="1"/>
    <xf numFmtId="9" fontId="3" fillId="4" borderId="0" xfId="8" applyFont="1" applyFill="1" applyBorder="1" applyAlignment="1"/>
    <xf numFmtId="168" fontId="4" fillId="4" borderId="0" xfId="0" applyNumberFormat="1" applyFont="1" applyFill="1" applyBorder="1" applyAlignment="1">
      <alignment horizontal="center"/>
    </xf>
    <xf numFmtId="0" fontId="3" fillId="4" borderId="0" xfId="2" applyNumberFormat="1" applyFont="1" applyFill="1" applyBorder="1" applyAlignment="1">
      <alignment horizontal="right"/>
    </xf>
    <xf numFmtId="169" fontId="3" fillId="4" borderId="0" xfId="8" applyNumberFormat="1" applyFont="1" applyFill="1" applyBorder="1" applyAlignment="1"/>
    <xf numFmtId="168" fontId="20" fillId="0" borderId="0" xfId="5" applyNumberFormat="1" applyFont="1" applyFill="1"/>
    <xf numFmtId="168" fontId="15" fillId="0" borderId="3" xfId="5" applyNumberFormat="1" applyFont="1" applyFill="1" applyBorder="1"/>
    <xf numFmtId="164" fontId="4" fillId="0" borderId="0" xfId="5" applyFont="1" applyFill="1"/>
    <xf numFmtId="9" fontId="4" fillId="0" borderId="0" xfId="8" applyNumberFormat="1" applyFont="1" applyFill="1"/>
    <xf numFmtId="166" fontId="4" fillId="4" borderId="0" xfId="2" applyNumberFormat="1" applyFont="1" applyFill="1"/>
    <xf numFmtId="166" fontId="3" fillId="4" borderId="0" xfId="2" applyNumberFormat="1" applyFont="1" applyFill="1"/>
    <xf numFmtId="0" fontId="24" fillId="0" borderId="0" xfId="2" applyNumberFormat="1" applyFont="1" applyFill="1" applyBorder="1"/>
    <xf numFmtId="0" fontId="4" fillId="0" borderId="0" xfId="2" applyNumberFormat="1" applyFont="1" applyFill="1" applyBorder="1"/>
    <xf numFmtId="0" fontId="3" fillId="0" borderId="0" xfId="0" applyNumberFormat="1" applyFont="1" applyFill="1" applyBorder="1"/>
    <xf numFmtId="0" fontId="10" fillId="0" borderId="0" xfId="2" applyNumberFormat="1" applyFont="1" applyFill="1" applyBorder="1" applyAlignment="1">
      <alignment horizontal="left" indent="2"/>
    </xf>
    <xf numFmtId="0" fontId="3" fillId="0" borderId="0" xfId="2" applyNumberFormat="1" applyFont="1" applyFill="1" applyBorder="1"/>
    <xf numFmtId="9" fontId="10" fillId="0" borderId="0" xfId="8" applyFont="1" applyFill="1" applyBorder="1" applyAlignment="1">
      <alignment horizontal="center" vertical="center"/>
    </xf>
    <xf numFmtId="167" fontId="3" fillId="0" borderId="0" xfId="2" applyNumberFormat="1" applyFont="1" applyFill="1" applyBorder="1"/>
    <xf numFmtId="9" fontId="8" fillId="0" borderId="0" xfId="8" applyFont="1" applyFill="1" applyBorder="1" applyAlignment="1">
      <alignment horizontal="center" vertical="center"/>
    </xf>
    <xf numFmtId="9" fontId="27" fillId="0" borderId="0" xfId="8" applyFont="1" applyFill="1" applyBorder="1" applyAlignment="1">
      <alignment horizontal="center" vertical="center"/>
    </xf>
    <xf numFmtId="9" fontId="4" fillId="0" borderId="0" xfId="8" applyFont="1" applyFill="1" applyBorder="1" applyAlignment="1">
      <alignment horizontal="center" vertical="center"/>
    </xf>
    <xf numFmtId="168" fontId="3" fillId="0" borderId="0" xfId="5" applyNumberFormat="1" applyFont="1" applyFill="1" applyBorder="1"/>
    <xf numFmtId="0" fontId="3" fillId="0" borderId="13" xfId="2" applyNumberFormat="1" applyFont="1" applyFill="1" applyBorder="1" applyAlignment="1"/>
    <xf numFmtId="0" fontId="24" fillId="0" borderId="13" xfId="2" applyNumberFormat="1" applyFont="1" applyFill="1" applyBorder="1"/>
    <xf numFmtId="0" fontId="6" fillId="0" borderId="13" xfId="2" applyNumberFormat="1" applyFont="1" applyFill="1" applyBorder="1" applyAlignment="1"/>
    <xf numFmtId="168" fontId="6" fillId="0" borderId="13" xfId="5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69" fontId="7" fillId="0" borderId="13" xfId="8" applyNumberFormat="1" applyFont="1" applyFill="1" applyBorder="1" applyAlignment="1">
      <alignment horizontal="center"/>
    </xf>
    <xf numFmtId="9" fontId="10" fillId="4" borderId="0" xfId="8" applyFont="1" applyFill="1" applyBorder="1" applyAlignment="1">
      <alignment horizontal="center" vertical="center"/>
    </xf>
    <xf numFmtId="9" fontId="10" fillId="0" borderId="3" xfId="8" applyFont="1" applyFill="1" applyBorder="1" applyAlignment="1">
      <alignment horizontal="center" vertical="center"/>
    </xf>
    <xf numFmtId="169" fontId="7" fillId="0" borderId="3" xfId="8" applyNumberFormat="1" applyFont="1" applyFill="1" applyBorder="1" applyAlignment="1">
      <alignment horizontal="center"/>
    </xf>
    <xf numFmtId="9" fontId="10" fillId="0" borderId="0" xfId="8" applyNumberFormat="1" applyFont="1" applyFill="1" applyBorder="1" applyAlignment="1">
      <alignment horizontal="center" vertical="center"/>
    </xf>
    <xf numFmtId="169" fontId="10" fillId="0" borderId="0" xfId="8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/>
    </xf>
    <xf numFmtId="9" fontId="10" fillId="0" borderId="0" xfId="2" applyNumberFormat="1" applyFont="1" applyFill="1" applyBorder="1" applyAlignment="1">
      <alignment horizontal="center" vertical="center"/>
    </xf>
    <xf numFmtId="168" fontId="38" fillId="0" borderId="0" xfId="0" applyNumberFormat="1" applyFont="1" applyFill="1" applyBorder="1" applyAlignment="1">
      <alignment horizontal="center"/>
    </xf>
    <xf numFmtId="0" fontId="3" fillId="0" borderId="13" xfId="2" applyNumberFormat="1" applyFont="1" applyFill="1" applyBorder="1" applyAlignment="1">
      <alignment horizontal="left"/>
    </xf>
    <xf numFmtId="0" fontId="3" fillId="0" borderId="13" xfId="2" applyNumberFormat="1" applyFont="1" applyFill="1" applyBorder="1" applyAlignment="1">
      <alignment horizontal="center"/>
    </xf>
    <xf numFmtId="9" fontId="10" fillId="0" borderId="3" xfId="8" applyNumberFormat="1" applyFont="1" applyFill="1" applyBorder="1" applyAlignment="1">
      <alignment horizontal="center" vertical="center"/>
    </xf>
    <xf numFmtId="169" fontId="10" fillId="0" borderId="3" xfId="8" applyNumberFormat="1" applyFont="1" applyFill="1" applyBorder="1" applyAlignment="1">
      <alignment horizontal="center" vertical="center"/>
    </xf>
    <xf numFmtId="168" fontId="4" fillId="4" borderId="0" xfId="5" applyNumberFormat="1" applyFont="1" applyFill="1" applyBorder="1"/>
    <xf numFmtId="169" fontId="8" fillId="4" borderId="0" xfId="8" applyNumberFormat="1" applyFont="1" applyFill="1" applyBorder="1"/>
    <xf numFmtId="0" fontId="4" fillId="0" borderId="0" xfId="0" applyNumberFormat="1" applyFont="1" applyFill="1" applyAlignment="1">
      <alignment horizontal="center"/>
    </xf>
    <xf numFmtId="168" fontId="4" fillId="0" borderId="0" xfId="5" applyNumberFormat="1" applyFont="1" applyFill="1" applyAlignment="1">
      <alignment horizontal="center"/>
    </xf>
    <xf numFmtId="169" fontId="8" fillId="0" borderId="0" xfId="8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9" fontId="8" fillId="0" borderId="0" xfId="8" applyNumberFormat="1" applyFont="1" applyFill="1" applyBorder="1"/>
    <xf numFmtId="168" fontId="15" fillId="0" borderId="0" xfId="5" applyNumberFormat="1" applyFont="1" applyFill="1" applyBorder="1"/>
    <xf numFmtId="164" fontId="4" fillId="0" borderId="0" xfId="5" applyFont="1" applyFill="1" applyBorder="1"/>
    <xf numFmtId="167" fontId="3" fillId="0" borderId="13" xfId="2" applyNumberFormat="1" applyFont="1" applyFill="1" applyBorder="1"/>
    <xf numFmtId="168" fontId="3" fillId="0" borderId="13" xfId="5" applyNumberFormat="1" applyFont="1" applyFill="1" applyBorder="1"/>
    <xf numFmtId="168" fontId="6" fillId="6" borderId="0" xfId="5" applyNumberFormat="1" applyFont="1" applyFill="1" applyBorder="1" applyAlignment="1"/>
    <xf numFmtId="0" fontId="6" fillId="0" borderId="0" xfId="2" applyNumberFormat="1" applyFont="1" applyFill="1" applyBorder="1" applyAlignment="1">
      <alignment horizontal="center"/>
    </xf>
    <xf numFmtId="169" fontId="7" fillId="0" borderId="2" xfId="8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9" fontId="8" fillId="0" borderId="0" xfId="8" applyNumberFormat="1" applyFont="1" applyFill="1" applyBorder="1" applyAlignment="1">
      <alignment horizontal="center"/>
    </xf>
    <xf numFmtId="168" fontId="3" fillId="5" borderId="13" xfId="5" applyNumberFormat="1" applyFont="1" applyFill="1" applyBorder="1"/>
    <xf numFmtId="0" fontId="4" fillId="5" borderId="0" xfId="0" applyFont="1" applyFill="1"/>
    <xf numFmtId="0" fontId="3" fillId="5" borderId="0" xfId="0" applyNumberFormat="1" applyFont="1" applyFill="1" applyAlignment="1">
      <alignment horizontal="center"/>
    </xf>
    <xf numFmtId="168" fontId="4" fillId="5" borderId="0" xfId="5" applyNumberFormat="1" applyFont="1" applyFill="1"/>
    <xf numFmtId="9" fontId="4" fillId="0" borderId="0" xfId="0" applyNumberFormat="1" applyFont="1" applyFill="1" applyAlignment="1">
      <alignment horizontal="center"/>
    </xf>
    <xf numFmtId="169" fontId="23" fillId="0" borderId="0" xfId="8" applyNumberFormat="1" applyFont="1" applyFill="1" applyAlignment="1">
      <alignment horizontal="center"/>
    </xf>
    <xf numFmtId="0" fontId="22" fillId="0" borderId="0" xfId="2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NumberFormat="1" applyFont="1" applyFill="1" applyAlignment="1">
      <alignment horizontal="center"/>
    </xf>
    <xf numFmtId="169" fontId="21" fillId="0" borderId="0" xfId="8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168" fontId="4" fillId="0" borderId="0" xfId="5" applyNumberFormat="1" applyFont="1" applyFill="1" applyBorder="1" applyAlignment="1">
      <alignment horizontal="center"/>
    </xf>
    <xf numFmtId="169" fontId="8" fillId="0" borderId="0" xfId="8" quotePrefix="1" applyNumberFormat="1" applyFont="1" applyFill="1" applyBorder="1" applyAlignment="1">
      <alignment horizontal="center"/>
    </xf>
    <xf numFmtId="169" fontId="4" fillId="0" borderId="0" xfId="8" applyNumberFormat="1" applyFont="1" applyFill="1" applyAlignment="1">
      <alignment horizontal="center"/>
    </xf>
    <xf numFmtId="169" fontId="21" fillId="0" borderId="0" xfId="8" applyNumberFormat="1" applyFont="1" applyFill="1" applyAlignment="1">
      <alignment horizontal="center"/>
    </xf>
    <xf numFmtId="169" fontId="8" fillId="0" borderId="0" xfId="8" quotePrefix="1" applyNumberFormat="1" applyFont="1" applyFill="1" applyAlignment="1">
      <alignment horizontal="center"/>
    </xf>
    <xf numFmtId="169" fontId="21" fillId="0" borderId="0" xfId="8" quotePrefix="1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166" fontId="11" fillId="0" borderId="0" xfId="2" applyNumberFormat="1" applyFont="1" applyFill="1" applyBorder="1"/>
    <xf numFmtId="166" fontId="3" fillId="2" borderId="0" xfId="2" applyNumberFormat="1" applyFont="1" applyFill="1" applyBorder="1"/>
    <xf numFmtId="166" fontId="5" fillId="2" borderId="0" xfId="2" applyNumberFormat="1" applyFont="1" applyFill="1" applyBorder="1"/>
    <xf numFmtId="166" fontId="11" fillId="2" borderId="0" xfId="2" applyNumberFormat="1" applyFont="1" applyFill="1"/>
    <xf numFmtId="167" fontId="4" fillId="2" borderId="0" xfId="4" applyNumberFormat="1" applyFont="1" applyFill="1" applyBorder="1"/>
    <xf numFmtId="0" fontId="40" fillId="0" borderId="0" xfId="0" applyFont="1"/>
    <xf numFmtId="170" fontId="29" fillId="2" borderId="0" xfId="4" applyNumberFormat="1" applyFont="1" applyFill="1" applyAlignment="1">
      <alignment horizontal="center"/>
    </xf>
    <xf numFmtId="170" fontId="4" fillId="2" borderId="0" xfId="4" applyNumberFormat="1" applyFont="1" applyFill="1" applyAlignment="1">
      <alignment horizontal="center"/>
    </xf>
    <xf numFmtId="170" fontId="29" fillId="2" borderId="0" xfId="4" applyNumberFormat="1" applyFont="1" applyFill="1" applyBorder="1" applyAlignment="1">
      <alignment horizontal="center"/>
    </xf>
    <xf numFmtId="170" fontId="4" fillId="2" borderId="0" xfId="4" applyNumberFormat="1" applyFont="1" applyFill="1" applyBorder="1" applyAlignment="1">
      <alignment horizontal="center"/>
    </xf>
    <xf numFmtId="0" fontId="40" fillId="2" borderId="0" xfId="0" applyFont="1" applyFill="1" applyBorder="1"/>
    <xf numFmtId="0" fontId="4" fillId="2" borderId="0" xfId="4" applyNumberFormat="1" applyFont="1" applyFill="1" applyBorder="1" applyAlignment="1">
      <alignment horizontal="left"/>
    </xf>
    <xf numFmtId="0" fontId="3" fillId="0" borderId="13" xfId="2" applyNumberFormat="1" applyFont="1" applyFill="1" applyBorder="1" applyAlignment="1">
      <alignment horizontal="center"/>
    </xf>
    <xf numFmtId="0" fontId="30" fillId="0" borderId="0" xfId="2" applyNumberFormat="1" applyFont="1" applyFill="1" applyBorder="1" applyAlignment="1">
      <alignment horizontal="center"/>
    </xf>
    <xf numFmtId="0" fontId="30" fillId="0" borderId="3" xfId="2" applyNumberFormat="1" applyFont="1" applyFill="1" applyBorder="1" applyAlignment="1">
      <alignment horizontal="center"/>
    </xf>
    <xf numFmtId="0" fontId="30" fillId="0" borderId="14" xfId="2" applyNumberFormat="1" applyFont="1" applyFill="1" applyBorder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166" fontId="4" fillId="2" borderId="0" xfId="2" applyNumberFormat="1" applyFont="1" applyFill="1" applyAlignment="1">
      <alignment horizontal="center"/>
    </xf>
    <xf numFmtId="0" fontId="3" fillId="2" borderId="0" xfId="2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70" fontId="29" fillId="0" borderId="0" xfId="4" applyNumberFormat="1" applyFont="1" applyFill="1" applyAlignment="1">
      <alignment horizontal="center"/>
    </xf>
    <xf numFmtId="168" fontId="4" fillId="7" borderId="0" xfId="0" applyNumberFormat="1" applyFont="1" applyFill="1"/>
    <xf numFmtId="168" fontId="3" fillId="7" borderId="2" xfId="5" applyNumberFormat="1" applyFont="1" applyFill="1" applyBorder="1"/>
  </cellXfs>
  <cellStyles count="10">
    <cellStyle name="Lien hypertexte" xfId="1" builtinId="8"/>
    <cellStyle name="Milliers" xfId="2" builtinId="3"/>
    <cellStyle name="Milliers 2" xfId="3"/>
    <cellStyle name="Milliers 3" xfId="4"/>
    <cellStyle name="Monétaire" xfId="5" builtinId="4"/>
    <cellStyle name="Monétaire 2" xfId="6"/>
    <cellStyle name="Normal" xfId="0" builtinId="0"/>
    <cellStyle name="Normal 2" xfId="7"/>
    <cellStyle name="Pourcentage" xfId="8" builtinId="5"/>
    <cellStyle name="Pourcentage 2" xfId="9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2"/>
  <c:chart>
    <c:title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Feuil1!$B$2</c:f>
              <c:strCache>
                <c:ptCount val="1"/>
                <c:pt idx="0">
                  <c:v>Masse salariale</c:v>
                </c:pt>
              </c:strCache>
            </c:strRef>
          </c:tx>
          <c:cat>
            <c:strRef>
              <c:f>Feuil1!$A$3:$A$6</c:f>
              <c:strCache>
                <c:ptCount val="4"/>
                <c:pt idx="0">
                  <c:v>TECSAFINANCE</c:v>
                </c:pt>
                <c:pt idx="1">
                  <c:v>CHENE DECORS</c:v>
                </c:pt>
                <c:pt idx="2">
                  <c:v>TECSABOIS CHARPENTE</c:v>
                </c:pt>
                <c:pt idx="3">
                  <c:v>TECSABOIS</c:v>
                </c:pt>
              </c:strCache>
            </c:strRef>
          </c:cat>
          <c:val>
            <c:numRef>
              <c:f>Feuil1!$B$3:$B$6</c:f>
              <c:numCache>
                <c:formatCode>_ * #,##0_)\ "€"_ ;_ * \(#,##0\)\ "€"_ ;_ * "-"??_)\ "€"_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63255296"/>
        <c:axId val="63256832"/>
      </c:barChart>
      <c:catAx>
        <c:axId val="63255296"/>
        <c:scaling>
          <c:orientation val="minMax"/>
        </c:scaling>
        <c:axPos val="b"/>
        <c:numFmt formatCode="General" sourceLinked="1"/>
        <c:tickLblPos val="nextTo"/>
        <c:crossAx val="63256832"/>
        <c:crosses val="autoZero"/>
        <c:auto val="1"/>
        <c:lblAlgn val="ctr"/>
        <c:lblOffset val="100"/>
      </c:catAx>
      <c:valAx>
        <c:axId val="63256832"/>
        <c:scaling>
          <c:orientation val="minMax"/>
        </c:scaling>
        <c:axPos val="l"/>
        <c:majorGridlines/>
        <c:numFmt formatCode="_ * #,##0_)\ &quot;€&quot;_ ;_ * \(#,##0\)\ &quot;€&quot;_ ;_ * &quot;-&quot;??_)\ &quot;€&quot;_ ;_ @_ " sourceLinked="1"/>
        <c:tickLblPos val="nextTo"/>
        <c:crossAx val="63255296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1703916</xdr:colOff>
      <xdr:row>28</xdr:row>
      <xdr:rowOff>10583</xdr:rowOff>
    </xdr:from>
    <xdr:to>
      <xdr:col>10</xdr:col>
      <xdr:colOff>762000</xdr:colOff>
      <xdr:row>48</xdr:row>
      <xdr:rowOff>74083</xdr:rowOff>
    </xdr:to>
    <xdr:sp macro="" textlink="">
      <xdr:nvSpPr>
        <xdr:cNvPr id="2" name="ZoneTexte 1"/>
        <xdr:cNvSpPr txBox="1"/>
      </xdr:nvSpPr>
      <xdr:spPr>
        <a:xfrm>
          <a:off x="1915583" y="4201583"/>
          <a:ext cx="6752167" cy="387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0" i="0" u="sng">
              <a:solidFill>
                <a:schemeClr val="dk1"/>
              </a:solidFill>
              <a:latin typeface="+mn-lt"/>
              <a:ea typeface="+mn-ea"/>
              <a:cs typeface="+mn-cs"/>
            </a:rPr>
            <a:t>Chêne Décors</a:t>
          </a:r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Chaudière bois              Sept 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2014         100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k€              Prêt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           Défonceuse CN             Sept 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2014           35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k€              Prêt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           2eme aspiration             Sept </a:t>
          </a:r>
          <a:r>
            <a:rPr lang="fr-F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2015           50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k€              Prêt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Chariot Elevateur           2013                   30 k€ 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3 Gerbeurs                   2013                   25 k€ 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          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Abouteuse                    2015                   50 k€ 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4 Faces à Frises           2016                 120 k€ 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fr-FR" sz="1100" b="0" i="0" u="sng">
              <a:solidFill>
                <a:schemeClr val="dk1"/>
              </a:solidFill>
              <a:latin typeface="+mn-lt"/>
              <a:ea typeface="+mn-ea"/>
              <a:cs typeface="+mn-cs"/>
            </a:rPr>
            <a:t>Tecsabois Charpente</a:t>
          </a:r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Table de Montage          2015                 100 k€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Hundegger Robotdrive    2015                 250 k€             Leasing</a:t>
          </a: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5</xdr:row>
      <xdr:rowOff>161925</xdr:rowOff>
    </xdr:from>
    <xdr:to>
      <xdr:col>9</xdr:col>
      <xdr:colOff>714375</xdr:colOff>
      <xdr:row>20</xdr:row>
      <xdr:rowOff>47625</xdr:rowOff>
    </xdr:to>
    <xdr:graphicFrame macro="">
      <xdr:nvGraphicFramePr>
        <xdr:cNvPr id="409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R&#233;pertoire%20temporaire%202%20pour%20CREDICALC_SPLASHY.zip/CREDICALC_SPLASH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Bilan"/>
      <sheetName val="Tableau d'Amortissement"/>
      <sheetName val="Synthèse Graphique"/>
      <sheetName val="AIDE"/>
    </sheetNames>
    <sheetDataSet>
      <sheetData sheetId="0" refreshError="1">
        <row r="10">
          <cell r="B10" t="str">
            <v>BP</v>
          </cell>
        </row>
        <row r="16">
          <cell r="B16">
            <v>83000</v>
          </cell>
        </row>
        <row r="17">
          <cell r="B17">
            <v>3.5</v>
          </cell>
        </row>
        <row r="18">
          <cell r="B18">
            <v>5</v>
          </cell>
        </row>
        <row r="19">
          <cell r="B19">
            <v>20</v>
          </cell>
        </row>
        <row r="21">
          <cell r="B21">
            <v>1529.9148325312829</v>
          </cell>
        </row>
        <row r="25">
          <cell r="B25">
            <v>450</v>
          </cell>
        </row>
        <row r="26">
          <cell r="B26">
            <v>0</v>
          </cell>
        </row>
        <row r="28">
          <cell r="B28">
            <v>4.2580220462612006E-2</v>
          </cell>
        </row>
        <row r="36">
          <cell r="B36" t="str">
            <v>KO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bleau-amortissement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M48"/>
  <sheetViews>
    <sheetView showGridLines="0" topLeftCell="G2" zoomScale="80" zoomScaleNormal="80" workbookViewId="0">
      <selection activeCell="P20" sqref="P20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9.140625" style="9" customWidth="1"/>
    <col min="4" max="4" width="19.85546875" style="3" customWidth="1"/>
    <col min="5" max="5" width="7.7109375" style="299" customWidth="1"/>
    <col min="6" max="6" width="19.85546875" style="9" customWidth="1"/>
    <col min="7" max="7" width="7.7109375" style="301" customWidth="1"/>
    <col min="8" max="8" width="19.85546875" style="1" customWidth="1"/>
    <col min="9" max="9" width="7.7109375" style="301" customWidth="1"/>
    <col min="10" max="10" width="19.85546875" style="1" customWidth="1"/>
    <col min="11" max="11" width="7.7109375" style="301" customWidth="1"/>
    <col min="12" max="12" width="19.85546875" style="1" customWidth="1"/>
    <col min="13" max="13" width="7.7109375" style="301" customWidth="1"/>
    <col min="14" max="16384" width="11.42578125" style="1"/>
  </cols>
  <sheetData>
    <row r="1" spans="1:13" ht="18" customHeight="1"/>
    <row r="2" spans="1:13" s="31" customFormat="1">
      <c r="A2" s="30"/>
      <c r="B2" s="30"/>
      <c r="C2" s="30"/>
      <c r="D2" s="30">
        <v>2013</v>
      </c>
      <c r="E2" s="30"/>
      <c r="F2" s="31">
        <v>2014</v>
      </c>
      <c r="H2" s="31">
        <v>2015</v>
      </c>
      <c r="J2" s="31">
        <v>2016</v>
      </c>
      <c r="L2" s="31">
        <v>2017</v>
      </c>
    </row>
    <row r="3" spans="1:13" s="26" customFormat="1" ht="18.75">
      <c r="A3" s="7"/>
      <c r="B3" s="7"/>
      <c r="C3" s="7"/>
      <c r="D3" s="187"/>
      <c r="E3" s="311"/>
      <c r="F3" s="31"/>
      <c r="G3" s="8"/>
      <c r="H3" s="31"/>
      <c r="I3" s="8"/>
      <c r="J3" s="31"/>
      <c r="K3" s="8"/>
      <c r="L3" s="31"/>
      <c r="M3" s="8"/>
    </row>
    <row r="4" spans="1:13">
      <c r="A4" s="10"/>
      <c r="B4" s="11" t="s">
        <v>91</v>
      </c>
      <c r="C4" s="11"/>
    </row>
    <row r="5" spans="1:13">
      <c r="A5" s="10"/>
      <c r="B5" s="11"/>
      <c r="C5" s="11" t="s">
        <v>63</v>
      </c>
      <c r="D5" s="3">
        <v>2590000</v>
      </c>
      <c r="E5" s="301"/>
      <c r="F5" s="3">
        <v>2930000</v>
      </c>
      <c r="H5" s="3">
        <v>3690000</v>
      </c>
      <c r="J5" s="3">
        <v>4605000</v>
      </c>
      <c r="L5" s="3">
        <v>5055000</v>
      </c>
    </row>
    <row r="6" spans="1:13">
      <c r="A6" s="10"/>
      <c r="B6" s="11"/>
      <c r="C6" s="11" t="s">
        <v>60</v>
      </c>
      <c r="D6" s="3">
        <v>0</v>
      </c>
      <c r="E6" s="301"/>
      <c r="F6" s="3">
        <v>0</v>
      </c>
      <c r="H6" s="3">
        <v>0</v>
      </c>
      <c r="J6" s="3">
        <v>0</v>
      </c>
      <c r="L6" s="3">
        <v>0</v>
      </c>
    </row>
    <row r="7" spans="1:13">
      <c r="A7" s="10"/>
      <c r="B7" s="11" t="s">
        <v>43</v>
      </c>
      <c r="C7" s="11"/>
      <c r="E7" s="19"/>
      <c r="F7" s="3">
        <v>0</v>
      </c>
      <c r="H7" s="3">
        <v>0</v>
      </c>
      <c r="J7" s="3">
        <v>0</v>
      </c>
      <c r="L7" s="3">
        <v>0</v>
      </c>
    </row>
    <row r="8" spans="1:13">
      <c r="A8" s="10"/>
      <c r="B8" s="11"/>
      <c r="C8" s="11"/>
      <c r="E8" s="19"/>
      <c r="F8" s="3"/>
      <c r="H8" s="3"/>
      <c r="J8" s="3"/>
      <c r="L8" s="3"/>
    </row>
    <row r="9" spans="1:13" ht="15.75" thickBot="1">
      <c r="A9" s="24" t="s">
        <v>0</v>
      </c>
      <c r="B9" s="24"/>
      <c r="C9" s="24"/>
      <c r="D9" s="193">
        <f>SUM(D5:D8)</f>
        <v>2590000</v>
      </c>
      <c r="E9" s="312">
        <v>1</v>
      </c>
      <c r="F9" s="193">
        <f>SUM(F5:F8)</f>
        <v>2930000</v>
      </c>
      <c r="G9" s="312">
        <v>1</v>
      </c>
      <c r="H9" s="193">
        <f>SUM(H5:H8)</f>
        <v>3690000</v>
      </c>
      <c r="I9" s="312">
        <v>1</v>
      </c>
      <c r="J9" s="193">
        <f>SUM(J5:J8)</f>
        <v>4605000</v>
      </c>
      <c r="K9" s="312">
        <v>1</v>
      </c>
      <c r="L9" s="193">
        <f>SUM(L5:L8)</f>
        <v>5055000</v>
      </c>
      <c r="M9" s="312">
        <v>1</v>
      </c>
    </row>
    <row r="10" spans="1:13" ht="15.75" thickTop="1">
      <c r="A10" s="10"/>
      <c r="B10" s="11"/>
      <c r="C10" s="11"/>
      <c r="E10" s="19"/>
      <c r="F10" s="3"/>
      <c r="H10" s="3"/>
      <c r="J10" s="3"/>
      <c r="L10" s="3"/>
    </row>
    <row r="11" spans="1:13">
      <c r="A11" s="10"/>
      <c r="B11" s="11" t="s">
        <v>46</v>
      </c>
      <c r="C11" s="11"/>
      <c r="D11" s="3">
        <f>(D2+D5+D6)*E11-D12-D13</f>
        <v>824917.99300000002</v>
      </c>
      <c r="E11" s="330">
        <v>0.46100000000000002</v>
      </c>
      <c r="F11" s="3">
        <f>(F2+F5+F6)*G11-F12-F13</f>
        <v>852338.31400000001</v>
      </c>
      <c r="G11" s="330">
        <v>0.45100000000000001</v>
      </c>
      <c r="H11" s="3">
        <f>(H2+H5+H6)*I11-H12-H13</f>
        <v>1095098.7650000001</v>
      </c>
      <c r="I11" s="330">
        <v>0.45100000000000001</v>
      </c>
      <c r="J11" s="3">
        <f>(J2+J5+J6)*K11-J12-J13</f>
        <v>1447764.216</v>
      </c>
      <c r="K11" s="330">
        <v>0.45100000000000001</v>
      </c>
      <c r="L11" s="3">
        <f>(L2+L5+L6)*M11-L12-L13</f>
        <v>1590714.6669999999</v>
      </c>
      <c r="M11" s="330">
        <v>0.45100000000000001</v>
      </c>
    </row>
    <row r="12" spans="1:13">
      <c r="A12" s="10"/>
      <c r="B12" s="11" t="s">
        <v>62</v>
      </c>
      <c r="C12" s="11"/>
      <c r="D12" s="192">
        <f>'SIG TECSABOIS'!D6</f>
        <v>350000</v>
      </c>
      <c r="E12" s="192"/>
      <c r="F12" s="192">
        <f>'SIG TECSABOIS'!F6</f>
        <v>415000</v>
      </c>
      <c r="G12" s="331"/>
      <c r="H12" s="192">
        <f>'SIG TECSABOIS'!H6</f>
        <v>480000</v>
      </c>
      <c r="I12" s="192"/>
      <c r="J12" s="192">
        <v>540000</v>
      </c>
      <c r="K12" s="331"/>
      <c r="L12" s="192">
        <v>600000</v>
      </c>
    </row>
    <row r="13" spans="1:13">
      <c r="A13" s="10"/>
      <c r="B13" s="11" t="s">
        <v>86</v>
      </c>
      <c r="C13" s="11"/>
      <c r="D13" s="192">
        <f>'SIG TECSABOIS'!D7</f>
        <v>20000</v>
      </c>
      <c r="E13" s="192"/>
      <c r="F13" s="192">
        <f>'SIG TECSABOIS'!F7</f>
        <v>55000</v>
      </c>
      <c r="G13" s="331"/>
      <c r="H13" s="192">
        <f>'SIG TECSABOIS'!H7</f>
        <v>90000</v>
      </c>
      <c r="I13" s="192"/>
      <c r="J13" s="192">
        <v>90000</v>
      </c>
      <c r="K13" s="331"/>
      <c r="L13" s="192">
        <f>'SIG TECSABOIS'!L7</f>
        <v>90000</v>
      </c>
    </row>
    <row r="14" spans="1:13">
      <c r="A14" s="10"/>
      <c r="B14" s="11" t="s">
        <v>37</v>
      </c>
      <c r="C14" s="11"/>
      <c r="D14" s="3">
        <v>0</v>
      </c>
      <c r="E14" s="302"/>
      <c r="F14" s="3">
        <v>0</v>
      </c>
      <c r="H14" s="3">
        <v>0</v>
      </c>
      <c r="J14" s="3">
        <v>0</v>
      </c>
      <c r="L14" s="3">
        <v>0</v>
      </c>
    </row>
    <row r="15" spans="1:13">
      <c r="A15" s="10"/>
      <c r="B15" s="11"/>
      <c r="C15" s="11"/>
      <c r="E15" s="19"/>
      <c r="F15" s="3"/>
      <c r="H15" s="3"/>
      <c r="J15" s="3"/>
      <c r="L15" s="3"/>
    </row>
    <row r="16" spans="1:13" ht="15.75" thickBot="1">
      <c r="A16" s="24" t="s">
        <v>32</v>
      </c>
      <c r="B16" s="24"/>
      <c r="C16" s="24"/>
      <c r="D16" s="193">
        <f>D9-D14-D12-D11-D13</f>
        <v>1395082.007</v>
      </c>
      <c r="E16" s="312">
        <f>D16/D9</f>
        <v>0.5386417015444015</v>
      </c>
      <c r="F16" s="193">
        <f>F9-F14-F12-F11-F13</f>
        <v>1607661.686</v>
      </c>
      <c r="G16" s="312">
        <f>F16/F9</f>
        <v>0.54868999522184303</v>
      </c>
      <c r="H16" s="193">
        <f>H9-H14-H12-H11-H13</f>
        <v>2024901.2349999999</v>
      </c>
      <c r="I16" s="312">
        <f>H16/H9</f>
        <v>0.54875372222222218</v>
      </c>
      <c r="J16" s="193">
        <f>J9-J14-J12-J11-J13</f>
        <v>2527235.784</v>
      </c>
      <c r="K16" s="312">
        <f>J16/J9</f>
        <v>0.54880255895765473</v>
      </c>
      <c r="L16" s="193">
        <f>L9-L14-L12-L11-L13</f>
        <v>2774285.3330000001</v>
      </c>
      <c r="M16" s="312">
        <f>L16/L9</f>
        <v>0.5488200460929773</v>
      </c>
    </row>
    <row r="17" spans="1:13" ht="15.75" thickTop="1">
      <c r="A17" s="10"/>
      <c r="B17" s="11"/>
      <c r="C17" s="11"/>
      <c r="E17" s="19"/>
      <c r="F17" s="3"/>
      <c r="H17" s="3"/>
      <c r="J17" s="3"/>
      <c r="L17" s="3"/>
    </row>
    <row r="18" spans="1:13">
      <c r="A18" s="10"/>
      <c r="B18" s="9" t="s">
        <v>38</v>
      </c>
      <c r="E18" s="300"/>
      <c r="F18" s="3"/>
      <c r="H18" s="262"/>
      <c r="J18" s="262"/>
      <c r="L18" s="262"/>
    </row>
    <row r="19" spans="1:13">
      <c r="A19" s="39"/>
      <c r="C19" s="9" t="s">
        <v>57</v>
      </c>
      <c r="D19" s="3">
        <f>D9*E19</f>
        <v>341880</v>
      </c>
      <c r="E19" s="301">
        <f>5.5%+2.7%+5%</f>
        <v>0.13200000000000001</v>
      </c>
      <c r="F19" s="3">
        <f>F9*G19</f>
        <v>386760</v>
      </c>
      <c r="G19" s="301">
        <f>E19</f>
        <v>0.13200000000000001</v>
      </c>
      <c r="H19" s="3">
        <f>H9*I19</f>
        <v>487080</v>
      </c>
      <c r="I19" s="301">
        <f>5.5%+2.7%+5%</f>
        <v>0.13200000000000001</v>
      </c>
      <c r="J19" s="3">
        <f>J9*K19</f>
        <v>607860</v>
      </c>
      <c r="K19" s="301">
        <f>I19</f>
        <v>0.13200000000000001</v>
      </c>
      <c r="L19" s="3">
        <f>L9*M19</f>
        <v>667260</v>
      </c>
      <c r="M19" s="301">
        <f>K19</f>
        <v>0.13200000000000001</v>
      </c>
    </row>
    <row r="20" spans="1:13">
      <c r="A20" s="39"/>
      <c r="B20" s="52">
        <v>0.03</v>
      </c>
      <c r="C20" s="9" t="s">
        <v>58</v>
      </c>
      <c r="D20" s="3">
        <f>251170</f>
        <v>251170</v>
      </c>
      <c r="E20" s="301"/>
      <c r="F20" s="3">
        <f>D20+D20*$B$20</f>
        <v>258705.1</v>
      </c>
      <c r="H20" s="3">
        <f>F20+F20*$B$20</f>
        <v>266466.25300000003</v>
      </c>
      <c r="J20" s="3">
        <f>H20+H20*$B$20</f>
        <v>274460.24059</v>
      </c>
      <c r="L20" s="3">
        <f>J20+J20*$B$20</f>
        <v>282694.0478077</v>
      </c>
    </row>
    <row r="21" spans="1:13">
      <c r="A21" s="39"/>
      <c r="B21" s="39"/>
      <c r="C21" s="9" t="s">
        <v>80</v>
      </c>
      <c r="D21" s="263">
        <v>102000</v>
      </c>
      <c r="E21" s="329"/>
      <c r="F21" s="263">
        <v>192000</v>
      </c>
      <c r="G21" s="329"/>
      <c r="H21" s="263">
        <v>240000</v>
      </c>
      <c r="I21" s="329"/>
      <c r="J21" s="263">
        <v>300000</v>
      </c>
      <c r="K21" s="329"/>
      <c r="L21" s="263">
        <v>300000</v>
      </c>
    </row>
    <row r="22" spans="1:13">
      <c r="A22" s="39"/>
      <c r="B22" s="39"/>
      <c r="D22" s="3">
        <f t="shared" ref="D22:F22" si="0">SUM(D19:D21)</f>
        <v>695050</v>
      </c>
      <c r="E22" s="3"/>
      <c r="F22" s="3">
        <f t="shared" si="0"/>
        <v>837465.1</v>
      </c>
      <c r="G22" s="3"/>
      <c r="H22" s="3">
        <f>SUM(H19:H21)</f>
        <v>993546.25300000003</v>
      </c>
      <c r="I22" s="300"/>
      <c r="J22" s="3">
        <f>SUM(J19:J21)</f>
        <v>1182320.2405900001</v>
      </c>
      <c r="K22" s="300"/>
      <c r="L22" s="3">
        <f>SUM(L19:L21)</f>
        <v>1249954.0478077</v>
      </c>
    </row>
    <row r="23" spans="1:13">
      <c r="A23" s="40"/>
      <c r="B23" s="11"/>
      <c r="C23" s="11"/>
      <c r="E23" s="19"/>
      <c r="F23" s="3"/>
      <c r="H23" s="3"/>
      <c r="J23" s="3"/>
      <c r="L23" s="3"/>
    </row>
    <row r="24" spans="1:13" ht="15.75" thickBot="1">
      <c r="A24" s="24" t="s">
        <v>1</v>
      </c>
      <c r="B24" s="24"/>
      <c r="C24" s="24"/>
      <c r="D24" s="193">
        <f>+D16-D22</f>
        <v>700032.00699999998</v>
      </c>
      <c r="E24" s="312">
        <f>D24/D9</f>
        <v>0.27028262818532817</v>
      </c>
      <c r="F24" s="193">
        <f>+F16-F22</f>
        <v>770196.58600000001</v>
      </c>
      <c r="G24" s="312">
        <f>F24/F9</f>
        <v>0.26286572901023891</v>
      </c>
      <c r="H24" s="193">
        <f>+H16-H22</f>
        <v>1031354.9819999998</v>
      </c>
      <c r="I24" s="312">
        <f>H24/H9</f>
        <v>0.27949999512195117</v>
      </c>
      <c r="J24" s="193">
        <f>+J16-J22</f>
        <v>1344915.5434099999</v>
      </c>
      <c r="K24" s="312">
        <f>J24/J9</f>
        <v>0.29205549259717695</v>
      </c>
      <c r="L24" s="193">
        <f>+L16-L22</f>
        <v>1524331.2851923001</v>
      </c>
      <c r="M24" s="312">
        <f>L24/L9</f>
        <v>0.30154921566613258</v>
      </c>
    </row>
    <row r="25" spans="1:13" ht="15.75" thickTop="1">
      <c r="A25" s="10"/>
      <c r="B25" s="11"/>
      <c r="C25" s="11"/>
      <c r="E25" s="19"/>
      <c r="F25" s="3"/>
      <c r="H25" s="3"/>
      <c r="J25" s="3"/>
      <c r="L25" s="3"/>
    </row>
    <row r="26" spans="1:13">
      <c r="A26" s="18" t="s">
        <v>6</v>
      </c>
      <c r="B26" s="9" t="s">
        <v>49</v>
      </c>
      <c r="C26" s="1"/>
      <c r="E26" s="301"/>
      <c r="F26" s="3"/>
      <c r="H26" s="3">
        <v>0</v>
      </c>
      <c r="J26" s="3">
        <v>0</v>
      </c>
      <c r="L26" s="3">
        <v>0</v>
      </c>
    </row>
    <row r="27" spans="1:13" s="5" customFormat="1">
      <c r="A27" s="14" t="s">
        <v>47</v>
      </c>
      <c r="B27" s="15" t="s">
        <v>39</v>
      </c>
      <c r="D27" s="188">
        <f>(+D28+D29)*E27</f>
        <v>53846.1</v>
      </c>
      <c r="E27" s="301">
        <v>0.09</v>
      </c>
      <c r="F27" s="188">
        <f>(+F28+F29)*G27</f>
        <v>42849.24</v>
      </c>
      <c r="G27" s="301">
        <v>0.06</v>
      </c>
      <c r="H27" s="188">
        <f>(+H28+H29)*I27</f>
        <v>61300.568000000007</v>
      </c>
      <c r="I27" s="301">
        <v>7.0000000000000007E-2</v>
      </c>
      <c r="J27" s="188">
        <f>(H27)*(K27+1)</f>
        <v>65438.356339999998</v>
      </c>
      <c r="K27" s="301">
        <v>6.7500000000000004E-2</v>
      </c>
      <c r="L27" s="188">
        <f>(+L28+L29)*M27</f>
        <v>79170</v>
      </c>
      <c r="M27" s="301">
        <v>6.5000000000000002E-2</v>
      </c>
    </row>
    <row r="28" spans="1:13">
      <c r="A28" s="17" t="s">
        <v>47</v>
      </c>
      <c r="B28" s="11" t="s">
        <v>50</v>
      </c>
      <c r="C28" s="1"/>
      <c r="D28" s="188">
        <f>D9*E28</f>
        <v>427350</v>
      </c>
      <c r="E28" s="301">
        <v>0.16500000000000001</v>
      </c>
      <c r="F28" s="188">
        <v>510110</v>
      </c>
      <c r="G28" s="301">
        <f>F28/F9</f>
        <v>0.17409897610921501</v>
      </c>
      <c r="H28" s="188">
        <v>625516</v>
      </c>
      <c r="I28" s="301">
        <v>0.16500000000000001</v>
      </c>
      <c r="J28" s="188">
        <v>780000</v>
      </c>
      <c r="K28" s="301">
        <f>J28/J9</f>
        <v>0.16938110749185667</v>
      </c>
      <c r="L28" s="188">
        <v>870000</v>
      </c>
      <c r="M28" s="301">
        <f>L28/L9</f>
        <v>0.17210682492581603</v>
      </c>
    </row>
    <row r="29" spans="1:13">
      <c r="A29" s="17" t="s">
        <v>47</v>
      </c>
      <c r="B29" s="11" t="s">
        <v>40</v>
      </c>
      <c r="C29" s="1"/>
      <c r="D29" s="188">
        <f>+D28*E29</f>
        <v>170940</v>
      </c>
      <c r="E29" s="301">
        <v>0.4</v>
      </c>
      <c r="F29" s="188">
        <f>+F28*G29</f>
        <v>204044</v>
      </c>
      <c r="G29" s="301">
        <v>0.4</v>
      </c>
      <c r="H29" s="188">
        <f>+H28*I29</f>
        <v>250206.40000000002</v>
      </c>
      <c r="I29" s="301">
        <v>0.4</v>
      </c>
      <c r="J29" s="188">
        <f>+J28*K29</f>
        <v>312000</v>
      </c>
      <c r="K29" s="301">
        <v>0.4</v>
      </c>
      <c r="L29" s="188">
        <f>+L28*M29</f>
        <v>348000</v>
      </c>
      <c r="M29" s="301">
        <v>0.4</v>
      </c>
    </row>
    <row r="30" spans="1:13">
      <c r="F30" s="3"/>
      <c r="H30" s="3"/>
      <c r="J30" s="3"/>
      <c r="L30" s="3"/>
    </row>
    <row r="31" spans="1:13" ht="15.75" thickBot="1">
      <c r="A31" s="24" t="s">
        <v>2</v>
      </c>
      <c r="B31" s="24"/>
      <c r="C31" s="24"/>
      <c r="D31" s="193">
        <f>+D24+D26-SUM(D27:D29)</f>
        <v>47895.907000000007</v>
      </c>
      <c r="E31" s="312">
        <f>+D31/D9</f>
        <v>1.8492628185328187E-2</v>
      </c>
      <c r="F31" s="193">
        <f>+F24+F26-SUM(F27:F29)</f>
        <v>13193.34600000002</v>
      </c>
      <c r="G31" s="312">
        <f>+F31/F9</f>
        <v>4.5028484641638292E-3</v>
      </c>
      <c r="H31" s="193">
        <f>+H24+H26-SUM(H27:H29)</f>
        <v>94332.01399999985</v>
      </c>
      <c r="I31" s="312">
        <f>+H31/H9</f>
        <v>2.5564231436314321E-2</v>
      </c>
      <c r="J31" s="193">
        <f>+J24+J26-SUM(J27:J29)</f>
        <v>187477.18706999999</v>
      </c>
      <c r="K31" s="312">
        <f>+J31/J9</f>
        <v>4.0711658429967421E-2</v>
      </c>
      <c r="L31" s="193">
        <f>+L24-SUM(L27:L29)</f>
        <v>227161.2851923001</v>
      </c>
      <c r="M31" s="312">
        <f>+L31/L9</f>
        <v>4.493793970174087E-2</v>
      </c>
    </row>
    <row r="32" spans="1:13" ht="15.75" thickTop="1">
      <c r="F32" s="3"/>
      <c r="H32" s="3"/>
      <c r="J32" s="3"/>
      <c r="L32" s="3"/>
    </row>
    <row r="33" spans="1:13">
      <c r="A33" s="18" t="s">
        <v>6</v>
      </c>
      <c r="B33" s="9" t="s">
        <v>48</v>
      </c>
      <c r="D33" s="3">
        <v>0</v>
      </c>
      <c r="F33" s="264">
        <v>0</v>
      </c>
      <c r="H33" s="264">
        <v>0</v>
      </c>
      <c r="J33" s="264">
        <v>0</v>
      </c>
      <c r="L33" s="264">
        <v>0</v>
      </c>
    </row>
    <row r="34" spans="1:13">
      <c r="A34" s="10" t="s">
        <v>6</v>
      </c>
      <c r="B34" s="11" t="s">
        <v>42</v>
      </c>
      <c r="C34" s="11"/>
      <c r="D34" s="3">
        <v>27617</v>
      </c>
      <c r="E34" s="19"/>
      <c r="F34" s="3">
        <v>45105</v>
      </c>
      <c r="H34" s="3">
        <v>0</v>
      </c>
      <c r="J34" s="3">
        <v>0</v>
      </c>
      <c r="L34" s="3">
        <v>0</v>
      </c>
    </row>
    <row r="35" spans="1:13">
      <c r="A35" s="18" t="s">
        <v>47</v>
      </c>
      <c r="B35" s="9" t="s">
        <v>3</v>
      </c>
      <c r="D35" s="3">
        <v>13673</v>
      </c>
      <c r="F35" s="3">
        <v>24159</v>
      </c>
      <c r="H35" s="3">
        <v>20100</v>
      </c>
      <c r="J35" s="3">
        <v>29000</v>
      </c>
      <c r="L35" s="3">
        <v>40000</v>
      </c>
    </row>
    <row r="36" spans="1:13">
      <c r="A36" s="17" t="s">
        <v>47</v>
      </c>
      <c r="B36" s="11" t="s">
        <v>41</v>
      </c>
      <c r="C36" s="11"/>
      <c r="D36" s="3">
        <v>15</v>
      </c>
      <c r="E36" s="19"/>
      <c r="F36" s="188">
        <v>179</v>
      </c>
      <c r="G36" s="314"/>
      <c r="H36" s="188">
        <v>0</v>
      </c>
      <c r="J36" s="188">
        <v>0</v>
      </c>
      <c r="L36" s="188">
        <v>0</v>
      </c>
    </row>
    <row r="37" spans="1:13">
      <c r="F37" s="3"/>
      <c r="H37" s="3"/>
      <c r="J37" s="3"/>
      <c r="L37" s="3"/>
    </row>
    <row r="38" spans="1:13" ht="15.75" thickBot="1">
      <c r="A38" s="24" t="s">
        <v>4</v>
      </c>
      <c r="B38" s="24"/>
      <c r="C38" s="24"/>
      <c r="D38" s="193">
        <f>D31+D33+D34-D35-D36</f>
        <v>61824.907000000007</v>
      </c>
      <c r="E38" s="312">
        <f>D38/D9</f>
        <v>2.3870620463320467E-2</v>
      </c>
      <c r="F38" s="193">
        <f>F31+F33+F34-F35-F36</f>
        <v>33960.34600000002</v>
      </c>
      <c r="G38" s="312">
        <f>F38/F9</f>
        <v>1.1590561774744034E-2</v>
      </c>
      <c r="H38" s="193">
        <f>H31+H33+H34-H35-H36</f>
        <v>74232.01399999985</v>
      </c>
      <c r="I38" s="312">
        <f>H38/H9</f>
        <v>2.0117076964769606E-2</v>
      </c>
      <c r="J38" s="193">
        <f>J31+J33+J34-J35-J36</f>
        <v>158477.18706999999</v>
      </c>
      <c r="K38" s="312">
        <f>J38/J9</f>
        <v>3.4414155715526598E-2</v>
      </c>
      <c r="L38" s="193">
        <f>L31+L33+L34-L35-L36</f>
        <v>187161.2851923001</v>
      </c>
      <c r="M38" s="312">
        <f>L38/L9</f>
        <v>3.7024982233887262E-2</v>
      </c>
    </row>
    <row r="39" spans="1:13" ht="15.75" thickTop="1">
      <c r="F39" s="3"/>
      <c r="H39" s="3"/>
      <c r="J39" s="3"/>
      <c r="L39" s="3"/>
    </row>
    <row r="40" spans="1:13">
      <c r="B40" s="9" t="s">
        <v>5</v>
      </c>
      <c r="D40" s="3">
        <f>-$H$9*E40</f>
        <v>-18450</v>
      </c>
      <c r="E40" s="301">
        <v>5.0000000000000001E-3</v>
      </c>
      <c r="F40" s="3">
        <f>-$J$9*G40</f>
        <v>-9210</v>
      </c>
      <c r="G40" s="301">
        <v>2E-3</v>
      </c>
      <c r="H40" s="3">
        <f>-$L$9*I40</f>
        <v>-10110</v>
      </c>
      <c r="I40" s="301">
        <f>G40</f>
        <v>2E-3</v>
      </c>
      <c r="J40" s="3">
        <f>-$J$9*K40</f>
        <v>-9210</v>
      </c>
      <c r="K40" s="301">
        <v>2E-3</v>
      </c>
      <c r="L40" s="3">
        <f>-$L$9*M40</f>
        <v>-10110</v>
      </c>
      <c r="M40" s="301">
        <f>K40</f>
        <v>2E-3</v>
      </c>
    </row>
    <row r="41" spans="1:13">
      <c r="B41" s="9" t="s">
        <v>29</v>
      </c>
      <c r="D41" s="3">
        <v>0</v>
      </c>
      <c r="E41" s="301"/>
      <c r="F41" s="3">
        <v>0</v>
      </c>
      <c r="H41" s="3">
        <v>-30000</v>
      </c>
      <c r="J41" s="3">
        <v>0</v>
      </c>
      <c r="L41" s="3">
        <v>0</v>
      </c>
    </row>
    <row r="42" spans="1:13">
      <c r="B42" s="9" t="s">
        <v>9</v>
      </c>
      <c r="D42" s="3">
        <v>0</v>
      </c>
      <c r="E42" s="301"/>
      <c r="F42" s="3">
        <v>0</v>
      </c>
      <c r="H42" s="3">
        <v>0</v>
      </c>
      <c r="J42" s="3">
        <v>0</v>
      </c>
      <c r="L42" s="3">
        <v>0</v>
      </c>
    </row>
    <row r="43" spans="1:13">
      <c r="F43" s="3"/>
      <c r="H43" s="3"/>
      <c r="J43" s="3"/>
      <c r="L43" s="3"/>
    </row>
    <row r="44" spans="1:13" ht="15.75" thickBot="1">
      <c r="A44" s="24" t="s">
        <v>10</v>
      </c>
      <c r="B44" s="24"/>
      <c r="C44" s="24"/>
      <c r="D44" s="193">
        <f>+D38+SUM(D40:D42)</f>
        <v>43374.907000000007</v>
      </c>
      <c r="E44" s="312">
        <f>+D44/D9</f>
        <v>1.6747068339768342E-2</v>
      </c>
      <c r="F44" s="193">
        <f>SUM(F38:F43)</f>
        <v>24750.34600000002</v>
      </c>
      <c r="G44" s="312">
        <f>+F44/F9</f>
        <v>8.4472170648464233E-3</v>
      </c>
      <c r="H44" s="193">
        <f>SUM(H38:H43)</f>
        <v>34122.01399999985</v>
      </c>
      <c r="I44" s="312">
        <f>+H44/H9</f>
        <v>9.247158265582615E-3</v>
      </c>
      <c r="J44" s="193">
        <f>SUM(J38:J43)</f>
        <v>149267.18706999999</v>
      </c>
      <c r="K44" s="312">
        <f>+J44/J9</f>
        <v>3.2414155715526596E-2</v>
      </c>
      <c r="L44" s="193">
        <f>SUM(L38:L43)</f>
        <v>177051.2851923001</v>
      </c>
      <c r="M44" s="312">
        <f>+L44/L9</f>
        <v>3.502498223388726E-2</v>
      </c>
    </row>
    <row r="45" spans="1:13" ht="15.75" thickTop="1">
      <c r="F45" s="3"/>
    </row>
    <row r="46" spans="1:13">
      <c r="F46" s="3"/>
      <c r="H46" s="13"/>
      <c r="J46" s="13"/>
      <c r="L46" s="13"/>
    </row>
    <row r="47" spans="1:13">
      <c r="F47" s="3"/>
      <c r="H47" s="13"/>
      <c r="J47" s="13"/>
      <c r="L47" s="13"/>
    </row>
    <row r="48" spans="1:13">
      <c r="F48" s="3"/>
      <c r="H48" s="13"/>
      <c r="J48" s="13"/>
      <c r="L48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2" orientation="landscape" horizontalDpi="300" verticalDpi="300" r:id="rId1"/>
  <headerFooter scaleWithDoc="0">
    <oddHeader>&amp;LDossier TECSAFINANCE
Annexe B1
&amp;CSolde intermédiaire de gestion
Société CHÊNE DECORS&amp;RConfidentiel</oddHeader>
    <oddFooter>&amp;L&amp;D&amp;R1/4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V70"/>
  <sheetViews>
    <sheetView showGridLines="0" zoomScale="80" zoomScaleNormal="80" workbookViewId="0">
      <selection activeCell="U1" sqref="U1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18.140625" style="9" customWidth="1"/>
    <col min="4" max="4" width="7.7109375" style="9" hidden="1" customWidth="1"/>
    <col min="5" max="5" width="15.7109375" style="3" hidden="1" customWidth="1"/>
    <col min="6" max="6" width="7.7109375" style="3" hidden="1" customWidth="1"/>
    <col min="7" max="7" width="1.42578125" style="3" customWidth="1"/>
    <col min="8" max="8" width="7.7109375" style="9" customWidth="1"/>
    <col min="9" max="9" width="15.7109375" style="9" customWidth="1"/>
    <col min="10" max="10" width="7.7109375" style="12" customWidth="1"/>
    <col min="11" max="11" width="3.7109375" style="12" customWidth="1"/>
    <col min="12" max="12" width="7.7109375" style="12" customWidth="1"/>
    <col min="13" max="13" width="15.7109375" style="1" customWidth="1"/>
    <col min="14" max="14" width="7.7109375" style="12" customWidth="1"/>
    <col min="15" max="15" width="3.7109375" style="12" customWidth="1"/>
    <col min="16" max="16" width="7.7109375" style="12" customWidth="1"/>
    <col min="17" max="17" width="15.7109375" style="1" customWidth="1"/>
    <col min="18" max="18" width="7.7109375" style="12" customWidth="1"/>
    <col min="19" max="19" width="3.7109375" style="12" customWidth="1"/>
    <col min="20" max="20" width="7.7109375" style="12" customWidth="1"/>
    <col min="21" max="21" width="15.7109375" style="1" customWidth="1"/>
    <col min="22" max="22" width="7.7109375" style="12" customWidth="1"/>
    <col min="23" max="16384" width="11.42578125" style="1"/>
  </cols>
  <sheetData>
    <row r="1" spans="1:22" s="31" customFormat="1">
      <c r="A1" s="30"/>
      <c r="B1" s="30"/>
      <c r="C1" s="30"/>
      <c r="D1" s="82"/>
      <c r="E1" s="30">
        <v>2011</v>
      </c>
      <c r="F1" s="30"/>
      <c r="G1" s="30"/>
      <c r="H1" s="30"/>
      <c r="I1" s="82">
        <v>2014</v>
      </c>
      <c r="J1" s="82"/>
      <c r="K1" s="82"/>
      <c r="L1" s="82"/>
      <c r="M1" s="82">
        <v>2015</v>
      </c>
      <c r="N1" s="82"/>
      <c r="O1" s="82"/>
      <c r="P1" s="82"/>
      <c r="Q1" s="82">
        <v>2016</v>
      </c>
      <c r="R1" s="82"/>
      <c r="S1" s="82"/>
      <c r="T1" s="82"/>
      <c r="U1" s="82">
        <v>2017</v>
      </c>
      <c r="V1" s="82"/>
    </row>
    <row r="2" spans="1:22" s="31" customFormat="1">
      <c r="A2" s="82"/>
      <c r="B2" s="30"/>
      <c r="C2" s="30"/>
      <c r="D2" s="30" t="s">
        <v>93</v>
      </c>
      <c r="E2" s="30"/>
      <c r="F2" s="30" t="s">
        <v>94</v>
      </c>
      <c r="G2" s="30"/>
      <c r="H2" s="30" t="s">
        <v>93</v>
      </c>
      <c r="I2" s="82" t="s">
        <v>576</v>
      </c>
      <c r="J2" s="82" t="s">
        <v>94</v>
      </c>
      <c r="K2" s="82"/>
      <c r="L2" s="82" t="s">
        <v>93</v>
      </c>
      <c r="M2" s="82" t="s">
        <v>576</v>
      </c>
      <c r="N2" s="82" t="s">
        <v>94</v>
      </c>
      <c r="O2" s="82"/>
      <c r="P2" s="82" t="s">
        <v>93</v>
      </c>
      <c r="Q2" s="82" t="s">
        <v>576</v>
      </c>
      <c r="R2" s="82" t="s">
        <v>94</v>
      </c>
      <c r="S2" s="82"/>
      <c r="T2" s="82" t="s">
        <v>93</v>
      </c>
      <c r="U2" s="82" t="s">
        <v>576</v>
      </c>
      <c r="V2" s="82" t="s">
        <v>94</v>
      </c>
    </row>
    <row r="3" spans="1:22" s="31" customFormat="1">
      <c r="A3" s="82"/>
      <c r="B3" s="30"/>
      <c r="C3" s="30"/>
      <c r="D3" s="30"/>
      <c r="E3" s="30"/>
      <c r="F3" s="30"/>
      <c r="G3" s="30"/>
      <c r="H3" s="349" t="s">
        <v>101</v>
      </c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</row>
    <row r="4" spans="1:22" s="31" customFormat="1" ht="15.75" thickBot="1">
      <c r="A4" s="293" t="s">
        <v>577</v>
      </c>
      <c r="B4" s="294"/>
      <c r="C4" s="294"/>
      <c r="D4" s="294"/>
      <c r="E4" s="294"/>
      <c r="F4" s="294"/>
      <c r="G4" s="294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</row>
    <row r="5" spans="1:22" s="26" customFormat="1" ht="18.75">
      <c r="A5" s="7"/>
      <c r="B5" s="268" t="s">
        <v>103</v>
      </c>
      <c r="C5" s="7"/>
      <c r="D5" s="7"/>
      <c r="E5" s="187"/>
      <c r="F5" s="187"/>
      <c r="G5" s="187"/>
      <c r="H5" s="7"/>
      <c r="I5" s="82"/>
      <c r="J5" s="83"/>
      <c r="K5" s="83"/>
      <c r="L5" s="83"/>
      <c r="M5" s="82"/>
      <c r="N5" s="83"/>
      <c r="O5" s="83"/>
      <c r="P5" s="83"/>
      <c r="Q5" s="82"/>
      <c r="R5" s="83"/>
      <c r="S5" s="83"/>
      <c r="T5" s="83"/>
      <c r="U5" s="82"/>
      <c r="V5" s="83"/>
    </row>
    <row r="6" spans="1:22" s="26" customFormat="1" ht="18.75">
      <c r="A6" s="7"/>
      <c r="B6" s="7"/>
      <c r="C6" s="269" t="s">
        <v>104</v>
      </c>
      <c r="D6" s="273">
        <v>0.88</v>
      </c>
      <c r="E6" s="188">
        <f>E32*D6</f>
        <v>1771.44</v>
      </c>
      <c r="F6" s="273"/>
      <c r="G6" s="187"/>
      <c r="H6" s="273">
        <f>I6/I$28</f>
        <v>0.85324232081911267</v>
      </c>
      <c r="I6" s="188">
        <v>2500000</v>
      </c>
      <c r="J6" s="273"/>
      <c r="K6" s="83"/>
      <c r="L6" s="273">
        <f>M6/M$32</f>
        <v>0.81300813008130079</v>
      </c>
      <c r="M6" s="188">
        <v>3000000</v>
      </c>
      <c r="N6" s="273">
        <f>(M6-I6)/M6</f>
        <v>0.16666666666666666</v>
      </c>
      <c r="O6" s="83"/>
      <c r="P6" s="273">
        <f>Q6/Q$32</f>
        <v>0.71661237785016285</v>
      </c>
      <c r="Q6" s="188">
        <f>3300000</f>
        <v>3300000</v>
      </c>
      <c r="R6" s="273">
        <f>(Q6-M6)/Q6</f>
        <v>9.0909090909090912E-2</v>
      </c>
      <c r="S6" s="83"/>
      <c r="T6" s="273">
        <f>U6/U$32</f>
        <v>0.641139804096171</v>
      </c>
      <c r="U6" s="188">
        <v>3600000</v>
      </c>
      <c r="V6" s="273">
        <f>(U6-Q6)/U6</f>
        <v>8.3333333333333329E-2</v>
      </c>
    </row>
    <row r="7" spans="1:22" s="26" customFormat="1" ht="18.75">
      <c r="A7" s="7"/>
      <c r="B7" s="7"/>
      <c r="C7" s="269" t="s">
        <v>608</v>
      </c>
      <c r="D7" s="273">
        <v>0.88</v>
      </c>
      <c r="E7" s="188">
        <f>E33*D7</f>
        <v>0</v>
      </c>
      <c r="F7" s="273"/>
      <c r="G7" s="187"/>
      <c r="H7" s="273">
        <f>I7/I$28</f>
        <v>0</v>
      </c>
      <c r="I7" s="188">
        <v>0</v>
      </c>
      <c r="J7" s="273"/>
      <c r="K7" s="83"/>
      <c r="L7" s="273">
        <f>M7/M$32</f>
        <v>2.7100271002710029E-2</v>
      </c>
      <c r="M7" s="188">
        <v>100000</v>
      </c>
      <c r="N7" s="273">
        <f>(M7-I7)/M7</f>
        <v>1</v>
      </c>
      <c r="O7" s="83"/>
      <c r="P7" s="273">
        <f>Q7/Q$32</f>
        <v>0.10857763300760044</v>
      </c>
      <c r="Q7" s="188">
        <v>500000</v>
      </c>
      <c r="R7" s="273">
        <f>(Q7-M7)/Q7</f>
        <v>0.8</v>
      </c>
      <c r="S7" s="83"/>
      <c r="T7" s="273">
        <f>U7/U$32</f>
        <v>0.17809439002671415</v>
      </c>
      <c r="U7" s="188">
        <v>1000000</v>
      </c>
      <c r="V7" s="273">
        <f>(U7-Q7)/U7</f>
        <v>0.5</v>
      </c>
    </row>
    <row r="8" spans="1:22" s="26" customFormat="1" ht="18" customHeight="1">
      <c r="A8" s="7"/>
      <c r="B8" s="7"/>
      <c r="C8" s="269" t="s">
        <v>105</v>
      </c>
      <c r="D8" s="273">
        <f>E8/E$32</f>
        <v>14.903129657228018</v>
      </c>
      <c r="E8" s="188">
        <f>I8</f>
        <v>30000</v>
      </c>
      <c r="F8" s="273"/>
      <c r="G8" s="187"/>
      <c r="H8" s="288">
        <f>I8/I$28</f>
        <v>1.0238907849829351E-2</v>
      </c>
      <c r="I8" s="188">
        <v>30000</v>
      </c>
      <c r="J8" s="273"/>
      <c r="K8" s="83"/>
      <c r="L8" s="273">
        <f>M8/M$32</f>
        <v>1.3550135501355014E-2</v>
      </c>
      <c r="M8" s="188">
        <v>50000</v>
      </c>
      <c r="N8" s="273">
        <f>(M8-I8)/M8</f>
        <v>0.4</v>
      </c>
      <c r="O8" s="83"/>
      <c r="P8" s="273">
        <f>Q8/Q$32</f>
        <v>2.1715526601520086E-2</v>
      </c>
      <c r="Q8" s="188">
        <v>100000</v>
      </c>
      <c r="R8" s="273">
        <f>(Q8-M8)/Q8</f>
        <v>0.5</v>
      </c>
      <c r="S8" s="83"/>
      <c r="T8" s="273">
        <f>U8/U$32</f>
        <v>2.2261798753339269E-2</v>
      </c>
      <c r="U8" s="188">
        <v>125000</v>
      </c>
      <c r="V8" s="273">
        <f>(U8-Q8)/U8</f>
        <v>0.2</v>
      </c>
    </row>
    <row r="9" spans="1:22" s="26" customFormat="1" ht="18.75">
      <c r="A9" s="7"/>
      <c r="B9" s="269"/>
      <c r="C9" s="269" t="s">
        <v>106</v>
      </c>
      <c r="D9" s="289">
        <f>E9/E$32</f>
        <v>4.9677098857426722</v>
      </c>
      <c r="E9" s="188">
        <f>I9</f>
        <v>10000</v>
      </c>
      <c r="F9" s="273"/>
      <c r="G9" s="187"/>
      <c r="H9" s="289">
        <f>I9/I$28</f>
        <v>3.4129692832764505E-3</v>
      </c>
      <c r="I9" s="188">
        <v>10000</v>
      </c>
      <c r="J9" s="273"/>
      <c r="K9" s="83"/>
      <c r="L9" s="289">
        <f>M9/M$32</f>
        <v>2.7100271002710027E-3</v>
      </c>
      <c r="M9" s="188">
        <v>10000</v>
      </c>
      <c r="N9" s="288">
        <f>(M9-I9)/M9</f>
        <v>0</v>
      </c>
      <c r="O9" s="83"/>
      <c r="P9" s="289">
        <f>Q9/Q$32</f>
        <v>2.1715526601520088E-3</v>
      </c>
      <c r="Q9" s="188">
        <v>10000</v>
      </c>
      <c r="R9" s="273">
        <f>(Q9-M9)/Q9</f>
        <v>0</v>
      </c>
      <c r="S9" s="83"/>
      <c r="T9" s="289">
        <f>U9/U$32</f>
        <v>1.7809439002671415E-3</v>
      </c>
      <c r="U9" s="188">
        <v>10000</v>
      </c>
      <c r="V9" s="273">
        <f>(U9-Q9)/U9</f>
        <v>0</v>
      </c>
    </row>
    <row r="10" spans="1:22" s="26" customFormat="1" ht="18.75">
      <c r="A10" s="7"/>
      <c r="B10" s="7"/>
      <c r="C10" s="269" t="s">
        <v>107</v>
      </c>
      <c r="D10" s="273"/>
      <c r="E10" s="188">
        <f>I10</f>
        <v>0</v>
      </c>
      <c r="F10" s="273"/>
      <c r="G10" s="277"/>
      <c r="H10" s="273">
        <f>I10/I$28</f>
        <v>0</v>
      </c>
      <c r="I10" s="188">
        <v>0</v>
      </c>
      <c r="J10" s="273"/>
      <c r="K10" s="83"/>
      <c r="L10" s="288">
        <f>M10/M$32</f>
        <v>0</v>
      </c>
      <c r="M10" s="188">
        <v>0</v>
      </c>
      <c r="N10" s="273"/>
      <c r="O10" s="83"/>
      <c r="P10" s="289">
        <f>Q10/Q$32</f>
        <v>0</v>
      </c>
      <c r="Q10" s="188">
        <v>0</v>
      </c>
      <c r="R10" s="273" t="e">
        <f>(Q10-M10)/Q10</f>
        <v>#DIV/0!</v>
      </c>
      <c r="S10" s="83"/>
      <c r="T10" s="289">
        <f>U10/U$32</f>
        <v>0</v>
      </c>
      <c r="U10" s="188">
        <v>0</v>
      </c>
      <c r="V10" s="273" t="e">
        <f>(U10-Q10)/U10</f>
        <v>#DIV/0!</v>
      </c>
    </row>
    <row r="11" spans="1:22" s="26" customFormat="1" ht="18.75">
      <c r="A11" s="7"/>
      <c r="B11" s="7"/>
      <c r="C11" s="269" t="s">
        <v>108</v>
      </c>
      <c r="D11" s="273"/>
      <c r="E11" s="188">
        <f>I11</f>
        <v>0</v>
      </c>
      <c r="F11" s="273"/>
      <c r="G11" s="277"/>
      <c r="H11" s="273">
        <f>I11/I$28</f>
        <v>0</v>
      </c>
      <c r="I11" s="188">
        <v>0</v>
      </c>
      <c r="J11" s="273"/>
      <c r="K11" s="83"/>
      <c r="L11" s="288">
        <f>M11/M$32</f>
        <v>0</v>
      </c>
      <c r="M11" s="188">
        <v>0</v>
      </c>
      <c r="N11" s="273"/>
      <c r="O11" s="83"/>
      <c r="P11" s="273"/>
      <c r="Q11" s="188">
        <v>0</v>
      </c>
      <c r="R11" s="273"/>
      <c r="S11" s="83"/>
      <c r="T11" s="273">
        <f>U11/U$32</f>
        <v>0</v>
      </c>
      <c r="U11" s="188">
        <v>0</v>
      </c>
      <c r="V11" s="273"/>
    </row>
    <row r="12" spans="1:22" s="26" customFormat="1" ht="18.75">
      <c r="A12" s="7"/>
      <c r="B12" s="7"/>
      <c r="C12" s="269"/>
      <c r="D12" s="273"/>
      <c r="E12" s="188"/>
      <c r="F12" s="273"/>
      <c r="G12" s="277"/>
      <c r="H12" s="295"/>
      <c r="I12" s="190"/>
      <c r="J12" s="286"/>
      <c r="K12" s="287"/>
      <c r="L12" s="295"/>
      <c r="M12" s="190"/>
      <c r="N12" s="286"/>
      <c r="O12" s="287"/>
      <c r="P12" s="286"/>
      <c r="Q12" s="190"/>
      <c r="R12" s="286"/>
      <c r="S12" s="287"/>
      <c r="T12" s="286"/>
      <c r="U12" s="190"/>
      <c r="V12" s="286"/>
    </row>
    <row r="13" spans="1:22" s="26" customFormat="1" ht="18.75">
      <c r="A13" s="7"/>
      <c r="B13" s="270"/>
      <c r="C13" s="198" t="s">
        <v>580</v>
      </c>
      <c r="D13" s="273">
        <f>SUM(D6:D10)</f>
        <v>21.630839542970691</v>
      </c>
      <c r="E13" s="188">
        <f>SUM(E6:E10)</f>
        <v>41771.440000000002</v>
      </c>
      <c r="F13" s="273"/>
      <c r="G13" s="277"/>
      <c r="H13" s="273">
        <f>SUM(H6:H10)</f>
        <v>0.86689419795221856</v>
      </c>
      <c r="I13" s="188">
        <f>SUM(I6:I10)</f>
        <v>2540000</v>
      </c>
      <c r="J13" s="83"/>
      <c r="K13" s="83"/>
      <c r="L13" s="273">
        <f>SUM(L6:L10)</f>
        <v>0.85636856368563685</v>
      </c>
      <c r="M13" s="188">
        <f>SUM(M6:M10)</f>
        <v>3160000</v>
      </c>
      <c r="N13" s="273">
        <f>(M13-I13)/M13</f>
        <v>0.19620253164556961</v>
      </c>
      <c r="O13" s="83"/>
      <c r="P13" s="273">
        <f>SUM(P6:P10)</f>
        <v>0.84907709011943544</v>
      </c>
      <c r="Q13" s="189">
        <f>SUM(Q6:Q10)</f>
        <v>3910000</v>
      </c>
      <c r="R13" s="273">
        <f>(Q13-M13)/Q13</f>
        <v>0.1918158567774936</v>
      </c>
      <c r="S13" s="83"/>
      <c r="T13" s="273">
        <f>SUM(T6:T11)</f>
        <v>0.84327693677649151</v>
      </c>
      <c r="U13" s="189">
        <f>SUM(U6:U11)</f>
        <v>4735000</v>
      </c>
      <c r="V13" s="273">
        <f>(U13-Q13)/U13</f>
        <v>0.17423442449841606</v>
      </c>
    </row>
    <row r="14" spans="1:22" s="26" customFormat="1" ht="18.75">
      <c r="A14" s="7"/>
      <c r="B14" s="270"/>
      <c r="C14" s="198"/>
      <c r="D14" s="273"/>
      <c r="E14" s="188"/>
      <c r="F14" s="273"/>
      <c r="G14" s="277"/>
      <c r="H14" s="273"/>
      <c r="I14" s="188"/>
      <c r="J14" s="83"/>
      <c r="K14" s="83"/>
      <c r="L14" s="273"/>
      <c r="M14" s="188"/>
      <c r="N14" s="273"/>
      <c r="O14" s="83"/>
      <c r="P14" s="273"/>
      <c r="Q14" s="189"/>
      <c r="R14" s="273"/>
      <c r="S14" s="83"/>
      <c r="T14" s="273"/>
      <c r="U14" s="189"/>
      <c r="V14" s="273"/>
    </row>
    <row r="15" spans="1:22" s="26" customFormat="1" ht="18.75">
      <c r="A15" s="7"/>
      <c r="B15" s="84" t="s">
        <v>109</v>
      </c>
      <c r="C15" s="200"/>
      <c r="D15" s="273"/>
      <c r="E15" s="188"/>
      <c r="F15" s="273"/>
      <c r="G15" s="277"/>
      <c r="H15" s="273"/>
      <c r="I15" s="82"/>
      <c r="J15" s="83"/>
      <c r="K15" s="83"/>
      <c r="L15" s="83"/>
      <c r="M15" s="82"/>
      <c r="N15" s="83"/>
      <c r="O15" s="83"/>
      <c r="P15" s="83"/>
      <c r="Q15" s="82"/>
      <c r="R15" s="83"/>
      <c r="S15" s="83"/>
      <c r="T15" s="83"/>
      <c r="U15" s="82"/>
      <c r="V15" s="83"/>
    </row>
    <row r="16" spans="1:22" s="26" customFormat="1" ht="18.75">
      <c r="A16" s="7"/>
      <c r="B16" s="7"/>
      <c r="C16" s="290" t="s">
        <v>110</v>
      </c>
      <c r="D16" s="291" t="e">
        <f>#REF!</f>
        <v>#REF!</v>
      </c>
      <c r="E16" s="188" t="e">
        <f>(E$10*D16)</f>
        <v>#REF!</v>
      </c>
      <c r="F16" s="273"/>
      <c r="G16" s="187"/>
      <c r="H16" s="273">
        <f>I16/I$28</f>
        <v>6.8259385665529011E-3</v>
      </c>
      <c r="I16" s="188">
        <v>20000</v>
      </c>
      <c r="J16" s="273"/>
      <c r="K16" s="83"/>
      <c r="L16" s="288">
        <f>M16/M$32</f>
        <v>1.0840108401084011E-2</v>
      </c>
      <c r="M16" s="188">
        <v>40000</v>
      </c>
      <c r="N16" s="273"/>
      <c r="O16" s="83"/>
      <c r="P16" s="273">
        <f>Q16/Q$32</f>
        <v>1.3029315960912053E-2</v>
      </c>
      <c r="Q16" s="188">
        <v>60000</v>
      </c>
      <c r="R16" s="273">
        <f>(Q16-M16)/Q16</f>
        <v>0.33333333333333331</v>
      </c>
      <c r="S16" s="83"/>
      <c r="T16" s="273">
        <f>U16/U$32</f>
        <v>1.4247551202137132E-2</v>
      </c>
      <c r="U16" s="188">
        <v>80000</v>
      </c>
      <c r="V16" s="273">
        <f>(U16-Q16)/U16</f>
        <v>0.25</v>
      </c>
    </row>
    <row r="17" spans="1:22" s="26" customFormat="1" ht="18.75">
      <c r="A17" s="7"/>
      <c r="B17" s="7"/>
      <c r="C17" s="290" t="s">
        <v>111</v>
      </c>
      <c r="D17" s="291" t="e">
        <f>#REF!</f>
        <v>#REF!</v>
      </c>
      <c r="E17" s="188" t="e">
        <f>E$10*D17</f>
        <v>#REF!</v>
      </c>
      <c r="F17" s="273"/>
      <c r="G17" s="187"/>
      <c r="H17" s="273">
        <f>I17/I$28</f>
        <v>2.7303754266211604E-2</v>
      </c>
      <c r="I17" s="188">
        <v>80000</v>
      </c>
      <c r="J17" s="273"/>
      <c r="K17" s="83"/>
      <c r="L17" s="288">
        <f>M17/M$32</f>
        <v>3.2520325203252036E-2</v>
      </c>
      <c r="M17" s="188">
        <v>120000</v>
      </c>
      <c r="N17" s="273">
        <f>(M17-I17)/M17</f>
        <v>0.33333333333333331</v>
      </c>
      <c r="O17" s="83"/>
      <c r="P17" s="273">
        <f>Q17/Q$32</f>
        <v>3.4744842562432141E-2</v>
      </c>
      <c r="Q17" s="188">
        <v>160000</v>
      </c>
      <c r="R17" s="273">
        <f>(Q17-M17)/Q17</f>
        <v>0.25</v>
      </c>
      <c r="S17" s="83"/>
      <c r="T17" s="273">
        <f>U17/U$32</f>
        <v>3.561887800534283E-2</v>
      </c>
      <c r="U17" s="188">
        <v>200000</v>
      </c>
      <c r="V17" s="273">
        <f>(U17-Q17)/U17</f>
        <v>0.2</v>
      </c>
    </row>
    <row r="18" spans="1:22" s="26" customFormat="1" ht="18.75">
      <c r="A18" s="7"/>
      <c r="B18" s="7"/>
      <c r="C18" s="290"/>
      <c r="D18" s="291"/>
      <c r="E18" s="188"/>
      <c r="F18" s="273"/>
      <c r="G18" s="187"/>
      <c r="H18" s="296"/>
      <c r="I18" s="190"/>
      <c r="J18" s="286"/>
      <c r="K18" s="287"/>
      <c r="L18" s="295"/>
      <c r="M18" s="190"/>
      <c r="N18" s="286"/>
      <c r="O18" s="287"/>
      <c r="P18" s="286"/>
      <c r="Q18" s="190"/>
      <c r="R18" s="286"/>
      <c r="S18" s="287"/>
      <c r="T18" s="286"/>
      <c r="U18" s="190"/>
      <c r="V18" s="286"/>
    </row>
    <row r="19" spans="1:22" s="26" customFormat="1" ht="18.75">
      <c r="A19" s="7"/>
      <c r="B19" s="269"/>
      <c r="C19" s="198" t="s">
        <v>580</v>
      </c>
      <c r="D19" s="273" t="e">
        <f>SUM(D16:D17)</f>
        <v>#REF!</v>
      </c>
      <c r="E19" s="188" t="e">
        <f>SUM(E16:E17)</f>
        <v>#REF!</v>
      </c>
      <c r="F19" s="187"/>
      <c r="G19" s="187"/>
      <c r="H19" s="289">
        <f>SUM(H16:H17)</f>
        <v>3.4129692832764506E-2</v>
      </c>
      <c r="I19" s="188">
        <f>SUM(I16:I17)</f>
        <v>100000</v>
      </c>
      <c r="J19" s="83"/>
      <c r="K19" s="83"/>
      <c r="L19" s="273">
        <f>SUM(L16:L17)</f>
        <v>4.3360433604336043E-2</v>
      </c>
      <c r="M19" s="189">
        <f>SUM(M16:M17)</f>
        <v>160000</v>
      </c>
      <c r="N19" s="273">
        <f>(M19-I19)/M19</f>
        <v>0.375</v>
      </c>
      <c r="O19" s="83"/>
      <c r="P19" s="273">
        <f>SUM(P16:P17)</f>
        <v>4.7774158523344191E-2</v>
      </c>
      <c r="Q19" s="189">
        <f>SUM(Q16:Q17)</f>
        <v>220000</v>
      </c>
      <c r="R19" s="273">
        <f>(Q19-M19)/Q19</f>
        <v>0.27272727272727271</v>
      </c>
      <c r="S19" s="83"/>
      <c r="T19" s="273">
        <f>SUM(T16:T17)</f>
        <v>4.9866429207479961E-2</v>
      </c>
      <c r="U19" s="189">
        <f>SUM(U16:U17)</f>
        <v>280000</v>
      </c>
      <c r="V19" s="273">
        <f>(U19-Q19)/U19</f>
        <v>0.21428571428571427</v>
      </c>
    </row>
    <row r="20" spans="1:22" s="26" customFormat="1" ht="18.75">
      <c r="A20" s="7"/>
      <c r="B20" s="269"/>
      <c r="C20" s="198"/>
      <c r="D20" s="273"/>
      <c r="E20" s="188"/>
      <c r="F20" s="187"/>
      <c r="G20" s="187"/>
      <c r="H20" s="289"/>
      <c r="I20" s="188"/>
      <c r="J20" s="83"/>
      <c r="K20" s="83"/>
      <c r="L20" s="273"/>
      <c r="M20" s="189"/>
      <c r="N20" s="273"/>
      <c r="O20" s="83"/>
      <c r="P20" s="273"/>
      <c r="Q20" s="189"/>
      <c r="R20" s="273"/>
      <c r="S20" s="83"/>
      <c r="T20" s="273"/>
      <c r="U20" s="189"/>
      <c r="V20" s="273"/>
    </row>
    <row r="21" spans="1:22" s="26" customFormat="1" ht="18.75">
      <c r="A21" s="7"/>
      <c r="B21" s="84" t="s">
        <v>112</v>
      </c>
      <c r="C21" s="200"/>
      <c r="D21" s="273"/>
      <c r="E21" s="188"/>
      <c r="F21" s="273"/>
      <c r="G21" s="277"/>
      <c r="H21" s="273"/>
      <c r="I21" s="82"/>
      <c r="J21" s="83"/>
      <c r="K21" s="83"/>
      <c r="L21" s="83"/>
      <c r="M21" s="82"/>
      <c r="N21" s="83"/>
      <c r="O21" s="83"/>
      <c r="P21" s="83"/>
      <c r="Q21" s="82"/>
      <c r="R21" s="83"/>
      <c r="S21" s="83"/>
      <c r="T21" s="83"/>
      <c r="U21" s="82"/>
      <c r="V21" s="83"/>
    </row>
    <row r="22" spans="1:22" s="26" customFormat="1" ht="18.75">
      <c r="A22" s="7"/>
      <c r="B22" s="7"/>
      <c r="C22" s="290" t="s">
        <v>113</v>
      </c>
      <c r="D22" s="291" t="e">
        <f>#REF!</f>
        <v>#REF!</v>
      </c>
      <c r="E22" s="188" t="e">
        <f>(E$10*D22)</f>
        <v>#REF!</v>
      </c>
      <c r="F22" s="273"/>
      <c r="G22" s="187"/>
      <c r="H22" s="273">
        <f>I22/I$28</f>
        <v>4.2662116040955635E-2</v>
      </c>
      <c r="I22" s="188">
        <v>125000</v>
      </c>
      <c r="J22" s="273"/>
      <c r="K22" s="83"/>
      <c r="L22" s="288">
        <f>M22/M$32</f>
        <v>4.065040650406504E-2</v>
      </c>
      <c r="M22" s="188">
        <v>150000</v>
      </c>
      <c r="N22" s="273">
        <f>(M22-I22)/M22</f>
        <v>0.16666666666666666</v>
      </c>
      <c r="O22" s="83"/>
      <c r="P22" s="288">
        <f>Q22/Q$32</f>
        <v>3.8002171552660155E-2</v>
      </c>
      <c r="Q22" s="188">
        <v>175000</v>
      </c>
      <c r="R22" s="273">
        <f>(Q22-M22)/Q22</f>
        <v>0.14285714285714285</v>
      </c>
      <c r="S22" s="83"/>
      <c r="T22" s="273">
        <f>U22/U$32</f>
        <v>3.561887800534283E-2</v>
      </c>
      <c r="U22" s="188">
        <v>200000</v>
      </c>
      <c r="V22" s="273">
        <f>(U22-Q22)/U22</f>
        <v>0.125</v>
      </c>
    </row>
    <row r="23" spans="1:22" s="26" customFormat="1" ht="18.75">
      <c r="A23" s="7"/>
      <c r="B23" s="7"/>
      <c r="C23" s="290" t="s">
        <v>115</v>
      </c>
      <c r="D23" s="291"/>
      <c r="E23" s="188"/>
      <c r="F23" s="273"/>
      <c r="G23" s="187"/>
      <c r="H23" s="273">
        <f>I23/I$28</f>
        <v>3.0716723549488054E-2</v>
      </c>
      <c r="I23" s="188">
        <v>90000</v>
      </c>
      <c r="J23" s="273"/>
      <c r="K23" s="83"/>
      <c r="L23" s="288">
        <f>M23/M$32</f>
        <v>3.2520325203252036E-2</v>
      </c>
      <c r="M23" s="188">
        <v>120000</v>
      </c>
      <c r="N23" s="273">
        <f>(M23-I23)/M23</f>
        <v>0.25</v>
      </c>
      <c r="O23" s="83"/>
      <c r="P23" s="288">
        <f>Q23/Q$32</f>
        <v>3.2573289902280131E-2</v>
      </c>
      <c r="Q23" s="188">
        <v>150000</v>
      </c>
      <c r="R23" s="273">
        <f>(Q23-M23)/Q23</f>
        <v>0.2</v>
      </c>
      <c r="S23" s="83"/>
      <c r="T23" s="273">
        <f>U23/U$32</f>
        <v>3.561887800534283E-2</v>
      </c>
      <c r="U23" s="188">
        <v>200000</v>
      </c>
      <c r="V23" s="273">
        <f>(U23-Q23)/U23</f>
        <v>0.25</v>
      </c>
    </row>
    <row r="24" spans="1:22" s="26" customFormat="1" ht="18.75">
      <c r="A24" s="7"/>
      <c r="B24" s="7"/>
      <c r="C24" s="290" t="s">
        <v>114</v>
      </c>
      <c r="D24" s="291" t="e">
        <f>#REF!</f>
        <v>#REF!</v>
      </c>
      <c r="E24" s="188" t="e">
        <f>E$10*D24</f>
        <v>#REF!</v>
      </c>
      <c r="F24" s="273"/>
      <c r="G24" s="187"/>
      <c r="H24" s="273">
        <f>I24/I$28</f>
        <v>2.5597269624573378E-2</v>
      </c>
      <c r="I24" s="188">
        <v>75000</v>
      </c>
      <c r="J24" s="273"/>
      <c r="K24" s="83"/>
      <c r="L24" s="273">
        <f>+M24/M32</f>
        <v>2.7100271002710029E-2</v>
      </c>
      <c r="M24" s="188">
        <v>100000</v>
      </c>
      <c r="N24" s="273">
        <f>(M24-I24)/M24</f>
        <v>0.25</v>
      </c>
      <c r="O24" s="83"/>
      <c r="P24" s="288">
        <f>Q24/Q$32</f>
        <v>3.2573289902280131E-2</v>
      </c>
      <c r="Q24" s="188">
        <v>150000</v>
      </c>
      <c r="R24" s="273">
        <f>(Q24-M24)/Q24</f>
        <v>0.33333333333333331</v>
      </c>
      <c r="S24" s="83"/>
      <c r="T24" s="273">
        <f>U24/U$32</f>
        <v>3.561887800534283E-2</v>
      </c>
      <c r="U24" s="188">
        <v>200000</v>
      </c>
      <c r="V24" s="273">
        <f>(U24-Q24)/U24</f>
        <v>0.25</v>
      </c>
    </row>
    <row r="25" spans="1:22" s="26" customFormat="1" ht="18.75">
      <c r="A25" s="7"/>
      <c r="B25" s="7"/>
      <c r="C25" s="290"/>
      <c r="D25" s="291"/>
      <c r="E25" s="188"/>
      <c r="F25" s="273"/>
      <c r="G25" s="187"/>
      <c r="H25" s="296"/>
      <c r="I25" s="190"/>
      <c r="J25" s="286"/>
      <c r="K25" s="287"/>
      <c r="L25" s="286"/>
      <c r="M25" s="190"/>
      <c r="N25" s="286"/>
      <c r="O25" s="287"/>
      <c r="P25" s="295"/>
      <c r="Q25" s="190"/>
      <c r="R25" s="286"/>
      <c r="S25" s="287"/>
      <c r="T25" s="286"/>
      <c r="U25" s="190"/>
      <c r="V25" s="286"/>
    </row>
    <row r="26" spans="1:22" s="26" customFormat="1" ht="18.75">
      <c r="A26" s="7"/>
      <c r="B26" s="269"/>
      <c r="C26" s="198" t="s">
        <v>580</v>
      </c>
      <c r="D26" s="273" t="e">
        <f>SUM(D22:D24)</f>
        <v>#REF!</v>
      </c>
      <c r="E26" s="188" t="e">
        <f>SUM(E22:E24)</f>
        <v>#REF!</v>
      </c>
      <c r="F26" s="187"/>
      <c r="G26" s="187"/>
      <c r="H26" s="273">
        <f>SUM(H22:H24)</f>
        <v>9.8976109215017066E-2</v>
      </c>
      <c r="I26" s="188">
        <f>SUM(I22:I24)</f>
        <v>290000</v>
      </c>
      <c r="J26" s="83"/>
      <c r="K26" s="83"/>
      <c r="L26" s="273">
        <f>SUM(L22:L24)</f>
        <v>0.10027100271002712</v>
      </c>
      <c r="M26" s="189">
        <f>SUM(M22:M24)</f>
        <v>370000</v>
      </c>
      <c r="N26" s="273">
        <f>(M26-I26)/M26</f>
        <v>0.21621621621621623</v>
      </c>
      <c r="O26" s="83"/>
      <c r="P26" s="273">
        <f>SUM(P22:P24)</f>
        <v>0.10314875135722042</v>
      </c>
      <c r="Q26" s="189">
        <f>SUM(Q22:Q24)</f>
        <v>475000</v>
      </c>
      <c r="R26" s="273">
        <f>(Q26-M26)/Q26</f>
        <v>0.22105263157894736</v>
      </c>
      <c r="S26" s="83"/>
      <c r="T26" s="273">
        <f>SUM(T22:T24)</f>
        <v>0.10685663401602849</v>
      </c>
      <c r="U26" s="189">
        <f>SUM(U22:U24)</f>
        <v>600000</v>
      </c>
      <c r="V26" s="273">
        <f>(U26-Q26)/U26</f>
        <v>0.20833333333333334</v>
      </c>
    </row>
    <row r="27" spans="1:22" s="26" customFormat="1" ht="18.75">
      <c r="A27" s="7"/>
      <c r="B27" s="269"/>
      <c r="C27" s="271"/>
      <c r="D27" s="7"/>
      <c r="E27" s="187"/>
      <c r="F27" s="187"/>
      <c r="G27" s="187"/>
      <c r="H27" s="273"/>
      <c r="I27" s="292">
        <f>I13+I19+I26</f>
        <v>2930000</v>
      </c>
      <c r="J27" s="83"/>
      <c r="K27" s="83"/>
      <c r="L27" s="83"/>
      <c r="M27" s="292">
        <f>M13+M19+M26</f>
        <v>3690000</v>
      </c>
      <c r="N27" s="273"/>
      <c r="O27" s="83"/>
      <c r="P27" s="83"/>
      <c r="Q27" s="292">
        <f>Q13+Q19+Q26</f>
        <v>4605000</v>
      </c>
      <c r="R27" s="83"/>
      <c r="S27" s="83"/>
      <c r="T27" s="83"/>
      <c r="U27" s="292">
        <f>U13+U19+U26</f>
        <v>5615000</v>
      </c>
      <c r="V27" s="83"/>
    </row>
    <row r="28" spans="1:22">
      <c r="A28" s="194"/>
      <c r="B28" s="272" t="s">
        <v>91</v>
      </c>
      <c r="C28" s="269"/>
      <c r="D28" s="269"/>
      <c r="E28" s="188">
        <f>'SIG CHENE DECORS'!D2</f>
        <v>2013</v>
      </c>
      <c r="F28" s="188"/>
      <c r="G28" s="188"/>
      <c r="H28" s="285">
        <f>H26+H19+H13</f>
        <v>1.0000000000000002</v>
      </c>
      <c r="I28" s="297">
        <f>I13+I19+I26</f>
        <v>2930000</v>
      </c>
      <c r="J28" s="298"/>
      <c r="K28" s="298"/>
      <c r="L28" s="285">
        <f>L26+L19+L13</f>
        <v>1</v>
      </c>
      <c r="M28" s="297">
        <f>M13+M19+M26</f>
        <v>3690000</v>
      </c>
      <c r="N28" s="285"/>
      <c r="O28" s="298"/>
      <c r="P28" s="285">
        <f>P26+P19+P13</f>
        <v>1</v>
      </c>
      <c r="Q28" s="297">
        <f>Q13+Q19+Q26</f>
        <v>4605000</v>
      </c>
      <c r="R28" s="298"/>
      <c r="S28" s="298"/>
      <c r="T28" s="285">
        <f>T26+T19+T13</f>
        <v>1</v>
      </c>
      <c r="U28" s="297">
        <f>U13+U19+U26</f>
        <v>5615000</v>
      </c>
      <c r="V28" s="298"/>
    </row>
    <row r="29" spans="1:22">
      <c r="A29" s="194"/>
      <c r="B29" s="272"/>
      <c r="C29" s="269"/>
      <c r="D29" s="269"/>
      <c r="E29" s="188"/>
      <c r="F29" s="188"/>
      <c r="G29" s="188"/>
      <c r="H29" s="273"/>
      <c r="I29" s="188"/>
      <c r="J29" s="16"/>
      <c r="K29" s="16"/>
      <c r="L29" s="273"/>
      <c r="M29" s="188"/>
      <c r="N29" s="273"/>
      <c r="O29" s="16"/>
      <c r="P29" s="273"/>
      <c r="Q29" s="188"/>
      <c r="R29" s="16"/>
      <c r="S29" s="16"/>
      <c r="T29" s="273"/>
      <c r="U29" s="188"/>
      <c r="V29" s="16"/>
    </row>
    <row r="30" spans="1:22">
      <c r="A30" s="194"/>
      <c r="B30" s="269" t="s">
        <v>43</v>
      </c>
      <c r="C30" s="269"/>
      <c r="D30" s="269"/>
      <c r="E30" s="188">
        <f>'SIG CHENE DECORS'!D7</f>
        <v>0</v>
      </c>
      <c r="F30" s="188"/>
      <c r="G30" s="188"/>
      <c r="H30" s="269"/>
      <c r="I30" s="188">
        <f>'SIG CHENE DECORS'!F7</f>
        <v>0</v>
      </c>
      <c r="J30" s="16"/>
      <c r="K30" s="16"/>
      <c r="L30" s="16"/>
      <c r="M30" s="188">
        <v>0</v>
      </c>
      <c r="N30" s="273"/>
      <c r="O30" s="16"/>
      <c r="P30" s="16"/>
      <c r="Q30" s="188">
        <v>0</v>
      </c>
      <c r="R30" s="16"/>
      <c r="S30" s="16"/>
      <c r="T30" s="16"/>
      <c r="U30" s="188">
        <v>0</v>
      </c>
      <c r="V30" s="16"/>
    </row>
    <row r="31" spans="1:22">
      <c r="A31" s="194"/>
      <c r="B31" s="269"/>
      <c r="C31" s="269"/>
      <c r="D31" s="269"/>
      <c r="E31" s="188"/>
      <c r="F31" s="188"/>
      <c r="G31" s="188"/>
      <c r="H31" s="269"/>
      <c r="I31" s="188"/>
      <c r="J31" s="16"/>
      <c r="K31" s="16"/>
      <c r="L31" s="16"/>
      <c r="M31" s="188"/>
      <c r="N31" s="273"/>
      <c r="O31" s="16"/>
      <c r="P31" s="16"/>
      <c r="Q31" s="188"/>
      <c r="R31" s="16"/>
      <c r="S31" s="16"/>
      <c r="T31" s="16"/>
      <c r="U31" s="188"/>
      <c r="V31" s="16"/>
    </row>
    <row r="32" spans="1:22">
      <c r="A32" s="274" t="s">
        <v>0</v>
      </c>
      <c r="B32" s="274"/>
      <c r="C32" s="274"/>
      <c r="D32" s="274"/>
      <c r="E32" s="278">
        <f>SUM(E28:E31)</f>
        <v>2013</v>
      </c>
      <c r="F32" s="278"/>
      <c r="G32" s="278"/>
      <c r="H32" s="275"/>
      <c r="I32" s="278">
        <f>SUM(I28:I31)</f>
        <v>2930000</v>
      </c>
      <c r="J32" s="58">
        <f>(I32-E32)/I32</f>
        <v>0.9993129692832764</v>
      </c>
      <c r="K32" s="58"/>
      <c r="L32" s="275"/>
      <c r="M32" s="278">
        <f>SUM(M28:M31)</f>
        <v>3690000</v>
      </c>
      <c r="N32" s="58">
        <f>(M32-I32)/M32</f>
        <v>0.20596205962059622</v>
      </c>
      <c r="O32" s="58"/>
      <c r="P32" s="275"/>
      <c r="Q32" s="278">
        <f>SUM(Q28:Q31)</f>
        <v>4605000</v>
      </c>
      <c r="R32" s="58">
        <f>(Q32-M32)/Q32</f>
        <v>0.1986970684039088</v>
      </c>
      <c r="S32" s="58"/>
      <c r="T32" s="275"/>
      <c r="U32" s="278">
        <f>SUM(U28:U31)</f>
        <v>5615000</v>
      </c>
      <c r="V32" s="58">
        <f>(U32-Q32)/U32</f>
        <v>0.1798753339269813</v>
      </c>
    </row>
    <row r="33" spans="1:22" s="63" customFormat="1">
      <c r="A33" s="194"/>
      <c r="B33" s="269"/>
      <c r="C33" s="269"/>
      <c r="D33" s="269"/>
      <c r="E33" s="188"/>
      <c r="F33" s="188"/>
      <c r="G33" s="188"/>
      <c r="H33" s="269"/>
      <c r="I33" s="188"/>
      <c r="J33" s="16"/>
      <c r="K33" s="16"/>
      <c r="L33" s="16"/>
      <c r="M33" s="188"/>
      <c r="N33" s="16"/>
      <c r="O33" s="16"/>
      <c r="P33" s="16"/>
      <c r="Q33" s="188"/>
      <c r="R33" s="16"/>
      <c r="S33" s="16"/>
      <c r="T33" s="16"/>
      <c r="U33" s="188"/>
      <c r="V33" s="16"/>
    </row>
    <row r="34" spans="1:22" s="66" customFormat="1">
      <c r="A34" s="64"/>
      <c r="B34" s="65"/>
      <c r="C34" s="65"/>
      <c r="D34" s="65"/>
      <c r="E34" s="55"/>
      <c r="F34" s="55"/>
      <c r="G34" s="55"/>
      <c r="I34" s="55"/>
      <c r="J34" s="16"/>
      <c r="K34" s="67"/>
      <c r="L34" s="67"/>
      <c r="M34" s="55"/>
      <c r="N34" s="56"/>
      <c r="O34" s="68"/>
      <c r="P34" s="68"/>
      <c r="Q34" s="55"/>
      <c r="R34" s="56"/>
      <c r="S34" s="68"/>
      <c r="T34" s="68"/>
      <c r="U34" s="55"/>
      <c r="V34" s="16"/>
    </row>
    <row r="35" spans="1:22" s="66" customFormat="1">
      <c r="A35" s="64"/>
      <c r="B35" s="65"/>
      <c r="C35" s="65"/>
      <c r="D35" s="65"/>
      <c r="E35" s="55"/>
      <c r="F35" s="55"/>
      <c r="G35" s="55"/>
      <c r="I35" s="55"/>
      <c r="J35" s="16"/>
      <c r="K35" s="67"/>
      <c r="L35" s="67"/>
      <c r="M35" s="55"/>
      <c r="N35" s="16"/>
      <c r="O35" s="67"/>
      <c r="P35" s="67"/>
      <c r="Q35" s="55"/>
      <c r="R35" s="16"/>
      <c r="S35" s="67"/>
      <c r="T35" s="67"/>
      <c r="U35" s="55"/>
      <c r="V35" s="16"/>
    </row>
    <row r="36" spans="1:22" s="66" customFormat="1">
      <c r="A36" s="64"/>
      <c r="B36" s="65"/>
      <c r="C36" s="65"/>
      <c r="D36" s="65"/>
      <c r="E36" s="55"/>
      <c r="F36" s="55"/>
      <c r="G36" s="55"/>
      <c r="H36" s="65"/>
      <c r="I36" s="55"/>
      <c r="J36" s="16"/>
      <c r="K36" s="67"/>
      <c r="L36" s="67"/>
      <c r="M36" s="55"/>
      <c r="N36" s="16"/>
      <c r="O36" s="67"/>
      <c r="P36" s="67"/>
      <c r="Q36" s="55"/>
      <c r="R36" s="16"/>
      <c r="S36" s="67"/>
      <c r="T36" s="67"/>
      <c r="U36" s="55"/>
      <c r="V36" s="16"/>
    </row>
    <row r="37" spans="1:22" s="66" customFormat="1">
      <c r="A37" s="69"/>
      <c r="B37" s="69"/>
      <c r="C37" s="69"/>
      <c r="D37" s="69"/>
      <c r="E37" s="57"/>
      <c r="F37" s="57"/>
      <c r="G37" s="57"/>
      <c r="H37" s="70"/>
      <c r="I37" s="57"/>
      <c r="J37" s="58"/>
      <c r="K37" s="70"/>
      <c r="L37" s="70"/>
      <c r="M37" s="57"/>
      <c r="N37" s="58"/>
      <c r="O37" s="70"/>
      <c r="P37" s="70"/>
      <c r="Q37" s="57"/>
      <c r="R37" s="58"/>
      <c r="S37" s="70"/>
      <c r="T37" s="70"/>
      <c r="U37" s="57"/>
      <c r="V37" s="58"/>
    </row>
    <row r="38" spans="1:22" s="66" customFormat="1">
      <c r="A38" s="64"/>
      <c r="B38" s="65"/>
      <c r="C38" s="65"/>
      <c r="D38" s="65"/>
      <c r="E38" s="55"/>
      <c r="F38" s="55"/>
      <c r="G38" s="55"/>
      <c r="H38" s="65"/>
      <c r="I38" s="55"/>
      <c r="J38" s="16"/>
      <c r="K38" s="67"/>
      <c r="L38" s="67"/>
      <c r="M38" s="55"/>
      <c r="N38" s="16"/>
      <c r="O38" s="67"/>
      <c r="P38" s="67"/>
      <c r="Q38" s="55"/>
      <c r="R38" s="16"/>
      <c r="S38" s="67"/>
      <c r="T38" s="67"/>
      <c r="U38" s="55"/>
      <c r="V38" s="16"/>
    </row>
    <row r="39" spans="1:22" s="66" customFormat="1">
      <c r="A39" s="64"/>
      <c r="B39" s="71"/>
      <c r="C39" s="71"/>
      <c r="D39" s="71"/>
      <c r="E39" s="59"/>
      <c r="F39" s="59"/>
      <c r="G39" s="59"/>
      <c r="H39" s="71"/>
      <c r="I39" s="59"/>
      <c r="J39" s="16"/>
      <c r="K39" s="67"/>
      <c r="L39" s="67"/>
      <c r="M39" s="59"/>
      <c r="N39" s="16"/>
      <c r="O39" s="67"/>
      <c r="P39" s="67"/>
      <c r="Q39" s="59"/>
      <c r="R39" s="16"/>
      <c r="S39" s="67"/>
      <c r="T39" s="67"/>
      <c r="U39" s="59"/>
      <c r="V39" s="16"/>
    </row>
    <row r="40" spans="1:22" s="66" customFormat="1">
      <c r="A40" s="72"/>
      <c r="B40" s="71"/>
      <c r="C40" s="71"/>
      <c r="D40" s="71"/>
      <c r="E40" s="55"/>
      <c r="F40" s="55"/>
      <c r="G40" s="55"/>
      <c r="H40" s="67"/>
      <c r="I40" s="55"/>
      <c r="J40" s="16"/>
      <c r="K40" s="67"/>
      <c r="L40" s="67"/>
      <c r="M40" s="55"/>
      <c r="N40" s="16"/>
      <c r="O40" s="67"/>
      <c r="P40" s="67"/>
      <c r="Q40" s="55"/>
      <c r="R40" s="16"/>
      <c r="S40" s="67"/>
      <c r="T40" s="67"/>
      <c r="U40" s="55"/>
      <c r="V40" s="16"/>
    </row>
    <row r="41" spans="1:22" s="66" customFormat="1">
      <c r="A41" s="72"/>
      <c r="B41" s="72"/>
      <c r="C41" s="71"/>
      <c r="D41" s="71"/>
      <c r="E41" s="55"/>
      <c r="F41" s="55"/>
      <c r="G41" s="55"/>
      <c r="H41" s="67"/>
      <c r="I41" s="55"/>
      <c r="J41" s="16"/>
      <c r="K41" s="67"/>
      <c r="L41" s="67"/>
      <c r="M41" s="55"/>
      <c r="N41" s="16"/>
      <c r="O41" s="67"/>
      <c r="P41" s="67"/>
      <c r="Q41" s="55"/>
      <c r="R41" s="16"/>
      <c r="S41" s="67"/>
      <c r="T41" s="67"/>
      <c r="U41" s="55"/>
      <c r="V41" s="16"/>
    </row>
    <row r="42" spans="1:22" s="66" customFormat="1">
      <c r="A42" s="72"/>
      <c r="B42" s="72"/>
      <c r="C42" s="71"/>
      <c r="D42" s="71"/>
      <c r="E42" s="55"/>
      <c r="F42" s="55"/>
      <c r="G42" s="55"/>
      <c r="H42" s="71"/>
      <c r="I42" s="55"/>
      <c r="J42" s="5"/>
      <c r="M42" s="73"/>
      <c r="N42" s="60"/>
      <c r="O42" s="74"/>
      <c r="P42" s="74"/>
      <c r="Q42" s="73"/>
      <c r="R42" s="60"/>
      <c r="S42" s="74"/>
      <c r="T42" s="74"/>
      <c r="U42" s="73"/>
      <c r="V42" s="16"/>
    </row>
    <row r="43" spans="1:22" s="66" customFormat="1">
      <c r="A43" s="72"/>
      <c r="B43" s="72"/>
      <c r="C43" s="71"/>
      <c r="D43" s="71"/>
      <c r="E43" s="61"/>
      <c r="F43" s="61"/>
      <c r="G43" s="61"/>
      <c r="H43" s="71"/>
      <c r="I43" s="61"/>
      <c r="J43" s="5"/>
      <c r="M43" s="61"/>
      <c r="N43" s="16"/>
      <c r="O43" s="67"/>
      <c r="P43" s="67"/>
      <c r="Q43" s="61"/>
      <c r="R43" s="16"/>
      <c r="S43" s="67"/>
      <c r="T43" s="67"/>
      <c r="U43" s="61"/>
      <c r="V43" s="16"/>
    </row>
    <row r="44" spans="1:22" s="66" customFormat="1">
      <c r="A44" s="75"/>
      <c r="B44" s="65"/>
      <c r="C44" s="65"/>
      <c r="D44" s="65"/>
      <c r="E44" s="55"/>
      <c r="F44" s="55"/>
      <c r="G44" s="55"/>
      <c r="H44" s="65"/>
      <c r="I44" s="55"/>
      <c r="J44" s="16"/>
      <c r="K44" s="67"/>
      <c r="L44" s="67"/>
      <c r="M44" s="55"/>
      <c r="N44" s="16"/>
      <c r="O44" s="67"/>
      <c r="P44" s="67"/>
      <c r="Q44" s="55"/>
      <c r="R44" s="16"/>
      <c r="S44" s="67"/>
      <c r="T44" s="67"/>
      <c r="U44" s="55"/>
      <c r="V44" s="16"/>
    </row>
    <row r="45" spans="1:22" s="66" customFormat="1">
      <c r="A45" s="69"/>
      <c r="B45" s="69"/>
      <c r="C45" s="69"/>
      <c r="D45" s="69"/>
      <c r="E45" s="57"/>
      <c r="F45" s="57"/>
      <c r="G45" s="57"/>
      <c r="H45" s="69"/>
      <c r="I45" s="57"/>
      <c r="J45" s="58"/>
      <c r="K45" s="70"/>
      <c r="L45" s="70"/>
      <c r="M45" s="57"/>
      <c r="N45" s="58"/>
      <c r="O45" s="70"/>
      <c r="P45" s="70"/>
      <c r="Q45" s="57"/>
      <c r="R45" s="58"/>
      <c r="S45" s="70"/>
      <c r="T45" s="70"/>
      <c r="U45" s="57"/>
      <c r="V45" s="58"/>
    </row>
    <row r="46" spans="1:22" s="66" customFormat="1">
      <c r="A46" s="64"/>
      <c r="B46" s="65"/>
      <c r="C46" s="65"/>
      <c r="D46" s="65"/>
      <c r="E46" s="55"/>
      <c r="F46" s="55"/>
      <c r="G46" s="55"/>
      <c r="H46" s="65"/>
      <c r="I46" s="55"/>
      <c r="J46" s="16"/>
      <c r="K46" s="67"/>
      <c r="L46" s="67"/>
      <c r="M46" s="55"/>
      <c r="N46" s="16"/>
      <c r="O46" s="67"/>
      <c r="P46" s="67"/>
      <c r="Q46" s="55"/>
      <c r="R46" s="16"/>
      <c r="S46" s="67"/>
      <c r="T46" s="67"/>
      <c r="U46" s="55"/>
      <c r="V46" s="16"/>
    </row>
    <row r="47" spans="1:22" s="66" customFormat="1">
      <c r="A47" s="76"/>
      <c r="B47" s="71"/>
      <c r="C47" s="71"/>
      <c r="D47" s="71"/>
      <c r="E47" s="55"/>
      <c r="F47" s="55"/>
      <c r="G47" s="55"/>
      <c r="H47" s="67"/>
      <c r="I47" s="55"/>
      <c r="J47" s="16"/>
      <c r="K47" s="67"/>
      <c r="L47" s="67"/>
      <c r="M47" s="55"/>
      <c r="N47" s="16"/>
      <c r="O47" s="67"/>
      <c r="P47" s="67"/>
      <c r="Q47" s="55"/>
      <c r="R47" s="16"/>
      <c r="S47" s="67"/>
      <c r="T47" s="67"/>
      <c r="U47" s="55"/>
      <c r="V47" s="16"/>
    </row>
    <row r="48" spans="1:22" s="66" customFormat="1">
      <c r="A48" s="77"/>
      <c r="C48" s="71"/>
      <c r="D48" s="71"/>
      <c r="E48" s="55"/>
      <c r="F48" s="55"/>
      <c r="G48" s="55"/>
      <c r="H48" s="67"/>
      <c r="I48" s="55"/>
      <c r="J48" s="16"/>
      <c r="K48" s="67"/>
      <c r="L48" s="67"/>
      <c r="M48" s="55"/>
      <c r="N48" s="16"/>
      <c r="O48" s="67"/>
      <c r="P48" s="67"/>
      <c r="Q48" s="55"/>
      <c r="R48" s="16"/>
      <c r="S48" s="67"/>
      <c r="T48" s="67"/>
      <c r="U48" s="55"/>
      <c r="V48" s="16"/>
    </row>
    <row r="49" spans="1:22" s="66" customFormat="1">
      <c r="A49" s="78"/>
      <c r="B49" s="72"/>
      <c r="C49" s="65"/>
      <c r="D49" s="65"/>
      <c r="E49" s="55"/>
      <c r="F49" s="55"/>
      <c r="G49" s="55"/>
      <c r="H49" s="67"/>
      <c r="I49" s="55"/>
      <c r="J49" s="16"/>
      <c r="K49" s="67"/>
      <c r="L49" s="67"/>
      <c r="M49" s="55"/>
      <c r="N49" s="16"/>
      <c r="O49" s="67"/>
      <c r="P49" s="67"/>
      <c r="Q49" s="55"/>
      <c r="R49" s="16"/>
      <c r="S49" s="67"/>
      <c r="T49" s="67"/>
      <c r="U49" s="55"/>
      <c r="V49" s="16"/>
    </row>
    <row r="50" spans="1:22" s="66" customFormat="1">
      <c r="A50" s="78"/>
      <c r="B50" s="71"/>
      <c r="C50" s="65"/>
      <c r="D50" s="65"/>
      <c r="E50" s="55"/>
      <c r="F50" s="55"/>
      <c r="G50" s="55"/>
      <c r="H50" s="67"/>
      <c r="I50" s="55"/>
      <c r="J50" s="16"/>
      <c r="K50" s="67"/>
      <c r="L50" s="67"/>
      <c r="M50" s="55"/>
      <c r="N50" s="16"/>
      <c r="O50" s="67"/>
      <c r="P50" s="67"/>
      <c r="Q50" s="55"/>
      <c r="R50" s="16"/>
      <c r="S50" s="67"/>
      <c r="T50" s="67"/>
      <c r="U50" s="55"/>
      <c r="V50" s="16"/>
    </row>
    <row r="51" spans="1:22" s="66" customFormat="1">
      <c r="A51" s="76"/>
      <c r="B51" s="71"/>
      <c r="C51" s="71"/>
      <c r="D51" s="71"/>
      <c r="E51" s="55"/>
      <c r="F51" s="55"/>
      <c r="G51" s="55"/>
      <c r="H51" s="71"/>
      <c r="I51" s="55"/>
      <c r="J51" s="16"/>
      <c r="K51" s="67"/>
      <c r="L51" s="67"/>
      <c r="M51" s="55"/>
      <c r="N51" s="16"/>
      <c r="O51" s="67"/>
      <c r="P51" s="67"/>
      <c r="Q51" s="55"/>
      <c r="R51" s="16"/>
      <c r="S51" s="67"/>
      <c r="T51" s="67"/>
      <c r="U51" s="55"/>
      <c r="V51" s="16"/>
    </row>
    <row r="52" spans="1:22" s="66" customFormat="1">
      <c r="A52" s="69"/>
      <c r="B52" s="69"/>
      <c r="C52" s="69"/>
      <c r="D52" s="69"/>
      <c r="E52" s="57"/>
      <c r="F52" s="57"/>
      <c r="G52" s="57"/>
      <c r="H52" s="70"/>
      <c r="I52" s="57"/>
      <c r="J52" s="58"/>
      <c r="K52" s="70"/>
      <c r="L52" s="70"/>
      <c r="M52" s="57"/>
      <c r="N52" s="58"/>
      <c r="O52" s="70"/>
      <c r="P52" s="70"/>
      <c r="Q52" s="57"/>
      <c r="R52" s="58"/>
      <c r="S52" s="70"/>
      <c r="T52" s="70"/>
      <c r="U52" s="57"/>
      <c r="V52" s="58"/>
    </row>
    <row r="53" spans="1:22" s="66" customFormat="1">
      <c r="A53" s="76"/>
      <c r="B53" s="71"/>
      <c r="C53" s="71"/>
      <c r="D53" s="71"/>
      <c r="E53" s="55"/>
      <c r="F53" s="55"/>
      <c r="G53" s="55"/>
      <c r="H53" s="71"/>
      <c r="I53" s="55"/>
      <c r="J53" s="16"/>
      <c r="K53" s="67"/>
      <c r="L53" s="67"/>
      <c r="M53" s="55"/>
      <c r="N53" s="16"/>
      <c r="O53" s="67"/>
      <c r="P53" s="67"/>
      <c r="Q53" s="55"/>
      <c r="R53" s="16"/>
      <c r="S53" s="67"/>
      <c r="T53" s="67"/>
      <c r="U53" s="55"/>
      <c r="V53" s="16"/>
    </row>
    <row r="54" spans="1:22" s="66" customFormat="1">
      <c r="A54" s="76"/>
      <c r="B54" s="71"/>
      <c r="C54" s="71"/>
      <c r="D54" s="71"/>
      <c r="E54" s="55"/>
      <c r="F54" s="55"/>
      <c r="G54" s="55"/>
      <c r="H54" s="71"/>
      <c r="I54" s="79"/>
      <c r="J54" s="16"/>
      <c r="K54" s="67"/>
      <c r="L54" s="67"/>
      <c r="M54" s="79"/>
      <c r="N54" s="16"/>
      <c r="O54" s="67"/>
      <c r="P54" s="67"/>
      <c r="Q54" s="79"/>
      <c r="R54" s="16"/>
      <c r="S54" s="67"/>
      <c r="T54" s="67"/>
      <c r="U54" s="79"/>
      <c r="V54" s="16"/>
    </row>
    <row r="55" spans="1:22" s="66" customFormat="1">
      <c r="A55" s="64"/>
      <c r="B55" s="65"/>
      <c r="C55" s="65"/>
      <c r="D55" s="65"/>
      <c r="E55" s="55"/>
      <c r="F55" s="55"/>
      <c r="G55" s="55"/>
      <c r="H55" s="65"/>
      <c r="I55" s="55"/>
      <c r="J55" s="16"/>
      <c r="K55" s="67"/>
      <c r="L55" s="67"/>
      <c r="M55" s="55"/>
      <c r="N55" s="16"/>
      <c r="O55" s="67"/>
      <c r="P55" s="67"/>
      <c r="Q55" s="55"/>
      <c r="R55" s="16"/>
      <c r="S55" s="67"/>
      <c r="T55" s="67"/>
      <c r="U55" s="55"/>
      <c r="V55" s="16"/>
    </row>
    <row r="56" spans="1:22" s="66" customFormat="1">
      <c r="A56" s="76"/>
      <c r="B56" s="71"/>
      <c r="C56" s="71"/>
      <c r="D56" s="71"/>
      <c r="E56" s="55"/>
      <c r="F56" s="55"/>
      <c r="G56" s="55"/>
      <c r="H56" s="71"/>
      <c r="I56" s="55"/>
      <c r="J56" s="16"/>
      <c r="K56" s="67"/>
      <c r="L56" s="67"/>
      <c r="M56" s="55"/>
      <c r="N56" s="16"/>
      <c r="O56" s="67"/>
      <c r="P56" s="67"/>
      <c r="Q56" s="55"/>
      <c r="R56" s="16"/>
      <c r="S56" s="67"/>
      <c r="T56" s="67"/>
      <c r="U56" s="55"/>
      <c r="V56" s="16"/>
    </row>
    <row r="57" spans="1:22" s="66" customFormat="1">
      <c r="A57" s="78"/>
      <c r="B57" s="65"/>
      <c r="C57" s="65"/>
      <c r="D57" s="65"/>
      <c r="E57" s="55"/>
      <c r="F57" s="55"/>
      <c r="G57" s="55"/>
      <c r="H57" s="65"/>
      <c r="I57" s="55"/>
      <c r="J57" s="16"/>
      <c r="K57" s="67"/>
      <c r="L57" s="67"/>
      <c r="M57" s="55"/>
      <c r="N57" s="16"/>
      <c r="O57" s="67"/>
      <c r="P57" s="67"/>
      <c r="Q57" s="55"/>
      <c r="R57" s="16"/>
      <c r="S57" s="67"/>
      <c r="T57" s="67"/>
      <c r="U57" s="55"/>
      <c r="V57" s="16"/>
    </row>
    <row r="58" spans="1:22" s="66" customFormat="1">
      <c r="A58" s="76"/>
      <c r="B58" s="71"/>
      <c r="C58" s="71"/>
      <c r="D58" s="71"/>
      <c r="E58" s="55"/>
      <c r="F58" s="55"/>
      <c r="G58" s="55"/>
      <c r="H58" s="71"/>
      <c r="I58" s="55"/>
      <c r="J58" s="16"/>
      <c r="K58" s="67"/>
      <c r="L58" s="67"/>
      <c r="M58" s="55"/>
      <c r="N58" s="16"/>
      <c r="O58" s="67"/>
      <c r="P58" s="67"/>
      <c r="Q58" s="55"/>
      <c r="R58" s="16"/>
      <c r="S58" s="67"/>
      <c r="T58" s="67"/>
      <c r="U58" s="55"/>
      <c r="V58" s="16"/>
    </row>
    <row r="59" spans="1:22" s="66" customFormat="1">
      <c r="A59" s="69"/>
      <c r="B59" s="69"/>
      <c r="C59" s="69"/>
      <c r="D59" s="69"/>
      <c r="E59" s="57"/>
      <c r="F59" s="57"/>
      <c r="G59" s="57"/>
      <c r="H59" s="69"/>
      <c r="I59" s="57"/>
      <c r="J59" s="58"/>
      <c r="K59" s="70"/>
      <c r="L59" s="70"/>
      <c r="M59" s="57"/>
      <c r="N59" s="58"/>
      <c r="O59" s="70"/>
      <c r="P59" s="70"/>
      <c r="Q59" s="57"/>
      <c r="R59" s="58"/>
      <c r="S59" s="70"/>
      <c r="T59" s="70"/>
      <c r="U59" s="57"/>
      <c r="V59" s="58"/>
    </row>
    <row r="60" spans="1:22" s="66" customFormat="1">
      <c r="A60" s="76"/>
      <c r="B60" s="71"/>
      <c r="C60" s="71"/>
      <c r="D60" s="71"/>
      <c r="E60" s="55"/>
      <c r="F60" s="55"/>
      <c r="G60" s="55"/>
      <c r="H60" s="71"/>
      <c r="I60" s="55"/>
      <c r="J60" s="16"/>
      <c r="K60" s="67"/>
      <c r="L60" s="67"/>
      <c r="M60" s="55"/>
      <c r="N60" s="16"/>
      <c r="O60" s="67"/>
      <c r="P60" s="67"/>
      <c r="Q60" s="55"/>
      <c r="R60" s="16"/>
      <c r="S60" s="67"/>
      <c r="T60" s="67"/>
      <c r="U60" s="55"/>
      <c r="V60" s="16"/>
    </row>
    <row r="61" spans="1:22" s="66" customFormat="1">
      <c r="A61" s="76"/>
      <c r="B61" s="71"/>
      <c r="C61" s="71"/>
      <c r="D61" s="71"/>
      <c r="E61" s="55"/>
      <c r="F61" s="55"/>
      <c r="G61" s="55"/>
      <c r="H61" s="71"/>
      <c r="I61" s="55"/>
      <c r="J61" s="16"/>
      <c r="K61" s="67"/>
      <c r="L61" s="67"/>
      <c r="M61" s="55"/>
      <c r="N61" s="16"/>
      <c r="O61" s="67"/>
      <c r="P61" s="67"/>
      <c r="Q61" s="55"/>
      <c r="R61" s="16"/>
      <c r="S61" s="67"/>
      <c r="T61" s="67"/>
      <c r="U61" s="55"/>
      <c r="V61" s="16"/>
    </row>
    <row r="62" spans="1:22" s="66" customFormat="1">
      <c r="A62" s="76"/>
      <c r="B62" s="71"/>
      <c r="C62" s="71"/>
      <c r="D62" s="71"/>
      <c r="E62" s="55"/>
      <c r="F62" s="55"/>
      <c r="G62" s="55"/>
      <c r="H62" s="71"/>
      <c r="I62" s="55"/>
      <c r="J62" s="16"/>
      <c r="K62" s="67"/>
      <c r="L62" s="67"/>
      <c r="M62" s="55"/>
      <c r="N62" s="16"/>
      <c r="O62" s="67"/>
      <c r="P62" s="67"/>
      <c r="Q62" s="55"/>
      <c r="R62" s="16"/>
      <c r="S62" s="67"/>
      <c r="T62" s="67"/>
      <c r="U62" s="55"/>
      <c r="V62" s="16"/>
    </row>
    <row r="63" spans="1:22" s="66" customFormat="1">
      <c r="A63" s="76"/>
      <c r="B63" s="71"/>
      <c r="C63" s="71"/>
      <c r="D63" s="71"/>
      <c r="E63" s="55"/>
      <c r="F63" s="55"/>
      <c r="G63" s="55"/>
      <c r="H63" s="71"/>
      <c r="I63" s="55"/>
      <c r="J63" s="16"/>
      <c r="K63" s="67"/>
      <c r="L63" s="67"/>
      <c r="M63" s="55"/>
      <c r="N63" s="16"/>
      <c r="O63" s="67"/>
      <c r="P63" s="67"/>
      <c r="Q63" s="55"/>
      <c r="R63" s="16"/>
      <c r="S63" s="67"/>
      <c r="T63" s="67"/>
      <c r="U63" s="55"/>
      <c r="V63" s="16"/>
    </row>
    <row r="64" spans="1:22" s="66" customFormat="1">
      <c r="A64" s="76"/>
      <c r="B64" s="71"/>
      <c r="C64" s="71"/>
      <c r="D64" s="71"/>
      <c r="E64" s="55"/>
      <c r="F64" s="55"/>
      <c r="G64" s="55"/>
      <c r="H64" s="71"/>
      <c r="I64" s="55"/>
      <c r="J64" s="16"/>
      <c r="K64" s="67"/>
      <c r="L64" s="67"/>
      <c r="M64" s="55"/>
      <c r="N64" s="16"/>
      <c r="O64" s="67"/>
      <c r="P64" s="67"/>
      <c r="Q64" s="55"/>
      <c r="R64" s="16"/>
      <c r="S64" s="67"/>
      <c r="T64" s="67"/>
      <c r="U64" s="55"/>
      <c r="V64" s="16"/>
    </row>
    <row r="65" spans="1:22" s="66" customFormat="1">
      <c r="A65" s="69"/>
      <c r="B65" s="69"/>
      <c r="C65" s="69"/>
      <c r="D65" s="69"/>
      <c r="E65" s="57"/>
      <c r="F65" s="57"/>
      <c r="G65" s="57"/>
      <c r="H65" s="69"/>
      <c r="I65" s="57"/>
      <c r="J65" s="58"/>
      <c r="K65" s="70"/>
      <c r="L65" s="70"/>
      <c r="M65" s="57"/>
      <c r="N65" s="58"/>
      <c r="O65" s="70"/>
      <c r="P65" s="70"/>
      <c r="Q65" s="57"/>
      <c r="R65" s="58"/>
      <c r="S65" s="70"/>
      <c r="T65" s="70"/>
      <c r="U65" s="57"/>
      <c r="V65" s="58"/>
    </row>
    <row r="66" spans="1:22" s="66" customFormat="1">
      <c r="A66" s="76"/>
      <c r="B66" s="71"/>
      <c r="C66" s="71"/>
      <c r="D66" s="71"/>
      <c r="E66" s="55"/>
      <c r="F66" s="55"/>
      <c r="G66" s="55"/>
      <c r="H66" s="71"/>
      <c r="I66" s="55"/>
      <c r="J66" s="16"/>
      <c r="K66" s="67"/>
      <c r="L66" s="67"/>
      <c r="N66" s="16"/>
      <c r="O66" s="67"/>
      <c r="P66" s="67"/>
      <c r="R66" s="16"/>
      <c r="S66" s="67"/>
      <c r="T66" s="67"/>
      <c r="V66" s="16"/>
    </row>
    <row r="67" spans="1:22" s="66" customFormat="1">
      <c r="A67" s="76"/>
      <c r="B67" s="71"/>
      <c r="C67" s="71"/>
      <c r="D67" s="71"/>
      <c r="E67" s="55"/>
      <c r="F67" s="55"/>
      <c r="G67" s="55"/>
      <c r="H67" s="71"/>
      <c r="I67" s="55"/>
      <c r="J67" s="16"/>
      <c r="K67" s="67"/>
      <c r="L67" s="67"/>
      <c r="M67" s="47"/>
      <c r="N67" s="16"/>
      <c r="O67" s="67"/>
      <c r="P67" s="67"/>
      <c r="Q67" s="47"/>
      <c r="R67" s="16"/>
      <c r="S67" s="67"/>
      <c r="T67" s="67"/>
      <c r="U67" s="47"/>
      <c r="V67" s="16"/>
    </row>
    <row r="68" spans="1:22" s="63" customFormat="1">
      <c r="A68" s="80"/>
      <c r="B68" s="81"/>
      <c r="C68" s="81"/>
      <c r="D68" s="81"/>
      <c r="E68" s="54"/>
      <c r="F68" s="54"/>
      <c r="G68" s="54"/>
      <c r="H68" s="81"/>
      <c r="I68" s="54"/>
      <c r="J68" s="12"/>
      <c r="K68" s="62"/>
      <c r="L68" s="62"/>
      <c r="M68" s="41"/>
      <c r="N68" s="12"/>
      <c r="O68" s="62"/>
      <c r="P68" s="62"/>
      <c r="Q68" s="41"/>
      <c r="R68" s="12"/>
      <c r="S68" s="62"/>
      <c r="T68" s="62"/>
      <c r="U68" s="41"/>
      <c r="V68" s="12"/>
    </row>
    <row r="69" spans="1:22" s="63" customFormat="1">
      <c r="A69" s="80"/>
      <c r="B69" s="81"/>
      <c r="C69" s="81"/>
      <c r="D69" s="81"/>
      <c r="E69" s="54"/>
      <c r="F69" s="54"/>
      <c r="G69" s="54"/>
      <c r="H69" s="81"/>
      <c r="I69" s="54"/>
      <c r="J69" s="12"/>
      <c r="K69" s="62"/>
      <c r="L69" s="62"/>
      <c r="M69" s="41"/>
      <c r="N69" s="12"/>
      <c r="O69" s="62"/>
      <c r="P69" s="62"/>
      <c r="Q69" s="41"/>
      <c r="R69" s="12"/>
      <c r="S69" s="62"/>
      <c r="T69" s="62"/>
      <c r="U69" s="41"/>
      <c r="V69" s="12"/>
    </row>
    <row r="70" spans="1:22" s="63" customFormat="1">
      <c r="A70" s="80"/>
      <c r="B70" s="81"/>
      <c r="C70" s="81"/>
      <c r="D70" s="81"/>
      <c r="E70" s="54"/>
      <c r="F70" s="54"/>
      <c r="G70" s="54"/>
      <c r="H70" s="81"/>
      <c r="I70" s="81"/>
      <c r="J70" s="12"/>
      <c r="K70" s="62"/>
      <c r="L70" s="62"/>
      <c r="N70" s="12"/>
      <c r="O70" s="62"/>
      <c r="P70" s="62"/>
      <c r="R70" s="12"/>
      <c r="S70" s="62"/>
      <c r="T70" s="62"/>
      <c r="V70" s="12"/>
    </row>
  </sheetData>
  <mergeCells count="2">
    <mergeCell ref="H4:V4"/>
    <mergeCell ref="H3:V3"/>
  </mergeCells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2" orientation="landscape" horizontalDpi="300" verticalDpi="300" r:id="rId1"/>
  <headerFooter scaleWithDoc="0">
    <oddHeader>&amp;LDossier TECSAFINANCE
Annexe A
&amp;CRépartition du Chiffre d'affaire 
Société CHÊNE DECORS&amp;RConfidentiel</oddHeader>
    <oddFooter>&amp;L&amp;D&amp;R1/3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X54"/>
  <sheetViews>
    <sheetView showGridLines="0" zoomScale="80" zoomScaleNormal="80" workbookViewId="0">
      <selection activeCell="S16" sqref="S16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0.7109375" style="9" customWidth="1"/>
    <col min="4" max="4" width="7.7109375" style="9" hidden="1" customWidth="1"/>
    <col min="5" max="5" width="15.7109375" style="3" hidden="1" customWidth="1"/>
    <col min="6" max="6" width="7.7109375" style="3" hidden="1" customWidth="1"/>
    <col min="7" max="7" width="7.7109375" style="9" hidden="1" customWidth="1"/>
    <col min="8" max="8" width="15.7109375" style="3" hidden="1" customWidth="1"/>
    <col min="9" max="9" width="7.7109375" style="3" hidden="1" customWidth="1"/>
    <col min="10" max="10" width="7.7109375" style="9" hidden="1" customWidth="1"/>
    <col min="11" max="11" width="0.5703125" style="3" hidden="1" customWidth="1"/>
    <col min="12" max="12" width="16.140625" style="3" hidden="1" customWidth="1"/>
    <col min="13" max="13" width="13.28515625" style="3" hidden="1" customWidth="1"/>
    <col min="14" max="14" width="7.7109375" style="9" customWidth="1"/>
    <col min="15" max="15" width="15.7109375" style="9" customWidth="1"/>
    <col min="16" max="16" width="7.7109375" style="12" customWidth="1"/>
    <col min="17" max="17" width="3.7109375" style="12" customWidth="1"/>
    <col min="18" max="18" width="7.7109375" style="12" customWidth="1"/>
    <col min="19" max="19" width="15.7109375" style="1" customWidth="1"/>
    <col min="20" max="20" width="7.7109375" style="12" customWidth="1"/>
    <col min="21" max="21" width="3.7109375" style="12" customWidth="1"/>
    <col min="22" max="22" width="7.7109375" style="12" customWidth="1"/>
    <col min="23" max="23" width="15.7109375" style="1" customWidth="1"/>
    <col min="24" max="24" width="7.7109375" style="12" customWidth="1"/>
    <col min="25" max="16384" width="11.42578125" style="1"/>
  </cols>
  <sheetData>
    <row r="1" spans="1:24" s="31" customFormat="1">
      <c r="A1" s="30"/>
      <c r="B1" s="30"/>
      <c r="C1" s="30"/>
      <c r="D1" s="82"/>
      <c r="E1" s="30">
        <v>2011</v>
      </c>
      <c r="F1" s="30"/>
      <c r="G1" s="82"/>
      <c r="H1" s="30">
        <v>2012</v>
      </c>
      <c r="I1" s="30"/>
      <c r="J1" s="82"/>
      <c r="K1" s="30">
        <v>2013</v>
      </c>
      <c r="L1" s="30"/>
      <c r="M1" s="30"/>
      <c r="N1" s="30"/>
      <c r="O1" s="82">
        <v>2015</v>
      </c>
      <c r="P1" s="82"/>
      <c r="Q1" s="82"/>
      <c r="R1" s="82"/>
      <c r="S1" s="82">
        <v>2016</v>
      </c>
      <c r="T1" s="82"/>
      <c r="U1" s="82"/>
      <c r="V1" s="82"/>
      <c r="W1" s="82">
        <v>2017</v>
      </c>
      <c r="X1" s="82"/>
    </row>
    <row r="2" spans="1:24" s="31" customFormat="1">
      <c r="A2" s="14"/>
      <c r="B2" s="30"/>
      <c r="C2" s="30"/>
      <c r="D2" s="30" t="s">
        <v>93</v>
      </c>
      <c r="E2" s="30"/>
      <c r="F2" s="30" t="s">
        <v>94</v>
      </c>
      <c r="G2" s="30" t="s">
        <v>93</v>
      </c>
      <c r="H2" s="30"/>
      <c r="I2" s="30" t="s">
        <v>94</v>
      </c>
      <c r="J2" s="30" t="s">
        <v>93</v>
      </c>
      <c r="K2" s="30"/>
      <c r="L2" s="30" t="s">
        <v>94</v>
      </c>
      <c r="M2" s="30"/>
      <c r="N2" s="30" t="s">
        <v>93</v>
      </c>
      <c r="O2" s="82" t="s">
        <v>576</v>
      </c>
      <c r="P2" s="82" t="s">
        <v>94</v>
      </c>
      <c r="Q2" s="82"/>
      <c r="R2" s="82" t="s">
        <v>93</v>
      </c>
      <c r="S2" s="82" t="s">
        <v>576</v>
      </c>
      <c r="T2" s="82" t="s">
        <v>94</v>
      </c>
      <c r="U2" s="82"/>
      <c r="V2" s="82" t="s">
        <v>93</v>
      </c>
      <c r="W2" s="82" t="s">
        <v>576</v>
      </c>
      <c r="X2" s="82" t="s">
        <v>94</v>
      </c>
    </row>
    <row r="3" spans="1:24" s="31" customFormat="1">
      <c r="A3" s="14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50" t="s">
        <v>101</v>
      </c>
      <c r="O3" s="350"/>
      <c r="P3" s="350"/>
      <c r="Q3" s="350"/>
      <c r="R3" s="350"/>
      <c r="S3" s="350"/>
      <c r="T3" s="350"/>
      <c r="U3" s="350"/>
      <c r="V3" s="350"/>
      <c r="W3" s="350"/>
      <c r="X3" s="350"/>
    </row>
    <row r="4" spans="1:24" s="26" customFormat="1" ht="19.5" thickBot="1">
      <c r="A4" s="279" t="s">
        <v>577</v>
      </c>
      <c r="B4" s="280"/>
      <c r="C4" s="281"/>
      <c r="D4" s="281"/>
      <c r="E4" s="282"/>
      <c r="F4" s="282"/>
      <c r="G4" s="281"/>
      <c r="H4" s="282"/>
      <c r="I4" s="282"/>
      <c r="J4" s="281"/>
      <c r="K4" s="282"/>
      <c r="L4" s="282"/>
      <c r="M4" s="282"/>
      <c r="N4" s="281"/>
      <c r="O4" s="283"/>
      <c r="P4" s="284"/>
      <c r="Q4" s="284"/>
      <c r="R4" s="284"/>
      <c r="S4" s="283"/>
      <c r="T4" s="284"/>
      <c r="U4" s="284"/>
      <c r="V4" s="284"/>
      <c r="W4" s="283"/>
      <c r="X4" s="284"/>
    </row>
    <row r="5" spans="1:24" s="26" customFormat="1" ht="18.75">
      <c r="A5" s="7"/>
      <c r="B5" s="269" t="s">
        <v>116</v>
      </c>
      <c r="C5" s="270"/>
      <c r="D5" s="273">
        <f t="shared" ref="D5:D11" si="0">E5/E$12</f>
        <v>0.4837935174069628</v>
      </c>
      <c r="E5" s="188">
        <v>806000</v>
      </c>
      <c r="F5" s="273"/>
      <c r="G5" s="273">
        <f t="shared" ref="G5:G11" si="1">H5/H$12</f>
        <v>0.63025210084033612</v>
      </c>
      <c r="H5" s="188">
        <v>750000</v>
      </c>
      <c r="I5" s="273">
        <f>(H5-E5)/E5</f>
        <v>-6.9478908188585611E-2</v>
      </c>
      <c r="J5" s="273">
        <f t="shared" ref="J5:J11" si="2">K5/K$12</f>
        <v>0.36597938144329895</v>
      </c>
      <c r="K5" s="188">
        <v>355000</v>
      </c>
      <c r="L5" s="273">
        <f>(K5-H5)/H5</f>
        <v>-0.52666666666666662</v>
      </c>
      <c r="M5" s="187"/>
      <c r="N5" s="273">
        <f t="shared" ref="N5:N11" si="3">O5/O$16</f>
        <v>0.32258064516129031</v>
      </c>
      <c r="O5" s="188">
        <v>300000</v>
      </c>
      <c r="P5" s="276">
        <v>0</v>
      </c>
      <c r="Q5" s="83"/>
      <c r="R5" s="273">
        <f t="shared" ref="R5:R11" si="4">S5/S$16</f>
        <v>0.29629629629629628</v>
      </c>
      <c r="S5" s="188">
        <v>400000</v>
      </c>
      <c r="T5" s="273">
        <f t="shared" ref="T5:T11" si="5">(S5-O5)/S5</f>
        <v>0.25</v>
      </c>
      <c r="U5" s="83"/>
      <c r="V5" s="273">
        <f t="shared" ref="V5:V11" si="6">W5/W$16</f>
        <v>0.2857142857142857</v>
      </c>
      <c r="W5" s="188">
        <v>500000</v>
      </c>
      <c r="X5" s="273">
        <f t="shared" ref="X5:X11" si="7">(W5-S5)/W5</f>
        <v>0.2</v>
      </c>
    </row>
    <row r="6" spans="1:24" s="26" customFormat="1" ht="18" customHeight="1">
      <c r="A6" s="7"/>
      <c r="B6" s="269" t="s">
        <v>117</v>
      </c>
      <c r="C6" s="270"/>
      <c r="D6" s="273">
        <f t="shared" si="0"/>
        <v>0.21008403361344538</v>
      </c>
      <c r="E6" s="188">
        <v>350000</v>
      </c>
      <c r="F6" s="273"/>
      <c r="G6" s="273">
        <f t="shared" si="1"/>
        <v>0.21428571428571427</v>
      </c>
      <c r="H6" s="188">
        <v>255000</v>
      </c>
      <c r="I6" s="273">
        <f>(H6-E6)/E6</f>
        <v>-0.27142857142857141</v>
      </c>
      <c r="J6" s="273">
        <f t="shared" si="2"/>
        <v>0.28865979381443296</v>
      </c>
      <c r="K6" s="188">
        <v>280000</v>
      </c>
      <c r="L6" s="273">
        <f>(K6-H6)/H6</f>
        <v>9.8039215686274508E-2</v>
      </c>
      <c r="M6" s="187"/>
      <c r="N6" s="273">
        <f t="shared" si="3"/>
        <v>0.30107526881720431</v>
      </c>
      <c r="O6" s="188">
        <f t="shared" ref="O6:O7" si="8">K6*(1+P6)</f>
        <v>280000</v>
      </c>
      <c r="P6" s="276">
        <v>0</v>
      </c>
      <c r="Q6" s="83"/>
      <c r="R6" s="273">
        <f t="shared" si="4"/>
        <v>0.25925925925925924</v>
      </c>
      <c r="S6" s="188">
        <v>350000</v>
      </c>
      <c r="T6" s="273">
        <f t="shared" si="5"/>
        <v>0.2</v>
      </c>
      <c r="U6" s="83"/>
      <c r="V6" s="273">
        <f t="shared" si="6"/>
        <v>0.22857142857142856</v>
      </c>
      <c r="W6" s="188">
        <v>400000</v>
      </c>
      <c r="X6" s="273">
        <f t="shared" si="7"/>
        <v>0.125</v>
      </c>
    </row>
    <row r="7" spans="1:24" s="26" customFormat="1" ht="18.75">
      <c r="A7" s="7"/>
      <c r="B7" s="269" t="s">
        <v>118</v>
      </c>
      <c r="C7" s="270"/>
      <c r="D7" s="273">
        <f t="shared" si="0"/>
        <v>1.2004801920768308E-2</v>
      </c>
      <c r="E7" s="188">
        <v>20000</v>
      </c>
      <c r="F7" s="273"/>
      <c r="G7" s="273">
        <f t="shared" si="1"/>
        <v>1.680672268907563E-2</v>
      </c>
      <c r="H7" s="188">
        <v>20000</v>
      </c>
      <c r="I7" s="273">
        <f>(H7-E7)/E7</f>
        <v>0</v>
      </c>
      <c r="J7" s="273">
        <f t="shared" si="2"/>
        <v>6.1855670103092786E-2</v>
      </c>
      <c r="K7" s="188">
        <v>60000</v>
      </c>
      <c r="L7" s="273">
        <f>(K7-H7)/H7</f>
        <v>2</v>
      </c>
      <c r="M7" s="187"/>
      <c r="N7" s="273">
        <f t="shared" si="3"/>
        <v>6.4516129032258063E-2</v>
      </c>
      <c r="O7" s="188">
        <f t="shared" si="8"/>
        <v>60000</v>
      </c>
      <c r="P7" s="276">
        <v>0</v>
      </c>
      <c r="Q7" s="83"/>
      <c r="R7" s="273">
        <f t="shared" si="4"/>
        <v>8.8888888888888892E-2</v>
      </c>
      <c r="S7" s="188">
        <v>120000</v>
      </c>
      <c r="T7" s="273">
        <f t="shared" si="5"/>
        <v>0.5</v>
      </c>
      <c r="U7" s="83"/>
      <c r="V7" s="273">
        <f t="shared" si="6"/>
        <v>0.10285714285714286</v>
      </c>
      <c r="W7" s="188">
        <v>180000</v>
      </c>
      <c r="X7" s="273">
        <f t="shared" si="7"/>
        <v>0.33333333333333331</v>
      </c>
    </row>
    <row r="8" spans="1:24" s="26" customFormat="1" ht="18.75">
      <c r="A8" s="7"/>
      <c r="B8" s="269" t="s">
        <v>607</v>
      </c>
      <c r="C8" s="270"/>
      <c r="D8" s="273">
        <f t="shared" si="0"/>
        <v>0</v>
      </c>
      <c r="E8" s="188">
        <v>0</v>
      </c>
      <c r="F8" s="273"/>
      <c r="G8" s="273">
        <f t="shared" si="1"/>
        <v>0</v>
      </c>
      <c r="H8" s="188">
        <v>0</v>
      </c>
      <c r="I8" s="273"/>
      <c r="J8" s="273">
        <f t="shared" si="2"/>
        <v>0.1134020618556701</v>
      </c>
      <c r="K8" s="188">
        <v>110000</v>
      </c>
      <c r="L8" s="273"/>
      <c r="M8" s="277"/>
      <c r="N8" s="273">
        <f t="shared" si="3"/>
        <v>0.11827956989247312</v>
      </c>
      <c r="O8" s="188">
        <v>110000</v>
      </c>
      <c r="P8" s="276">
        <v>0</v>
      </c>
      <c r="Q8" s="83"/>
      <c r="R8" s="273">
        <f t="shared" si="4"/>
        <v>0.13333333333333333</v>
      </c>
      <c r="S8" s="188">
        <v>180000</v>
      </c>
      <c r="T8" s="273">
        <f t="shared" si="5"/>
        <v>0.3888888888888889</v>
      </c>
      <c r="U8" s="83"/>
      <c r="V8" s="273">
        <f t="shared" si="6"/>
        <v>0.12571428571428572</v>
      </c>
      <c r="W8" s="188">
        <v>220000</v>
      </c>
      <c r="X8" s="273">
        <f t="shared" si="7"/>
        <v>0.18181818181818182</v>
      </c>
    </row>
    <row r="9" spans="1:24" s="26" customFormat="1" ht="18.75">
      <c r="A9" s="7"/>
      <c r="B9" s="269" t="s">
        <v>119</v>
      </c>
      <c r="C9" s="270"/>
      <c r="D9" s="273">
        <f t="shared" ref="D9" si="9">E9/E$12</f>
        <v>0.13505402160864347</v>
      </c>
      <c r="E9" s="188">
        <v>225000</v>
      </c>
      <c r="F9" s="273"/>
      <c r="G9" s="273">
        <f t="shared" ref="G9" si="10">H9/H$12</f>
        <v>6.7226890756302518E-2</v>
      </c>
      <c r="H9" s="188">
        <v>80000</v>
      </c>
      <c r="I9" s="273">
        <f>(H9-E9)/E9</f>
        <v>-0.64444444444444449</v>
      </c>
      <c r="J9" s="273">
        <f t="shared" ref="J9" si="11">K9/K$12</f>
        <v>7.2164948453608241E-2</v>
      </c>
      <c r="K9" s="188">
        <v>70000</v>
      </c>
      <c r="L9" s="273">
        <f>(K9-H9)/H9</f>
        <v>-0.125</v>
      </c>
      <c r="M9" s="277"/>
      <c r="N9" s="273">
        <f t="shared" ref="N9" si="12">O9/O$16</f>
        <v>9.6774193548387094E-2</v>
      </c>
      <c r="O9" s="188">
        <v>90000</v>
      </c>
      <c r="P9" s="276">
        <v>0</v>
      </c>
      <c r="Q9" s="83"/>
      <c r="R9" s="273">
        <f t="shared" ref="R9" si="13">S9/S$16</f>
        <v>8.8888888888888892E-2</v>
      </c>
      <c r="S9" s="188">
        <v>120000</v>
      </c>
      <c r="T9" s="273">
        <f t="shared" ref="T9" si="14">(S9-O9)/S9</f>
        <v>0.25</v>
      </c>
      <c r="U9" s="83"/>
      <c r="V9" s="273">
        <f t="shared" ref="V9" si="15">W9/W$16</f>
        <v>0.10285714285714286</v>
      </c>
      <c r="W9" s="188">
        <v>180000</v>
      </c>
      <c r="X9" s="273">
        <f t="shared" ref="X9" si="16">(W9-S9)/W9</f>
        <v>0.33333333333333331</v>
      </c>
    </row>
    <row r="10" spans="1:24" s="26" customFormat="1" ht="18.75">
      <c r="A10" s="7"/>
      <c r="B10" s="269" t="s">
        <v>606</v>
      </c>
      <c r="C10" s="270"/>
      <c r="D10" s="273">
        <f t="shared" si="0"/>
        <v>0.13505402160864347</v>
      </c>
      <c r="E10" s="188">
        <v>225000</v>
      </c>
      <c r="F10" s="273"/>
      <c r="G10" s="273">
        <f t="shared" si="1"/>
        <v>6.7226890756302518E-2</v>
      </c>
      <c r="H10" s="188">
        <v>80000</v>
      </c>
      <c r="I10" s="273">
        <f>(H10-E10)/E10</f>
        <v>-0.64444444444444449</v>
      </c>
      <c r="J10" s="273">
        <f t="shared" si="2"/>
        <v>7.2164948453608241E-2</v>
      </c>
      <c r="K10" s="188">
        <v>70000</v>
      </c>
      <c r="L10" s="273">
        <f>(K10-H10)/H10</f>
        <v>-0.125</v>
      </c>
      <c r="M10" s="277"/>
      <c r="N10" s="273">
        <f t="shared" si="3"/>
        <v>5.3763440860215055E-2</v>
      </c>
      <c r="O10" s="188">
        <v>50000</v>
      </c>
      <c r="P10" s="276">
        <v>0</v>
      </c>
      <c r="Q10" s="83"/>
      <c r="R10" s="273">
        <f t="shared" si="4"/>
        <v>7.407407407407407E-2</v>
      </c>
      <c r="S10" s="188">
        <v>100000</v>
      </c>
      <c r="T10" s="273">
        <f t="shared" si="5"/>
        <v>0.5</v>
      </c>
      <c r="U10" s="83"/>
      <c r="V10" s="273">
        <f t="shared" si="6"/>
        <v>8.5714285714285715E-2</v>
      </c>
      <c r="W10" s="188">
        <v>150000</v>
      </c>
      <c r="X10" s="273">
        <f t="shared" si="7"/>
        <v>0.33333333333333331</v>
      </c>
    </row>
    <row r="11" spans="1:24" s="26" customFormat="1" ht="18.75">
      <c r="A11" s="7"/>
      <c r="B11" s="269" t="s">
        <v>120</v>
      </c>
      <c r="C11" s="270"/>
      <c r="D11" s="273">
        <f t="shared" si="0"/>
        <v>2.4009603841536616E-2</v>
      </c>
      <c r="E11" s="188">
        <v>40000</v>
      </c>
      <c r="F11" s="273"/>
      <c r="G11" s="273">
        <f t="shared" si="1"/>
        <v>4.2016806722689074E-3</v>
      </c>
      <c r="H11" s="188">
        <v>5000</v>
      </c>
      <c r="I11" s="273">
        <f>(H11-E11)/E11</f>
        <v>-0.875</v>
      </c>
      <c r="J11" s="273">
        <f t="shared" si="2"/>
        <v>2.5773195876288658E-2</v>
      </c>
      <c r="K11" s="188">
        <v>25000</v>
      </c>
      <c r="L11" s="273">
        <f>(K11-H11)/H11</f>
        <v>4</v>
      </c>
      <c r="M11" s="277"/>
      <c r="N11" s="273">
        <f t="shared" si="3"/>
        <v>4.3010752688172046E-2</v>
      </c>
      <c r="O11" s="188">
        <v>40000</v>
      </c>
      <c r="P11" s="276">
        <v>0</v>
      </c>
      <c r="Q11" s="83"/>
      <c r="R11" s="273">
        <f t="shared" si="4"/>
        <v>5.9259259259259262E-2</v>
      </c>
      <c r="S11" s="188">
        <v>80000</v>
      </c>
      <c r="T11" s="273">
        <f t="shared" si="5"/>
        <v>0.5</v>
      </c>
      <c r="U11" s="83"/>
      <c r="V11" s="273">
        <f t="shared" si="6"/>
        <v>6.8571428571428575E-2</v>
      </c>
      <c r="W11" s="188">
        <v>120000</v>
      </c>
      <c r="X11" s="273">
        <f t="shared" si="7"/>
        <v>0.33333333333333331</v>
      </c>
    </row>
    <row r="12" spans="1:24" s="26" customFormat="1" ht="18.75">
      <c r="A12" s="7"/>
      <c r="B12" s="270"/>
      <c r="C12" s="200"/>
      <c r="D12" s="273"/>
      <c r="E12" s="188">
        <f>SUM(E5:E11)</f>
        <v>1666000</v>
      </c>
      <c r="F12" s="273"/>
      <c r="G12" s="273"/>
      <c r="H12" s="188">
        <f>SUM(H5:H11)</f>
        <v>1190000</v>
      </c>
      <c r="I12" s="273"/>
      <c r="J12" s="273"/>
      <c r="K12" s="188">
        <f>SUM(K5:K11)</f>
        <v>970000</v>
      </c>
      <c r="L12" s="273"/>
      <c r="M12" s="277"/>
      <c r="N12" s="286"/>
      <c r="O12" s="190"/>
      <c r="P12" s="287"/>
      <c r="Q12" s="287"/>
      <c r="R12" s="286"/>
      <c r="S12" s="190"/>
      <c r="T12" s="286"/>
      <c r="U12" s="287"/>
      <c r="V12" s="286"/>
      <c r="W12" s="191"/>
      <c r="X12" s="286"/>
    </row>
    <row r="13" spans="1:24" s="26" customFormat="1" ht="18.75">
      <c r="A13" s="7"/>
      <c r="B13" s="269"/>
      <c r="C13" s="198" t="s">
        <v>581</v>
      </c>
      <c r="D13" s="7"/>
      <c r="E13" s="187"/>
      <c r="F13" s="187"/>
      <c r="G13" s="7"/>
      <c r="H13" s="187"/>
      <c r="I13" s="187"/>
      <c r="J13" s="7"/>
      <c r="K13" s="187"/>
      <c r="L13" s="187"/>
      <c r="M13" s="187"/>
      <c r="N13" s="273">
        <f>SUM(N5:N12)</f>
        <v>1</v>
      </c>
      <c r="O13" s="199">
        <f>SUM(O5:O12)</f>
        <v>930000</v>
      </c>
      <c r="P13" s="83"/>
      <c r="Q13" s="83"/>
      <c r="R13" s="273">
        <f>SUM(R5:R12)</f>
        <v>1</v>
      </c>
      <c r="S13" s="199">
        <f>SUM(S5:S12)</f>
        <v>1350000</v>
      </c>
      <c r="T13" s="273"/>
      <c r="U13" s="83"/>
      <c r="V13" s="273">
        <f>SUM(V5:V12)</f>
        <v>1</v>
      </c>
      <c r="W13" s="199">
        <f>SUM(W5:W12)</f>
        <v>1750000</v>
      </c>
      <c r="X13" s="83"/>
    </row>
    <row r="14" spans="1:24">
      <c r="A14" s="194"/>
      <c r="B14" s="269" t="s">
        <v>43</v>
      </c>
      <c r="C14" s="269"/>
      <c r="D14" s="269"/>
      <c r="E14" s="188"/>
      <c r="F14" s="188"/>
      <c r="G14" s="269"/>
      <c r="H14" s="188"/>
      <c r="I14" s="188"/>
      <c r="J14" s="269"/>
      <c r="K14" s="188"/>
      <c r="L14" s="188"/>
      <c r="M14" s="188"/>
      <c r="N14" s="269"/>
      <c r="O14" s="188">
        <v>0</v>
      </c>
      <c r="P14" s="16"/>
      <c r="Q14" s="16"/>
      <c r="R14" s="16"/>
      <c r="S14" s="188">
        <v>0</v>
      </c>
      <c r="T14" s="273"/>
      <c r="U14" s="16"/>
      <c r="V14" s="16"/>
      <c r="W14" s="188">
        <v>0</v>
      </c>
      <c r="X14" s="16"/>
    </row>
    <row r="15" spans="1:24">
      <c r="A15" s="194"/>
      <c r="B15" s="269"/>
      <c r="C15" s="269"/>
      <c r="D15" s="269"/>
      <c r="E15" s="188"/>
      <c r="F15" s="188"/>
      <c r="G15" s="269"/>
      <c r="H15" s="188"/>
      <c r="I15" s="188"/>
      <c r="J15" s="269"/>
      <c r="K15" s="188"/>
      <c r="L15" s="188"/>
      <c r="M15" s="188"/>
      <c r="N15" s="269"/>
      <c r="O15" s="188"/>
      <c r="P15" s="16"/>
      <c r="Q15" s="16"/>
      <c r="R15" s="16"/>
      <c r="S15" s="188"/>
      <c r="T15" s="273"/>
      <c r="U15" s="16"/>
      <c r="V15" s="16"/>
      <c r="W15" s="188"/>
      <c r="X15" s="16"/>
    </row>
    <row r="16" spans="1:24">
      <c r="A16" s="274" t="s">
        <v>0</v>
      </c>
      <c r="B16" s="274"/>
      <c r="C16" s="274"/>
      <c r="D16" s="274"/>
      <c r="E16" s="278">
        <f>SUM(E14:E15)</f>
        <v>0</v>
      </c>
      <c r="F16" s="278"/>
      <c r="G16" s="274"/>
      <c r="H16" s="278">
        <f>SUM(H14:H15)</f>
        <v>0</v>
      </c>
      <c r="I16" s="278"/>
      <c r="J16" s="274"/>
      <c r="K16" s="278">
        <f>SUM(K14:K15)</f>
        <v>0</v>
      </c>
      <c r="L16" s="278"/>
      <c r="M16" s="278"/>
      <c r="N16" s="275"/>
      <c r="O16" s="278">
        <f>SUM(O13:O15)</f>
        <v>930000</v>
      </c>
      <c r="P16" s="58"/>
      <c r="Q16" s="58"/>
      <c r="R16" s="275"/>
      <c r="S16" s="278">
        <f>SUM(S13:S15)</f>
        <v>1350000</v>
      </c>
      <c r="T16" s="16">
        <f>(S16-O16)/S16</f>
        <v>0.31111111111111112</v>
      </c>
      <c r="U16" s="58"/>
      <c r="V16" s="275"/>
      <c r="W16" s="278">
        <f>SUM(W13:W15)</f>
        <v>1750000</v>
      </c>
      <c r="X16" s="16">
        <f>(W16-S16)/W16</f>
        <v>0.22857142857142856</v>
      </c>
    </row>
    <row r="17" spans="1:24" s="63" customFormat="1">
      <c r="A17" s="194"/>
      <c r="B17" s="269"/>
      <c r="C17" s="269"/>
      <c r="D17" s="269"/>
      <c r="E17" s="188"/>
      <c r="F17" s="188"/>
      <c r="G17" s="269"/>
      <c r="H17" s="188"/>
      <c r="I17" s="188"/>
      <c r="J17" s="269"/>
      <c r="K17" s="188"/>
      <c r="L17" s="188"/>
      <c r="M17" s="188"/>
      <c r="N17" s="269"/>
      <c r="O17" s="188"/>
      <c r="P17" s="16"/>
      <c r="Q17" s="16"/>
      <c r="R17" s="16"/>
      <c r="S17" s="188"/>
      <c r="T17" s="16"/>
      <c r="U17" s="16"/>
      <c r="V17" s="16"/>
      <c r="W17" s="188"/>
      <c r="X17" s="16"/>
    </row>
    <row r="18" spans="1:24" s="66" customFormat="1">
      <c r="A18" s="194"/>
      <c r="B18" s="269"/>
      <c r="C18" s="269"/>
      <c r="D18" s="269"/>
      <c r="E18" s="188"/>
      <c r="F18" s="188"/>
      <c r="G18" s="269"/>
      <c r="H18" s="188"/>
      <c r="I18" s="188"/>
      <c r="J18" s="269"/>
      <c r="K18" s="188"/>
      <c r="L18" s="188"/>
      <c r="M18" s="188"/>
      <c r="N18" s="5"/>
      <c r="O18" s="188"/>
      <c r="P18" s="16"/>
      <c r="Q18" s="16"/>
      <c r="R18" s="16"/>
      <c r="S18" s="188"/>
      <c r="T18" s="56"/>
      <c r="U18" s="56"/>
      <c r="V18" s="56"/>
      <c r="W18" s="188"/>
      <c r="X18" s="56"/>
    </row>
    <row r="19" spans="1:24" s="66" customFormat="1">
      <c r="A19" s="194"/>
      <c r="B19" s="269"/>
      <c r="C19" s="269"/>
      <c r="D19" s="269"/>
      <c r="E19" s="188"/>
      <c r="F19" s="188"/>
      <c r="G19" s="269"/>
      <c r="H19" s="188"/>
      <c r="I19" s="188"/>
      <c r="J19" s="269"/>
      <c r="K19" s="188"/>
      <c r="L19" s="188"/>
      <c r="M19" s="188"/>
      <c r="N19" s="5"/>
      <c r="O19" s="188"/>
      <c r="P19" s="16"/>
      <c r="Q19" s="16"/>
      <c r="R19" s="16"/>
      <c r="S19" s="188"/>
      <c r="T19" s="16"/>
      <c r="U19" s="16"/>
      <c r="V19" s="16"/>
      <c r="W19" s="188"/>
      <c r="X19" s="16"/>
    </row>
    <row r="20" spans="1:24" s="66" customFormat="1">
      <c r="A20" s="64"/>
      <c r="B20" s="65"/>
      <c r="C20" s="65"/>
      <c r="D20" s="65"/>
      <c r="E20" s="55"/>
      <c r="F20" s="55"/>
      <c r="G20" s="65"/>
      <c r="H20" s="55"/>
      <c r="I20" s="55"/>
      <c r="J20" s="65"/>
      <c r="K20" s="55"/>
      <c r="L20" s="55"/>
      <c r="M20" s="55"/>
      <c r="N20" s="65"/>
      <c r="O20" s="55"/>
      <c r="P20" s="16"/>
      <c r="Q20" s="67"/>
      <c r="R20" s="67"/>
      <c r="S20" s="55"/>
      <c r="T20" s="16"/>
      <c r="U20" s="67"/>
      <c r="V20" s="67"/>
      <c r="W20" s="55"/>
      <c r="X20" s="16"/>
    </row>
    <row r="21" spans="1:24" s="66" customFormat="1">
      <c r="A21" s="69"/>
      <c r="B21" s="69"/>
      <c r="C21" s="69"/>
      <c r="D21" s="69"/>
      <c r="E21" s="57"/>
      <c r="F21" s="57"/>
      <c r="G21" s="69"/>
      <c r="H21" s="57"/>
      <c r="I21" s="57"/>
      <c r="J21" s="69"/>
      <c r="K21" s="57"/>
      <c r="L21" s="57"/>
      <c r="M21" s="57"/>
      <c r="N21" s="70"/>
      <c r="O21" s="57"/>
      <c r="P21" s="58"/>
      <c r="Q21" s="70"/>
      <c r="R21" s="70"/>
      <c r="S21" s="57"/>
      <c r="T21" s="58"/>
      <c r="U21" s="70"/>
      <c r="V21" s="70"/>
      <c r="W21" s="57"/>
      <c r="X21" s="58"/>
    </row>
    <row r="22" spans="1:24" s="66" customFormat="1">
      <c r="A22" s="64"/>
      <c r="B22" s="65"/>
      <c r="C22" s="65"/>
      <c r="D22" s="65"/>
      <c r="E22" s="55"/>
      <c r="F22" s="55"/>
      <c r="G22" s="65"/>
      <c r="H22" s="55"/>
      <c r="I22" s="55"/>
      <c r="J22" s="65"/>
      <c r="K22" s="55"/>
      <c r="L22" s="55"/>
      <c r="M22" s="55"/>
      <c r="N22" s="65"/>
      <c r="O22" s="55"/>
      <c r="P22" s="16"/>
      <c r="Q22" s="67"/>
      <c r="R22" s="67"/>
      <c r="S22" s="55"/>
      <c r="T22" s="16"/>
      <c r="U22" s="67"/>
      <c r="V22" s="67"/>
      <c r="W22" s="55"/>
      <c r="X22" s="16"/>
    </row>
    <row r="23" spans="1:24" s="66" customFormat="1">
      <c r="A23" s="64"/>
      <c r="B23" s="71"/>
      <c r="C23" s="71"/>
      <c r="D23" s="71"/>
      <c r="E23" s="59"/>
      <c r="F23" s="59"/>
      <c r="G23" s="71"/>
      <c r="H23" s="59"/>
      <c r="I23" s="59"/>
      <c r="J23" s="71"/>
      <c r="K23" s="59"/>
      <c r="L23" s="59"/>
      <c r="M23" s="59"/>
      <c r="N23" s="71"/>
      <c r="O23" s="59"/>
      <c r="P23" s="16"/>
      <c r="Q23" s="67"/>
      <c r="R23" s="67"/>
      <c r="S23" s="59"/>
      <c r="T23" s="16"/>
      <c r="U23" s="67"/>
      <c r="V23" s="67"/>
      <c r="W23" s="59"/>
      <c r="X23" s="16"/>
    </row>
    <row r="24" spans="1:24" s="66" customFormat="1">
      <c r="A24" s="72"/>
      <c r="B24" s="71"/>
      <c r="C24" s="71"/>
      <c r="D24" s="71"/>
      <c r="E24" s="55"/>
      <c r="F24" s="55"/>
      <c r="G24" s="71"/>
      <c r="H24" s="55"/>
      <c r="I24" s="55"/>
      <c r="J24" s="71"/>
      <c r="K24" s="55"/>
      <c r="L24" s="55"/>
      <c r="M24" s="55"/>
      <c r="N24" s="67"/>
      <c r="O24" s="55"/>
      <c r="P24" s="16"/>
      <c r="Q24" s="67"/>
      <c r="R24" s="67"/>
      <c r="S24" s="55"/>
      <c r="T24" s="16"/>
      <c r="U24" s="67"/>
      <c r="V24" s="67"/>
      <c r="W24" s="55"/>
      <c r="X24" s="16"/>
    </row>
    <row r="25" spans="1:24" s="66" customFormat="1">
      <c r="A25" s="72"/>
      <c r="B25" s="72"/>
      <c r="C25" s="71"/>
      <c r="D25" s="71"/>
      <c r="E25" s="55"/>
      <c r="F25" s="55"/>
      <c r="G25" s="71"/>
      <c r="H25" s="55"/>
      <c r="I25" s="55"/>
      <c r="J25" s="71"/>
      <c r="K25" s="55"/>
      <c r="L25" s="55"/>
      <c r="M25" s="55"/>
      <c r="N25" s="67"/>
      <c r="O25" s="55"/>
      <c r="P25" s="16"/>
      <c r="Q25" s="67"/>
      <c r="R25" s="67"/>
      <c r="S25" s="55"/>
      <c r="T25" s="16"/>
      <c r="U25" s="67"/>
      <c r="V25" s="67"/>
      <c r="W25" s="55"/>
      <c r="X25" s="16"/>
    </row>
    <row r="26" spans="1:24" s="66" customFormat="1">
      <c r="A26" s="72"/>
      <c r="B26" s="72"/>
      <c r="C26" s="71"/>
      <c r="D26" s="71"/>
      <c r="E26" s="55"/>
      <c r="F26" s="55"/>
      <c r="G26" s="71"/>
      <c r="H26" s="55"/>
      <c r="I26" s="55"/>
      <c r="J26" s="71"/>
      <c r="K26" s="55"/>
      <c r="L26" s="55"/>
      <c r="M26" s="55"/>
      <c r="N26" s="71"/>
      <c r="O26" s="55"/>
      <c r="P26" s="5"/>
      <c r="S26" s="73"/>
      <c r="T26" s="60"/>
      <c r="U26" s="74"/>
      <c r="V26" s="74"/>
      <c r="W26" s="73"/>
      <c r="X26" s="60"/>
    </row>
    <row r="27" spans="1:24" s="66" customFormat="1">
      <c r="A27" s="72"/>
      <c r="B27" s="72"/>
      <c r="C27" s="71"/>
      <c r="D27" s="71"/>
      <c r="E27" s="61"/>
      <c r="F27" s="61"/>
      <c r="G27" s="71"/>
      <c r="H27" s="61"/>
      <c r="I27" s="61"/>
      <c r="J27" s="71"/>
      <c r="K27" s="61"/>
      <c r="L27" s="61"/>
      <c r="M27" s="61"/>
      <c r="N27" s="71"/>
      <c r="O27" s="61"/>
      <c r="P27" s="5"/>
      <c r="S27" s="61"/>
      <c r="T27" s="16"/>
      <c r="U27" s="67"/>
      <c r="V27" s="67"/>
      <c r="W27" s="61"/>
      <c r="X27" s="16"/>
    </row>
    <row r="28" spans="1:24" s="66" customFormat="1">
      <c r="A28" s="75"/>
      <c r="B28" s="65"/>
      <c r="C28" s="65"/>
      <c r="D28" s="65"/>
      <c r="E28" s="55"/>
      <c r="F28" s="55"/>
      <c r="G28" s="65"/>
      <c r="H28" s="55"/>
      <c r="I28" s="55"/>
      <c r="J28" s="65"/>
      <c r="K28" s="55"/>
      <c r="L28" s="55"/>
      <c r="M28" s="55"/>
      <c r="N28" s="65"/>
      <c r="O28" s="55"/>
      <c r="P28" s="16"/>
      <c r="Q28" s="67"/>
      <c r="R28" s="67"/>
      <c r="S28" s="55"/>
      <c r="T28" s="16"/>
      <c r="U28" s="67"/>
      <c r="V28" s="67"/>
      <c r="W28" s="55"/>
      <c r="X28" s="16"/>
    </row>
    <row r="29" spans="1:24" s="66" customFormat="1">
      <c r="A29" s="69"/>
      <c r="B29" s="69"/>
      <c r="C29" s="69"/>
      <c r="D29" s="69"/>
      <c r="E29" s="57"/>
      <c r="F29" s="57"/>
      <c r="G29" s="69"/>
      <c r="H29" s="57"/>
      <c r="I29" s="57"/>
      <c r="J29" s="69"/>
      <c r="K29" s="57"/>
      <c r="L29" s="57"/>
      <c r="M29" s="57"/>
      <c r="N29" s="69"/>
      <c r="O29" s="57"/>
      <c r="P29" s="58"/>
      <c r="Q29" s="70"/>
      <c r="R29" s="70"/>
      <c r="S29" s="57"/>
      <c r="T29" s="58"/>
      <c r="U29" s="70"/>
      <c r="V29" s="70"/>
      <c r="W29" s="57"/>
      <c r="X29" s="58"/>
    </row>
    <row r="30" spans="1:24" s="66" customFormat="1">
      <c r="A30" s="64"/>
      <c r="B30" s="65"/>
      <c r="C30" s="65"/>
      <c r="D30" s="65"/>
      <c r="E30" s="55"/>
      <c r="F30" s="55"/>
      <c r="G30" s="65"/>
      <c r="H30" s="55"/>
      <c r="I30" s="55"/>
      <c r="J30" s="65"/>
      <c r="K30" s="55"/>
      <c r="L30" s="55"/>
      <c r="M30" s="55"/>
      <c r="N30" s="65"/>
      <c r="O30" s="55"/>
      <c r="P30" s="16"/>
      <c r="Q30" s="67"/>
      <c r="R30" s="67"/>
      <c r="S30" s="55"/>
      <c r="T30" s="16"/>
      <c r="U30" s="67"/>
      <c r="V30" s="67"/>
      <c r="W30" s="55"/>
      <c r="X30" s="16"/>
    </row>
    <row r="31" spans="1:24" s="66" customFormat="1">
      <c r="A31" s="76"/>
      <c r="B31" s="71"/>
      <c r="C31" s="71"/>
      <c r="D31" s="71"/>
      <c r="E31" s="55"/>
      <c r="F31" s="55"/>
      <c r="G31" s="71"/>
      <c r="H31" s="55"/>
      <c r="I31" s="55"/>
      <c r="J31" s="71"/>
      <c r="K31" s="55"/>
      <c r="L31" s="55"/>
      <c r="M31" s="55"/>
      <c r="N31" s="67"/>
      <c r="O31" s="55"/>
      <c r="P31" s="16"/>
      <c r="Q31" s="67"/>
      <c r="R31" s="67"/>
      <c r="S31" s="55"/>
      <c r="T31" s="16"/>
      <c r="U31" s="67"/>
      <c r="V31" s="67"/>
      <c r="W31" s="55"/>
      <c r="X31" s="16"/>
    </row>
    <row r="32" spans="1:24" s="66" customFormat="1">
      <c r="A32" s="77"/>
      <c r="C32" s="71"/>
      <c r="D32" s="71"/>
      <c r="E32" s="55"/>
      <c r="F32" s="55"/>
      <c r="G32" s="71"/>
      <c r="H32" s="55"/>
      <c r="I32" s="55"/>
      <c r="J32" s="71"/>
      <c r="K32" s="55"/>
      <c r="L32" s="55"/>
      <c r="M32" s="55"/>
      <c r="N32" s="67"/>
      <c r="O32" s="55"/>
      <c r="P32" s="16"/>
      <c r="Q32" s="67"/>
      <c r="R32" s="67"/>
      <c r="S32" s="55"/>
      <c r="T32" s="16"/>
      <c r="U32" s="67"/>
      <c r="V32" s="67"/>
      <c r="W32" s="55"/>
      <c r="X32" s="16"/>
    </row>
    <row r="33" spans="1:24" s="66" customFormat="1">
      <c r="A33" s="78"/>
      <c r="B33" s="72"/>
      <c r="C33" s="65"/>
      <c r="D33" s="65"/>
      <c r="E33" s="55"/>
      <c r="F33" s="55"/>
      <c r="G33" s="65"/>
      <c r="H33" s="55"/>
      <c r="I33" s="55"/>
      <c r="J33" s="65"/>
      <c r="K33" s="55"/>
      <c r="L33" s="55"/>
      <c r="M33" s="55"/>
      <c r="N33" s="67"/>
      <c r="O33" s="55"/>
      <c r="P33" s="16"/>
      <c r="Q33" s="67"/>
      <c r="R33" s="67"/>
      <c r="S33" s="55"/>
      <c r="T33" s="16"/>
      <c r="U33" s="67"/>
      <c r="V33" s="67"/>
      <c r="W33" s="55"/>
      <c r="X33" s="16"/>
    </row>
    <row r="34" spans="1:24" s="66" customFormat="1">
      <c r="A34" s="78"/>
      <c r="B34" s="71"/>
      <c r="C34" s="65"/>
      <c r="D34" s="65"/>
      <c r="E34" s="55"/>
      <c r="F34" s="55"/>
      <c r="G34" s="65"/>
      <c r="H34" s="55"/>
      <c r="I34" s="55"/>
      <c r="J34" s="65"/>
      <c r="K34" s="55"/>
      <c r="L34" s="55"/>
      <c r="M34" s="55"/>
      <c r="N34" s="67"/>
      <c r="O34" s="55"/>
      <c r="P34" s="16"/>
      <c r="Q34" s="67"/>
      <c r="R34" s="67"/>
      <c r="S34" s="55"/>
      <c r="T34" s="16"/>
      <c r="U34" s="67"/>
      <c r="V34" s="67"/>
      <c r="W34" s="55"/>
      <c r="X34" s="16"/>
    </row>
    <row r="35" spans="1:24" s="66" customFormat="1">
      <c r="A35" s="76"/>
      <c r="B35" s="71"/>
      <c r="C35" s="71"/>
      <c r="D35" s="71"/>
      <c r="E35" s="55"/>
      <c r="F35" s="55"/>
      <c r="G35" s="71"/>
      <c r="H35" s="55"/>
      <c r="I35" s="55"/>
      <c r="J35" s="71"/>
      <c r="K35" s="55"/>
      <c r="L35" s="55"/>
      <c r="M35" s="55"/>
      <c r="N35" s="71"/>
      <c r="O35" s="55"/>
      <c r="P35" s="16"/>
      <c r="Q35" s="67"/>
      <c r="R35" s="67"/>
      <c r="S35" s="55"/>
      <c r="T35" s="16"/>
      <c r="U35" s="67"/>
      <c r="V35" s="67"/>
      <c r="W35" s="55"/>
      <c r="X35" s="16"/>
    </row>
    <row r="36" spans="1:24" s="66" customFormat="1">
      <c r="A36" s="69"/>
      <c r="B36" s="69"/>
      <c r="C36" s="69"/>
      <c r="D36" s="69"/>
      <c r="E36" s="57"/>
      <c r="F36" s="57"/>
      <c r="G36" s="69"/>
      <c r="H36" s="57"/>
      <c r="I36" s="57"/>
      <c r="J36" s="69"/>
      <c r="K36" s="57"/>
      <c r="L36" s="57"/>
      <c r="M36" s="57"/>
      <c r="N36" s="70"/>
      <c r="O36" s="57"/>
      <c r="P36" s="58"/>
      <c r="Q36" s="70"/>
      <c r="R36" s="70"/>
      <c r="S36" s="57"/>
      <c r="T36" s="58"/>
      <c r="U36" s="70"/>
      <c r="V36" s="70"/>
      <c r="W36" s="57"/>
      <c r="X36" s="58"/>
    </row>
    <row r="37" spans="1:24" s="66" customFormat="1">
      <c r="A37" s="76"/>
      <c r="B37" s="71"/>
      <c r="C37" s="71"/>
      <c r="D37" s="71"/>
      <c r="E37" s="55"/>
      <c r="F37" s="55"/>
      <c r="G37" s="71"/>
      <c r="H37" s="55"/>
      <c r="I37" s="55"/>
      <c r="J37" s="71"/>
      <c r="K37" s="55"/>
      <c r="L37" s="55"/>
      <c r="M37" s="55"/>
      <c r="N37" s="71"/>
      <c r="O37" s="55"/>
      <c r="P37" s="16"/>
      <c r="Q37" s="67"/>
      <c r="R37" s="67"/>
      <c r="S37" s="55"/>
      <c r="T37" s="16"/>
      <c r="U37" s="67"/>
      <c r="V37" s="67"/>
      <c r="W37" s="55"/>
      <c r="X37" s="16"/>
    </row>
    <row r="38" spans="1:24" s="66" customFormat="1">
      <c r="A38" s="76"/>
      <c r="B38" s="71"/>
      <c r="C38" s="71"/>
      <c r="D38" s="71"/>
      <c r="E38" s="55"/>
      <c r="F38" s="55"/>
      <c r="G38" s="71"/>
      <c r="H38" s="55"/>
      <c r="I38" s="55"/>
      <c r="J38" s="71"/>
      <c r="K38" s="55"/>
      <c r="L38" s="55"/>
      <c r="M38" s="55"/>
      <c r="N38" s="71"/>
      <c r="O38" s="79"/>
      <c r="P38" s="16"/>
      <c r="Q38" s="67"/>
      <c r="R38" s="67"/>
      <c r="S38" s="79"/>
      <c r="T38" s="16"/>
      <c r="U38" s="67"/>
      <c r="V38" s="67"/>
      <c r="W38" s="79"/>
      <c r="X38" s="16"/>
    </row>
    <row r="39" spans="1:24" s="66" customFormat="1">
      <c r="A39" s="64"/>
      <c r="B39" s="65"/>
      <c r="C39" s="65"/>
      <c r="D39" s="65"/>
      <c r="E39" s="55"/>
      <c r="F39" s="55"/>
      <c r="G39" s="65"/>
      <c r="H39" s="55"/>
      <c r="I39" s="55"/>
      <c r="J39" s="65"/>
      <c r="K39" s="55"/>
      <c r="L39" s="55"/>
      <c r="M39" s="55"/>
      <c r="N39" s="65"/>
      <c r="O39" s="55"/>
      <c r="P39" s="16"/>
      <c r="Q39" s="67"/>
      <c r="R39" s="67"/>
      <c r="S39" s="55"/>
      <c r="T39" s="16"/>
      <c r="U39" s="67"/>
      <c r="V39" s="67"/>
      <c r="W39" s="55"/>
      <c r="X39" s="16"/>
    </row>
    <row r="40" spans="1:24" s="66" customFormat="1">
      <c r="A40" s="76"/>
      <c r="B40" s="71"/>
      <c r="C40" s="71"/>
      <c r="D40" s="71"/>
      <c r="E40" s="55"/>
      <c r="F40" s="55"/>
      <c r="G40" s="71"/>
      <c r="H40" s="55"/>
      <c r="I40" s="55"/>
      <c r="J40" s="71"/>
      <c r="K40" s="55"/>
      <c r="L40" s="55"/>
      <c r="M40" s="55"/>
      <c r="N40" s="71"/>
      <c r="O40" s="55"/>
      <c r="P40" s="16"/>
      <c r="Q40" s="67"/>
      <c r="R40" s="67"/>
      <c r="S40" s="55"/>
      <c r="T40" s="16"/>
      <c r="U40" s="67"/>
      <c r="V40" s="67"/>
      <c r="W40" s="55"/>
      <c r="X40" s="16"/>
    </row>
    <row r="41" spans="1:24" s="66" customFormat="1">
      <c r="A41" s="78"/>
      <c r="B41" s="65"/>
      <c r="C41" s="65"/>
      <c r="D41" s="65"/>
      <c r="E41" s="55"/>
      <c r="F41" s="55"/>
      <c r="G41" s="65"/>
      <c r="H41" s="55"/>
      <c r="I41" s="55"/>
      <c r="J41" s="65"/>
      <c r="K41" s="55"/>
      <c r="L41" s="55"/>
      <c r="M41" s="55"/>
      <c r="N41" s="65"/>
      <c r="O41" s="55"/>
      <c r="P41" s="16"/>
      <c r="Q41" s="67"/>
      <c r="R41" s="67"/>
      <c r="S41" s="55"/>
      <c r="T41" s="16"/>
      <c r="U41" s="67"/>
      <c r="V41" s="67"/>
      <c r="W41" s="55"/>
      <c r="X41" s="16"/>
    </row>
    <row r="42" spans="1:24" s="66" customFormat="1">
      <c r="A42" s="76"/>
      <c r="B42" s="71"/>
      <c r="C42" s="71"/>
      <c r="D42" s="71"/>
      <c r="E42" s="55"/>
      <c r="F42" s="55"/>
      <c r="G42" s="71"/>
      <c r="H42" s="55"/>
      <c r="I42" s="55"/>
      <c r="J42" s="71"/>
      <c r="K42" s="55"/>
      <c r="L42" s="55"/>
      <c r="M42" s="55"/>
      <c r="N42" s="71"/>
      <c r="O42" s="55"/>
      <c r="P42" s="16"/>
      <c r="Q42" s="67"/>
      <c r="R42" s="67"/>
      <c r="S42" s="55"/>
      <c r="T42" s="16"/>
      <c r="U42" s="67"/>
      <c r="V42" s="67"/>
      <c r="W42" s="55"/>
      <c r="X42" s="16"/>
    </row>
    <row r="43" spans="1:24" s="66" customFormat="1">
      <c r="A43" s="69"/>
      <c r="B43" s="69"/>
      <c r="C43" s="69"/>
      <c r="D43" s="69"/>
      <c r="E43" s="57"/>
      <c r="F43" s="57"/>
      <c r="G43" s="69"/>
      <c r="H43" s="57"/>
      <c r="I43" s="57"/>
      <c r="J43" s="69"/>
      <c r="K43" s="57"/>
      <c r="L43" s="57"/>
      <c r="M43" s="57"/>
      <c r="N43" s="69"/>
      <c r="O43" s="57"/>
      <c r="P43" s="58"/>
      <c r="Q43" s="70"/>
      <c r="R43" s="70"/>
      <c r="S43" s="57"/>
      <c r="T43" s="58"/>
      <c r="U43" s="70"/>
      <c r="V43" s="70"/>
      <c r="W43" s="57"/>
      <c r="X43" s="58"/>
    </row>
    <row r="44" spans="1:24" s="66" customFormat="1">
      <c r="A44" s="76"/>
      <c r="B44" s="71"/>
      <c r="C44" s="71"/>
      <c r="D44" s="71"/>
      <c r="E44" s="55"/>
      <c r="F44" s="55"/>
      <c r="G44" s="71"/>
      <c r="H44" s="55"/>
      <c r="I44" s="55"/>
      <c r="J44" s="71"/>
      <c r="K44" s="55"/>
      <c r="L44" s="55"/>
      <c r="M44" s="55"/>
      <c r="N44" s="71"/>
      <c r="O44" s="55"/>
      <c r="P44" s="16"/>
      <c r="Q44" s="67"/>
      <c r="R44" s="67"/>
      <c r="S44" s="55"/>
      <c r="T44" s="16"/>
      <c r="U44" s="67"/>
      <c r="V44" s="67"/>
      <c r="W44" s="55"/>
      <c r="X44" s="16"/>
    </row>
    <row r="45" spans="1:24" s="66" customFormat="1">
      <c r="A45" s="76"/>
      <c r="B45" s="71"/>
      <c r="C45" s="71"/>
      <c r="D45" s="71"/>
      <c r="E45" s="55"/>
      <c r="F45" s="55"/>
      <c r="G45" s="71"/>
      <c r="H45" s="55"/>
      <c r="I45" s="55"/>
      <c r="J45" s="71"/>
      <c r="K45" s="55"/>
      <c r="L45" s="55"/>
      <c r="M45" s="55"/>
      <c r="N45" s="71"/>
      <c r="O45" s="55"/>
      <c r="P45" s="16"/>
      <c r="Q45" s="67"/>
      <c r="R45" s="67"/>
      <c r="S45" s="55"/>
      <c r="T45" s="16"/>
      <c r="U45" s="67"/>
      <c r="V45" s="67"/>
      <c r="W45" s="55"/>
      <c r="X45" s="16"/>
    </row>
    <row r="46" spans="1:24" s="66" customFormat="1">
      <c r="A46" s="76"/>
      <c r="B46" s="71"/>
      <c r="C46" s="71"/>
      <c r="D46" s="71"/>
      <c r="E46" s="55"/>
      <c r="F46" s="55"/>
      <c r="G46" s="71"/>
      <c r="H46" s="55"/>
      <c r="I46" s="55"/>
      <c r="J46" s="71"/>
      <c r="K46" s="55"/>
      <c r="L46" s="55"/>
      <c r="M46" s="55"/>
      <c r="N46" s="71"/>
      <c r="O46" s="55"/>
      <c r="P46" s="16"/>
      <c r="Q46" s="67"/>
      <c r="R46" s="67"/>
      <c r="S46" s="55"/>
      <c r="T46" s="16"/>
      <c r="U46" s="67"/>
      <c r="V46" s="67"/>
      <c r="W46" s="55"/>
      <c r="X46" s="16"/>
    </row>
    <row r="47" spans="1:24" s="66" customFormat="1">
      <c r="A47" s="76"/>
      <c r="B47" s="71"/>
      <c r="C47" s="71"/>
      <c r="D47" s="71"/>
      <c r="E47" s="55"/>
      <c r="F47" s="55"/>
      <c r="G47" s="71"/>
      <c r="H47" s="55"/>
      <c r="I47" s="55"/>
      <c r="J47" s="71"/>
      <c r="K47" s="55"/>
      <c r="L47" s="55"/>
      <c r="M47" s="55"/>
      <c r="N47" s="71"/>
      <c r="O47" s="55"/>
      <c r="P47" s="16"/>
      <c r="Q47" s="67"/>
      <c r="R47" s="67"/>
      <c r="S47" s="55"/>
      <c r="T47" s="16"/>
      <c r="U47" s="67"/>
      <c r="V47" s="67"/>
      <c r="W47" s="55"/>
      <c r="X47" s="16"/>
    </row>
    <row r="48" spans="1:24" s="66" customFormat="1">
      <c r="A48" s="76"/>
      <c r="B48" s="71"/>
      <c r="C48" s="71"/>
      <c r="D48" s="71"/>
      <c r="E48" s="55"/>
      <c r="F48" s="55"/>
      <c r="G48" s="71"/>
      <c r="H48" s="55"/>
      <c r="I48" s="55"/>
      <c r="J48" s="71"/>
      <c r="K48" s="55"/>
      <c r="L48" s="55"/>
      <c r="M48" s="55"/>
      <c r="N48" s="71"/>
      <c r="O48" s="55"/>
      <c r="P48" s="16"/>
      <c r="Q48" s="67"/>
      <c r="R48" s="67"/>
      <c r="S48" s="55"/>
      <c r="T48" s="16"/>
      <c r="U48" s="67"/>
      <c r="V48" s="67"/>
      <c r="W48" s="55"/>
      <c r="X48" s="16"/>
    </row>
    <row r="49" spans="1:24" s="66" customFormat="1">
      <c r="A49" s="69"/>
      <c r="B49" s="69"/>
      <c r="C49" s="69"/>
      <c r="D49" s="69"/>
      <c r="E49" s="57"/>
      <c r="F49" s="57"/>
      <c r="G49" s="69"/>
      <c r="H49" s="57"/>
      <c r="I49" s="57"/>
      <c r="J49" s="69"/>
      <c r="K49" s="57"/>
      <c r="L49" s="57"/>
      <c r="M49" s="57"/>
      <c r="N49" s="69"/>
      <c r="O49" s="57"/>
      <c r="P49" s="58"/>
      <c r="Q49" s="70"/>
      <c r="R49" s="70"/>
      <c r="S49" s="57"/>
      <c r="T49" s="58"/>
      <c r="U49" s="70"/>
      <c r="V49" s="70"/>
      <c r="W49" s="57"/>
      <c r="X49" s="58"/>
    </row>
    <row r="50" spans="1:24" s="66" customFormat="1">
      <c r="A50" s="76"/>
      <c r="B50" s="71"/>
      <c r="C50" s="71"/>
      <c r="D50" s="71"/>
      <c r="E50" s="55"/>
      <c r="F50" s="55"/>
      <c r="G50" s="71"/>
      <c r="H50" s="55"/>
      <c r="I50" s="55"/>
      <c r="J50" s="71"/>
      <c r="K50" s="55"/>
      <c r="L50" s="55"/>
      <c r="M50" s="55"/>
      <c r="N50" s="71"/>
      <c r="O50" s="55"/>
      <c r="P50" s="16"/>
      <c r="Q50" s="67"/>
      <c r="R50" s="67"/>
      <c r="T50" s="16"/>
      <c r="U50" s="67"/>
      <c r="V50" s="67"/>
      <c r="X50" s="16"/>
    </row>
    <row r="51" spans="1:24" s="66" customFormat="1">
      <c r="A51" s="76"/>
      <c r="B51" s="71"/>
      <c r="C51" s="71"/>
      <c r="D51" s="71"/>
      <c r="E51" s="55"/>
      <c r="F51" s="55"/>
      <c r="G51" s="71"/>
      <c r="H51" s="55"/>
      <c r="I51" s="55"/>
      <c r="J51" s="71"/>
      <c r="K51" s="55"/>
      <c r="L51" s="55"/>
      <c r="M51" s="55"/>
      <c r="N51" s="71"/>
      <c r="O51" s="55"/>
      <c r="P51" s="16"/>
      <c r="Q51" s="67"/>
      <c r="R51" s="67"/>
      <c r="S51" s="47"/>
      <c r="T51" s="16"/>
      <c r="U51" s="67"/>
      <c r="V51" s="67"/>
      <c r="W51" s="47"/>
      <c r="X51" s="16"/>
    </row>
    <row r="52" spans="1:24" s="63" customFormat="1">
      <c r="A52" s="80"/>
      <c r="B52" s="81"/>
      <c r="C52" s="81"/>
      <c r="D52" s="81"/>
      <c r="E52" s="54"/>
      <c r="F52" s="54"/>
      <c r="G52" s="81"/>
      <c r="H52" s="54"/>
      <c r="I52" s="54"/>
      <c r="J52" s="81"/>
      <c r="K52" s="54"/>
      <c r="L52" s="54"/>
      <c r="M52" s="54"/>
      <c r="N52" s="81"/>
      <c r="O52" s="54"/>
      <c r="P52" s="12"/>
      <c r="Q52" s="62"/>
      <c r="R52" s="62"/>
      <c r="S52" s="41"/>
      <c r="T52" s="12"/>
      <c r="U52" s="62"/>
      <c r="V52" s="62"/>
      <c r="W52" s="41"/>
      <c r="X52" s="12"/>
    </row>
    <row r="53" spans="1:24" s="63" customFormat="1">
      <c r="A53" s="80"/>
      <c r="B53" s="81"/>
      <c r="C53" s="81"/>
      <c r="D53" s="81"/>
      <c r="E53" s="54"/>
      <c r="F53" s="54"/>
      <c r="G53" s="81"/>
      <c r="H53" s="54"/>
      <c r="I53" s="54"/>
      <c r="J53" s="81"/>
      <c r="K53" s="54"/>
      <c r="L53" s="54"/>
      <c r="M53" s="54"/>
      <c r="N53" s="81"/>
      <c r="O53" s="54"/>
      <c r="P53" s="12"/>
      <c r="Q53" s="62"/>
      <c r="R53" s="62"/>
      <c r="S53" s="41"/>
      <c r="T53" s="12"/>
      <c r="U53" s="62"/>
      <c r="V53" s="62"/>
      <c r="W53" s="41"/>
      <c r="X53" s="12"/>
    </row>
    <row r="54" spans="1:24" s="63" customFormat="1">
      <c r="A54" s="80"/>
      <c r="B54" s="81"/>
      <c r="C54" s="81"/>
      <c r="D54" s="81"/>
      <c r="E54" s="54"/>
      <c r="F54" s="54"/>
      <c r="G54" s="81"/>
      <c r="H54" s="54"/>
      <c r="I54" s="54"/>
      <c r="J54" s="81"/>
      <c r="K54" s="54"/>
      <c r="L54" s="54"/>
      <c r="M54" s="54"/>
      <c r="N54" s="81"/>
      <c r="O54" s="81"/>
      <c r="P54" s="12"/>
      <c r="Q54" s="62"/>
      <c r="R54" s="62"/>
      <c r="T54" s="12"/>
      <c r="U54" s="62"/>
      <c r="V54" s="62"/>
      <c r="X54" s="12"/>
    </row>
  </sheetData>
  <mergeCells count="1">
    <mergeCell ref="N3:X3"/>
  </mergeCells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6" orientation="landscape" horizontalDpi="300" verticalDpi="300" r:id="rId1"/>
  <headerFooter scaleWithDoc="0">
    <oddHeader>&amp;LDossier TECSAFINANCE
Annexe A
&amp;CRépartition du Chiffre d'affaire 
Société TECSABOIS CHARPENTE&amp;RConfidentiel</oddHeader>
    <oddFooter>&amp;L&amp;D&amp;R1/3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AA69"/>
  <sheetViews>
    <sheetView showGridLines="0" topLeftCell="E1" zoomScale="80" zoomScaleNormal="80" workbookViewId="0">
      <selection activeCell="AB24" sqref="AB24"/>
    </sheetView>
  </sheetViews>
  <sheetFormatPr baseColWidth="10" defaultRowHeight="15"/>
  <cols>
    <col min="1" max="1" width="2.5703125" style="196" customWidth="1"/>
    <col min="2" max="3" width="2.5703125" style="212" customWidth="1"/>
    <col min="4" max="4" width="32" style="212" customWidth="1"/>
    <col min="5" max="5" width="5.85546875" style="207" customWidth="1"/>
    <col min="6" max="6" width="15.7109375" style="203" customWidth="1"/>
    <col min="7" max="7" width="7.7109375" style="203" customWidth="1"/>
    <col min="8" max="8" width="3.7109375" style="212" customWidth="1"/>
    <col min="9" max="9" width="5.85546875" style="207" customWidth="1"/>
    <col min="10" max="10" width="15.7109375" style="203" customWidth="1"/>
    <col min="11" max="11" width="5.28515625" style="207" customWidth="1"/>
    <col min="12" max="12" width="3.7109375" style="203" customWidth="1"/>
    <col min="13" max="13" width="5.85546875" style="207" customWidth="1"/>
    <col min="14" max="14" width="15.7109375" style="212" customWidth="1"/>
    <col min="15" max="15" width="7.42578125" style="207" customWidth="1"/>
    <col min="16" max="16" width="3.7109375" style="222" customWidth="1"/>
    <col min="17" max="17" width="5.85546875" style="207" customWidth="1"/>
    <col min="18" max="18" width="15.7109375" style="208" customWidth="1"/>
    <col min="19" max="19" width="6.42578125" style="207" customWidth="1"/>
    <col min="20" max="20" width="3.7109375" style="222" customWidth="1"/>
    <col min="21" max="21" width="5.85546875" style="207" customWidth="1"/>
    <col min="22" max="22" width="15.7109375" style="208" customWidth="1"/>
    <col min="23" max="23" width="5.140625" style="207" customWidth="1"/>
    <col min="24" max="24" width="3.7109375" style="222" customWidth="1"/>
    <col min="25" max="25" width="5.85546875" style="207" customWidth="1"/>
    <col min="26" max="26" width="15.7109375" style="208" customWidth="1"/>
    <col min="27" max="27" width="4.85546875" style="207" customWidth="1"/>
    <col min="28" max="16384" width="11.42578125" style="208"/>
  </cols>
  <sheetData>
    <row r="1" spans="1:27" s="82" customFormat="1">
      <c r="A1" s="30"/>
      <c r="B1" s="30"/>
      <c r="C1" s="30"/>
      <c r="D1" s="30"/>
      <c r="E1" s="186"/>
      <c r="F1" s="30">
        <v>2010</v>
      </c>
      <c r="G1" s="30"/>
      <c r="H1" s="30"/>
      <c r="I1" s="186"/>
      <c r="J1" s="30">
        <v>2011</v>
      </c>
      <c r="K1" s="186"/>
      <c r="L1" s="30"/>
      <c r="M1" s="186"/>
      <c r="N1" s="82">
        <v>2012</v>
      </c>
      <c r="O1" s="186"/>
      <c r="Q1" s="186"/>
      <c r="R1" s="82">
        <v>2013</v>
      </c>
      <c r="S1" s="186"/>
      <c r="U1" s="186"/>
      <c r="V1" s="82">
        <v>2014</v>
      </c>
      <c r="W1" s="186"/>
      <c r="Y1" s="186"/>
      <c r="Z1" s="82">
        <v>2015</v>
      </c>
      <c r="AA1" s="186"/>
    </row>
    <row r="2" spans="1:27" s="82" customFormat="1">
      <c r="A2" s="14"/>
      <c r="B2" s="30"/>
      <c r="C2" s="30"/>
      <c r="D2" s="30"/>
      <c r="E2" s="186" t="s">
        <v>93</v>
      </c>
      <c r="F2" s="30" t="s">
        <v>576</v>
      </c>
      <c r="G2" s="30" t="s">
        <v>94</v>
      </c>
      <c r="H2" s="30"/>
      <c r="I2" s="186" t="s">
        <v>93</v>
      </c>
      <c r="J2" s="30" t="s">
        <v>576</v>
      </c>
      <c r="K2" s="186" t="s">
        <v>94</v>
      </c>
      <c r="L2" s="30"/>
      <c r="M2" s="186" t="s">
        <v>93</v>
      </c>
      <c r="N2" s="30" t="s">
        <v>576</v>
      </c>
      <c r="O2" s="186" t="s">
        <v>94</v>
      </c>
      <c r="Q2" s="186" t="s">
        <v>93</v>
      </c>
      <c r="R2" s="30" t="s">
        <v>576</v>
      </c>
      <c r="S2" s="186" t="s">
        <v>94</v>
      </c>
      <c r="U2" s="186" t="s">
        <v>93</v>
      </c>
      <c r="V2" s="30" t="s">
        <v>576</v>
      </c>
      <c r="W2" s="186" t="s">
        <v>94</v>
      </c>
      <c r="Y2" s="186" t="s">
        <v>93</v>
      </c>
      <c r="Z2" s="30" t="s">
        <v>576</v>
      </c>
      <c r="AA2" s="186" t="s">
        <v>94</v>
      </c>
    </row>
    <row r="3" spans="1:27" s="82" customFormat="1" ht="15.75" thickBot="1">
      <c r="B3" s="30"/>
      <c r="C3" s="30"/>
      <c r="D3" s="30"/>
      <c r="E3" s="351" t="s">
        <v>101</v>
      </c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</row>
    <row r="4" spans="1:27" s="201" customFormat="1">
      <c r="A4" s="216" t="s">
        <v>577</v>
      </c>
      <c r="B4" s="216"/>
      <c r="C4" s="216"/>
      <c r="D4" s="216"/>
      <c r="E4" s="217"/>
      <c r="F4" s="218"/>
      <c r="G4" s="218"/>
      <c r="H4" s="216"/>
      <c r="I4" s="217"/>
      <c r="J4" s="218"/>
      <c r="K4" s="217"/>
      <c r="L4" s="218"/>
      <c r="M4" s="217"/>
      <c r="N4" s="215"/>
      <c r="O4" s="219"/>
      <c r="P4" s="220"/>
      <c r="Q4" s="219"/>
      <c r="R4" s="215"/>
      <c r="S4" s="219"/>
      <c r="T4" s="220"/>
      <c r="U4" s="219"/>
      <c r="V4" s="215"/>
      <c r="W4" s="219"/>
      <c r="X4" s="220"/>
      <c r="Y4" s="219"/>
      <c r="Z4" s="215"/>
      <c r="AA4" s="219"/>
    </row>
    <row r="5" spans="1:27" s="201" customFormat="1" ht="18" customHeight="1">
      <c r="A5" s="206"/>
      <c r="B5" s="202" t="s">
        <v>95</v>
      </c>
      <c r="D5" s="202"/>
      <c r="E5" s="204">
        <f>F5/F$11</f>
        <v>0.25208951199784307</v>
      </c>
      <c r="F5" s="203">
        <v>935000</v>
      </c>
      <c r="G5" s="204"/>
      <c r="H5" s="202"/>
      <c r="I5" s="204">
        <f>J5/J$11</f>
        <v>0.19404790916643588</v>
      </c>
      <c r="J5" s="203">
        <v>700707</v>
      </c>
      <c r="K5" s="204">
        <f>(J5-F5)/J5</f>
        <v>-0.33436657547305793</v>
      </c>
      <c r="L5" s="205"/>
      <c r="M5" s="204">
        <f>N5/N$11</f>
        <v>1.7458384084449857E-2</v>
      </c>
      <c r="N5" s="203">
        <v>43000</v>
      </c>
      <c r="O5" s="204">
        <f>(N5-J5)/N5</f>
        <v>-15.295511627906977</v>
      </c>
      <c r="P5" s="221"/>
      <c r="Q5" s="204">
        <f>R5/$R$11</f>
        <v>0</v>
      </c>
      <c r="R5" s="203">
        <v>0</v>
      </c>
      <c r="S5" s="204" t="s">
        <v>47</v>
      </c>
      <c r="T5" s="221"/>
      <c r="U5" s="204">
        <f>V5/V$33</f>
        <v>0</v>
      </c>
      <c r="V5" s="203">
        <v>0</v>
      </c>
      <c r="W5" s="204"/>
      <c r="X5" s="221"/>
      <c r="Y5" s="204">
        <f>Z5/Z$33</f>
        <v>0</v>
      </c>
      <c r="Z5" s="203">
        <f>V5*(1+AA5)</f>
        <v>0</v>
      </c>
      <c r="AA5" s="204"/>
    </row>
    <row r="6" spans="1:27" s="201" customFormat="1">
      <c r="A6" s="206"/>
      <c r="B6" s="202" t="s">
        <v>583</v>
      </c>
      <c r="D6" s="202"/>
      <c r="E6" s="204">
        <f>F6/F$11</f>
        <v>0.59557832299811275</v>
      </c>
      <c r="F6" s="203">
        <v>2209000</v>
      </c>
      <c r="G6" s="204"/>
      <c r="H6" s="202"/>
      <c r="I6" s="204">
        <f>J6/J$11</f>
        <v>0.65033841041262808</v>
      </c>
      <c r="J6" s="203">
        <f>3611000-J7-J5-J8-J9</f>
        <v>2348372</v>
      </c>
      <c r="K6" s="204">
        <f>(J6-F6)/J6</f>
        <v>5.9348348558064909E-2</v>
      </c>
      <c r="L6" s="204"/>
      <c r="M6" s="204">
        <f>N6/N$11</f>
        <v>0.80024360535931793</v>
      </c>
      <c r="N6" s="203">
        <f>N41</f>
        <v>1971000</v>
      </c>
      <c r="O6" s="204">
        <f>(N6-J6)/N6</f>
        <v>-0.19146220192795535</v>
      </c>
      <c r="P6" s="221"/>
      <c r="Q6" s="204">
        <f>R6/$R$11</f>
        <v>0.84736842105263155</v>
      </c>
      <c r="R6" s="203">
        <f>R41</f>
        <v>1610000</v>
      </c>
      <c r="S6" s="204">
        <f>(R6-N6)/R6</f>
        <v>-0.22422360248447204</v>
      </c>
      <c r="T6" s="221"/>
      <c r="U6" s="204">
        <f>V6/V$33</f>
        <v>0.86567732115677321</v>
      </c>
      <c r="V6" s="203">
        <f>V41</f>
        <v>2275000</v>
      </c>
      <c r="W6" s="204">
        <f>(V6-R6)/V6</f>
        <v>0.29230769230769232</v>
      </c>
      <c r="X6" s="221"/>
      <c r="Y6" s="204">
        <f>Z6/Z$33</f>
        <v>0.86</v>
      </c>
      <c r="Z6" s="203">
        <f>Z41</f>
        <v>2580000</v>
      </c>
      <c r="AA6" s="204">
        <f>(Z6-V6)/Z6</f>
        <v>0.11821705426356589</v>
      </c>
    </row>
    <row r="7" spans="1:27" s="201" customFormat="1">
      <c r="A7" s="206"/>
      <c r="B7" s="202" t="s">
        <v>92</v>
      </c>
      <c r="D7" s="202"/>
      <c r="E7" s="204">
        <f>F7/F$11</f>
        <v>4.9878673496899437E-2</v>
      </c>
      <c r="F7" s="203">
        <v>185000</v>
      </c>
      <c r="G7" s="204"/>
      <c r="H7" s="202"/>
      <c r="I7" s="204">
        <f>J7/J$11</f>
        <v>5.5324563832733313E-2</v>
      </c>
      <c r="J7" s="203">
        <v>199777</v>
      </c>
      <c r="K7" s="204">
        <f>(J7-F7)/J7</f>
        <v>7.3967473733212538E-2</v>
      </c>
      <c r="L7" s="205"/>
      <c r="M7" s="204">
        <f>N7/N$11</f>
        <v>3.6946812829882256E-2</v>
      </c>
      <c r="N7" s="203">
        <v>91000</v>
      </c>
      <c r="O7" s="204">
        <f>(N7-J7)/N7</f>
        <v>-1.1953516483516484</v>
      </c>
      <c r="P7" s="221"/>
      <c r="Q7" s="204">
        <f>R7/$R$11</f>
        <v>3.6842105263157891E-2</v>
      </c>
      <c r="R7" s="203">
        <v>70000</v>
      </c>
      <c r="S7" s="204">
        <f>(R7-N7)/R7</f>
        <v>-0.3</v>
      </c>
      <c r="T7" s="221"/>
      <c r="U7" s="204">
        <f>V7/V$33</f>
        <v>3.5388127853881277E-2</v>
      </c>
      <c r="V7" s="203">
        <v>93000</v>
      </c>
      <c r="W7" s="204">
        <f>(V7-R7)/V7</f>
        <v>0.24731182795698925</v>
      </c>
      <c r="X7" s="221"/>
      <c r="Y7" s="204">
        <f>Z7/Z$33</f>
        <v>0.04</v>
      </c>
      <c r="Z7" s="203">
        <v>120000</v>
      </c>
      <c r="AA7" s="204">
        <f>(Z7-V7)/Z7</f>
        <v>0.22500000000000001</v>
      </c>
    </row>
    <row r="8" spans="1:27" s="201" customFormat="1">
      <c r="A8" s="206"/>
      <c r="B8" s="202" t="s">
        <v>188</v>
      </c>
      <c r="D8" s="202"/>
      <c r="E8" s="204">
        <f>F8/F$11</f>
        <v>8.4928552170396326E-2</v>
      </c>
      <c r="F8" s="203">
        <v>315000</v>
      </c>
      <c r="G8" s="204"/>
      <c r="H8" s="194"/>
      <c r="I8" s="204">
        <f>J8/J$11</f>
        <v>6.7848241484353367E-2</v>
      </c>
      <c r="J8" s="203">
        <v>245000</v>
      </c>
      <c r="K8" s="204">
        <f>(J8-F8)/J8</f>
        <v>-0.2857142857142857</v>
      </c>
      <c r="L8" s="205"/>
      <c r="M8" s="204">
        <f>N8/N$11</f>
        <v>8.5667884693463259E-2</v>
      </c>
      <c r="N8" s="203">
        <v>211000</v>
      </c>
      <c r="O8" s="204">
        <f>(N8-J8)/N8</f>
        <v>-0.16113744075829384</v>
      </c>
      <c r="P8" s="221"/>
      <c r="Q8" s="204">
        <f>R8/$R$11</f>
        <v>7.8947368421052627E-2</v>
      </c>
      <c r="R8" s="203">
        <v>150000</v>
      </c>
      <c r="S8" s="204">
        <f>(R8-N8)/R8</f>
        <v>-0.40666666666666668</v>
      </c>
      <c r="T8" s="221"/>
      <c r="U8" s="204">
        <f>V8/V$33</f>
        <v>6.4687975646879753E-2</v>
      </c>
      <c r="V8" s="203">
        <v>170000</v>
      </c>
      <c r="W8" s="204">
        <f>(V8-R8)/V8</f>
        <v>0.11764705882352941</v>
      </c>
      <c r="X8" s="221"/>
      <c r="Y8" s="204">
        <f>Z8/Z$33</f>
        <v>0.06</v>
      </c>
      <c r="Z8" s="203">
        <v>180000</v>
      </c>
      <c r="AA8" s="204">
        <f>(Z8-V8)/Z8</f>
        <v>5.5555555555555552E-2</v>
      </c>
    </row>
    <row r="9" spans="1:27" s="201" customFormat="1">
      <c r="A9" s="206"/>
      <c r="B9" s="202" t="s">
        <v>96</v>
      </c>
      <c r="D9" s="202"/>
      <c r="E9" s="204">
        <f>F9/F$11</f>
        <v>1.7524939336748448E-2</v>
      </c>
      <c r="F9" s="203">
        <v>65000</v>
      </c>
      <c r="G9" s="204"/>
      <c r="H9" s="202"/>
      <c r="I9" s="204">
        <f>J9/J$11</f>
        <v>3.2440875103849347E-2</v>
      </c>
      <c r="J9" s="203">
        <v>117144</v>
      </c>
      <c r="K9" s="204">
        <f>(J9-F9)/J9</f>
        <v>0.44512736461107699</v>
      </c>
      <c r="L9" s="205"/>
      <c r="M9" s="204">
        <f>N9/N$11</f>
        <v>5.9683313032886723E-2</v>
      </c>
      <c r="N9" s="203">
        <v>147000</v>
      </c>
      <c r="O9" s="204">
        <f>(N9-J9)/N9</f>
        <v>0.20310204081632652</v>
      </c>
      <c r="P9" s="221"/>
      <c r="Q9" s="204">
        <f>R9/$R$11</f>
        <v>3.6842105263157891E-2</v>
      </c>
      <c r="R9" s="203">
        <v>70000</v>
      </c>
      <c r="S9" s="204">
        <f>(R9-N9)/R9</f>
        <v>-1.1000000000000001</v>
      </c>
      <c r="T9" s="221"/>
      <c r="U9" s="204">
        <f>V9/V$33</f>
        <v>3.4246575342465752E-2</v>
      </c>
      <c r="V9" s="203">
        <v>90000</v>
      </c>
      <c r="W9" s="204">
        <f>(V9-R9)/V9</f>
        <v>0.22222222222222221</v>
      </c>
      <c r="X9" s="221"/>
      <c r="Y9" s="204">
        <f>Z9/Z$33</f>
        <v>0.04</v>
      </c>
      <c r="Z9" s="203">
        <v>120000</v>
      </c>
      <c r="AA9" s="204">
        <f>(Z9-V9)/Z9</f>
        <v>0.25</v>
      </c>
    </row>
    <row r="10" spans="1:27" s="201" customFormat="1">
      <c r="A10" s="206"/>
      <c r="B10" s="202"/>
      <c r="D10" s="202"/>
      <c r="E10" s="230"/>
      <c r="F10" s="229"/>
      <c r="G10" s="230"/>
      <c r="H10" s="231"/>
      <c r="I10" s="230"/>
      <c r="J10" s="229"/>
      <c r="K10" s="230"/>
      <c r="L10" s="232"/>
      <c r="M10" s="230"/>
      <c r="N10" s="229"/>
      <c r="O10" s="230"/>
      <c r="P10" s="233"/>
      <c r="Q10" s="230"/>
      <c r="R10" s="229"/>
      <c r="S10" s="230"/>
      <c r="T10" s="233"/>
      <c r="U10" s="230"/>
      <c r="V10" s="229"/>
      <c r="W10" s="230"/>
      <c r="X10" s="233"/>
      <c r="Y10" s="230"/>
      <c r="Z10" s="229"/>
      <c r="AA10" s="230"/>
    </row>
    <row r="11" spans="1:27" s="201" customFormat="1">
      <c r="A11" s="206"/>
      <c r="D11" s="198" t="s">
        <v>580</v>
      </c>
      <c r="E11" s="186">
        <f>SUM(E5:E9)</f>
        <v>1</v>
      </c>
      <c r="F11" s="205">
        <f>SUM(F5:F9)</f>
        <v>3709000</v>
      </c>
      <c r="G11" s="186"/>
      <c r="H11" s="198"/>
      <c r="I11" s="186">
        <f>SUM(I5:I9)</f>
        <v>0.99999999999999989</v>
      </c>
      <c r="J11" s="205">
        <f>SUM(J5:J9)</f>
        <v>3611000</v>
      </c>
      <c r="K11" s="186"/>
      <c r="L11" s="186"/>
      <c r="M11" s="186">
        <f>SUM(M5:M9)</f>
        <v>1</v>
      </c>
      <c r="N11" s="205">
        <f>SUM(N5:N9)</f>
        <v>2463000</v>
      </c>
      <c r="O11" s="186"/>
      <c r="P11" s="221"/>
      <c r="Q11" s="186">
        <f>SUM(Q5:Q9)</f>
        <v>1</v>
      </c>
      <c r="R11" s="205">
        <f>SUM(R5:R9)</f>
        <v>1900000</v>
      </c>
      <c r="S11" s="186"/>
      <c r="T11" s="221"/>
      <c r="U11" s="186">
        <f>SUM(U5:U9)</f>
        <v>1</v>
      </c>
      <c r="V11" s="205">
        <f>SUM(V5:V9)</f>
        <v>2628000</v>
      </c>
      <c r="W11" s="186"/>
      <c r="X11" s="221"/>
      <c r="Y11" s="186">
        <f>SUM(Y5:Y9)</f>
        <v>1</v>
      </c>
      <c r="Z11" s="205">
        <f>SUM(Z5:Z9)</f>
        <v>3000000</v>
      </c>
      <c r="AA11" s="186"/>
    </row>
    <row r="12" spans="1:27" s="201" customFormat="1">
      <c r="A12" s="206"/>
      <c r="D12" s="198"/>
      <c r="E12" s="186"/>
      <c r="F12" s="205"/>
      <c r="G12" s="186"/>
      <c r="H12" s="198"/>
      <c r="I12" s="186"/>
      <c r="J12" s="205"/>
      <c r="K12" s="186"/>
      <c r="L12" s="186"/>
      <c r="M12" s="186"/>
      <c r="N12" s="205"/>
      <c r="O12" s="186"/>
      <c r="P12" s="221"/>
      <c r="Q12" s="186"/>
      <c r="R12" s="205"/>
      <c r="S12" s="186"/>
      <c r="T12" s="221"/>
      <c r="U12" s="186"/>
      <c r="V12" s="199"/>
      <c r="W12" s="186"/>
      <c r="X12" s="221"/>
      <c r="Y12" s="186"/>
      <c r="Z12" s="199"/>
      <c r="AA12" s="186"/>
    </row>
    <row r="13" spans="1:27" s="201" customFormat="1">
      <c r="A13" s="206"/>
      <c r="B13" s="202" t="s">
        <v>579</v>
      </c>
      <c r="D13" s="194"/>
      <c r="E13" s="211"/>
      <c r="F13" s="203">
        <v>990148</v>
      </c>
      <c r="G13" s="205"/>
      <c r="H13" s="194"/>
      <c r="I13" s="211"/>
      <c r="J13" s="203">
        <v>885847</v>
      </c>
      <c r="K13" s="211"/>
      <c r="L13" s="205"/>
      <c r="M13" s="204"/>
      <c r="N13" s="189">
        <v>263997</v>
      </c>
      <c r="O13" s="186"/>
      <c r="P13" s="221"/>
      <c r="Q13" s="186"/>
      <c r="R13" s="235">
        <v>0</v>
      </c>
      <c r="S13" s="186"/>
      <c r="T13" s="221"/>
      <c r="U13" s="186"/>
      <c r="V13" s="199">
        <v>0</v>
      </c>
      <c r="W13" s="186"/>
      <c r="X13" s="221"/>
      <c r="Y13" s="186"/>
      <c r="Z13" s="199">
        <v>0</v>
      </c>
      <c r="AA13" s="186"/>
    </row>
    <row r="14" spans="1:27" s="201" customFormat="1">
      <c r="A14" s="206"/>
      <c r="D14" s="198"/>
      <c r="E14" s="186"/>
      <c r="F14" s="205"/>
      <c r="G14" s="186"/>
      <c r="H14" s="198"/>
      <c r="I14" s="186"/>
      <c r="J14" s="205"/>
      <c r="K14" s="186"/>
      <c r="L14" s="186"/>
      <c r="M14" s="186"/>
      <c r="N14" s="205"/>
      <c r="O14" s="186"/>
      <c r="P14" s="221"/>
      <c r="Q14" s="186"/>
      <c r="R14" s="205"/>
      <c r="S14" s="186"/>
      <c r="T14" s="221"/>
      <c r="U14" s="186"/>
      <c r="V14" s="199"/>
      <c r="W14" s="186"/>
      <c r="X14" s="221"/>
      <c r="Y14" s="186"/>
      <c r="Z14" s="199"/>
      <c r="AA14" s="186"/>
    </row>
    <row r="15" spans="1:27" s="201" customFormat="1">
      <c r="A15" s="206"/>
      <c r="D15" s="198" t="s">
        <v>581</v>
      </c>
      <c r="E15" s="248"/>
      <c r="F15" s="251">
        <f>F11+F13</f>
        <v>4699148</v>
      </c>
      <c r="G15" s="248"/>
      <c r="H15" s="260"/>
      <c r="I15" s="248"/>
      <c r="J15" s="251">
        <f>J11+J13</f>
        <v>4496847</v>
      </c>
      <c r="K15" s="248"/>
      <c r="L15" s="248"/>
      <c r="M15" s="248"/>
      <c r="N15" s="251">
        <f>N11+N13</f>
        <v>2726997</v>
      </c>
      <c r="O15" s="248"/>
      <c r="P15" s="249"/>
      <c r="Q15" s="248"/>
      <c r="R15" s="251">
        <f>R11+R13</f>
        <v>1900000</v>
      </c>
      <c r="S15" s="248"/>
      <c r="T15" s="249"/>
      <c r="U15" s="248"/>
      <c r="V15" s="251">
        <f>V11+V13</f>
        <v>2628000</v>
      </c>
      <c r="W15" s="248"/>
      <c r="X15" s="249"/>
      <c r="Y15" s="248"/>
      <c r="Z15" s="251">
        <f>Z11+Z13</f>
        <v>3000000</v>
      </c>
      <c r="AA15" s="248"/>
    </row>
    <row r="16" spans="1:27" s="201" customFormat="1" ht="15.75" thickBot="1">
      <c r="A16" s="206"/>
      <c r="D16" s="198"/>
      <c r="E16" s="186"/>
      <c r="F16" s="205"/>
      <c r="G16" s="186"/>
      <c r="H16" s="198"/>
      <c r="I16" s="186"/>
      <c r="J16" s="205"/>
      <c r="K16" s="186"/>
      <c r="L16" s="186"/>
      <c r="M16" s="186"/>
      <c r="N16" s="205"/>
      <c r="O16" s="186"/>
      <c r="P16" s="221"/>
      <c r="Q16" s="186"/>
      <c r="R16" s="205"/>
      <c r="S16" s="186"/>
      <c r="T16" s="221"/>
      <c r="U16" s="186"/>
      <c r="V16" s="199"/>
      <c r="W16" s="186"/>
      <c r="X16" s="221"/>
      <c r="Y16" s="186"/>
      <c r="Z16" s="199"/>
      <c r="AA16" s="186"/>
    </row>
    <row r="17" spans="1:27" s="201" customFormat="1">
      <c r="A17" s="216" t="s">
        <v>578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</row>
    <row r="18" spans="1:27" s="201" customFormat="1">
      <c r="A18" s="206"/>
      <c r="B18" s="194" t="s">
        <v>189</v>
      </c>
      <c r="E18" s="204"/>
      <c r="F18" s="203"/>
      <c r="G18" s="205"/>
      <c r="H18" s="200"/>
      <c r="I18" s="204"/>
      <c r="J18" s="203"/>
      <c r="K18" s="211"/>
      <c r="L18" s="205"/>
      <c r="M18" s="204">
        <f>1-M19</f>
        <v>0.97799777557511069</v>
      </c>
      <c r="N18" s="203">
        <v>2666997</v>
      </c>
      <c r="O18" s="186"/>
      <c r="P18" s="221"/>
      <c r="Q18" s="204">
        <f>1-Q19</f>
        <v>0.83421052631578951</v>
      </c>
      <c r="R18" s="203">
        <v>1025000</v>
      </c>
      <c r="S18" s="204">
        <f>(R18-N18)/R18</f>
        <v>-1.6019482926829269</v>
      </c>
      <c r="T18" s="221"/>
      <c r="U18" s="204">
        <f>1-U19</f>
        <v>0.80289193302891937</v>
      </c>
      <c r="V18" s="203">
        <v>1407500</v>
      </c>
      <c r="W18" s="204">
        <f>(V18-R18)/V18</f>
        <v>0.27175843694493784</v>
      </c>
      <c r="X18" s="221"/>
      <c r="Y18" s="204">
        <f>1-Y19</f>
        <v>0.81033333333333335</v>
      </c>
      <c r="Z18" s="203">
        <v>1586000</v>
      </c>
      <c r="AA18" s="204">
        <f>(Z18-V18)/Z18</f>
        <v>0.11254728877679697</v>
      </c>
    </row>
    <row r="19" spans="1:27" s="201" customFormat="1">
      <c r="A19" s="206"/>
      <c r="B19" s="194" t="s">
        <v>190</v>
      </c>
      <c r="E19" s="204"/>
      <c r="F19" s="203"/>
      <c r="G19" s="205"/>
      <c r="H19" s="200"/>
      <c r="I19" s="204"/>
      <c r="J19" s="203"/>
      <c r="K19" s="211"/>
      <c r="L19" s="205"/>
      <c r="M19" s="204">
        <f>N19/N29</f>
        <v>2.2002224424889357E-2</v>
      </c>
      <c r="N19" s="203">
        <v>60000</v>
      </c>
      <c r="O19" s="186"/>
      <c r="P19" s="221"/>
      <c r="Q19" s="204">
        <f>R19/R29</f>
        <v>0.16578947368421051</v>
      </c>
      <c r="R19" s="189">
        <v>315000</v>
      </c>
      <c r="S19" s="204">
        <f>(R19-N19)/R19</f>
        <v>0.80952380952380953</v>
      </c>
      <c r="T19" s="221"/>
      <c r="U19" s="204">
        <f>V19/V29</f>
        <v>0.19710806697108066</v>
      </c>
      <c r="V19" s="189">
        <v>518000</v>
      </c>
      <c r="W19" s="204">
        <f>(V19-R19)/V19</f>
        <v>0.39189189189189189</v>
      </c>
      <c r="X19" s="221"/>
      <c r="Y19" s="204">
        <f>Z19/Z29</f>
        <v>0.18966666666666668</v>
      </c>
      <c r="Z19" s="189">
        <v>569000</v>
      </c>
      <c r="AA19" s="204">
        <f>(Z19-V19)/Z19</f>
        <v>8.9630931458699478E-2</v>
      </c>
    </row>
    <row r="20" spans="1:27" s="201" customFormat="1">
      <c r="A20" s="206"/>
      <c r="B20" s="202"/>
      <c r="C20" s="194"/>
      <c r="D20" s="194"/>
      <c r="E20" s="230"/>
      <c r="F20" s="229"/>
      <c r="G20" s="232"/>
      <c r="H20" s="148"/>
      <c r="I20" s="230"/>
      <c r="J20" s="229"/>
      <c r="K20" s="236"/>
      <c r="L20" s="232"/>
      <c r="M20" s="230"/>
      <c r="N20" s="229"/>
      <c r="O20" s="234"/>
      <c r="P20" s="233"/>
      <c r="Q20" s="230"/>
      <c r="R20" s="191"/>
      <c r="S20" s="230"/>
      <c r="T20" s="233"/>
      <c r="U20" s="230"/>
      <c r="V20" s="191"/>
      <c r="W20" s="230"/>
      <c r="X20" s="233"/>
      <c r="Y20" s="230"/>
      <c r="Z20" s="191"/>
      <c r="AA20" s="230"/>
    </row>
    <row r="21" spans="1:27" s="201" customFormat="1">
      <c r="A21" s="206"/>
      <c r="B21" s="202"/>
      <c r="C21" s="194"/>
      <c r="D21" s="198" t="s">
        <v>580</v>
      </c>
      <c r="E21" s="204"/>
      <c r="F21" s="203">
        <f>F15</f>
        <v>4699148</v>
      </c>
      <c r="G21" s="205"/>
      <c r="H21" s="200"/>
      <c r="I21" s="204"/>
      <c r="J21" s="203">
        <f>J15</f>
        <v>4496847</v>
      </c>
      <c r="K21" s="211"/>
      <c r="L21" s="205"/>
      <c r="M21" s="204">
        <f>SUM(M18:M20)</f>
        <v>1</v>
      </c>
      <c r="N21" s="203">
        <f>SUM(N18:N20)</f>
        <v>2726997</v>
      </c>
      <c r="O21" s="186"/>
      <c r="P21" s="221"/>
      <c r="Q21" s="204">
        <f>SUM(Q18:Q20)</f>
        <v>1</v>
      </c>
      <c r="R21" s="189">
        <f>SUM(R18:R20)</f>
        <v>1340000</v>
      </c>
      <c r="S21" s="204"/>
      <c r="T21" s="221"/>
      <c r="U21" s="204">
        <f>SUM(U18:U20)</f>
        <v>1</v>
      </c>
      <c r="V21" s="189">
        <f>SUM(V18:V20)</f>
        <v>1925500</v>
      </c>
      <c r="W21" s="204"/>
      <c r="X21" s="221"/>
      <c r="Y21" s="204">
        <f>SUM(Y18:Y20)</f>
        <v>1</v>
      </c>
      <c r="Z21" s="189">
        <f>SUM(Z18:Z20)</f>
        <v>2155000</v>
      </c>
      <c r="AA21" s="204"/>
    </row>
    <row r="22" spans="1:27" s="201" customFormat="1">
      <c r="A22" s="206"/>
      <c r="B22" s="202" t="s">
        <v>582</v>
      </c>
      <c r="C22" s="194"/>
      <c r="D22" s="194"/>
      <c r="E22" s="204"/>
      <c r="F22" s="203"/>
      <c r="G22" s="205"/>
      <c r="H22" s="200"/>
      <c r="I22" s="204"/>
      <c r="J22" s="203"/>
      <c r="K22" s="211"/>
      <c r="L22" s="205"/>
      <c r="M22" s="204"/>
      <c r="N22" s="203"/>
      <c r="O22" s="186"/>
      <c r="P22" s="221"/>
      <c r="Q22" s="204"/>
      <c r="R22" s="189"/>
      <c r="S22" s="204"/>
      <c r="T22" s="221"/>
      <c r="U22" s="204"/>
      <c r="V22" s="189"/>
      <c r="W22" s="204"/>
      <c r="X22" s="221"/>
      <c r="Y22" s="204"/>
      <c r="Z22" s="189"/>
      <c r="AA22" s="204"/>
    </row>
    <row r="23" spans="1:27">
      <c r="A23" s="194"/>
      <c r="B23" s="208"/>
      <c r="C23" s="202" t="s">
        <v>59</v>
      </c>
      <c r="D23" s="208"/>
      <c r="F23" s="203">
        <v>0</v>
      </c>
      <c r="H23" s="202"/>
      <c r="J23" s="203">
        <v>0</v>
      </c>
      <c r="N23" s="203">
        <v>0</v>
      </c>
      <c r="R23" s="209">
        <v>350000</v>
      </c>
      <c r="S23" s="204"/>
      <c r="T23" s="223"/>
      <c r="U23" s="224"/>
      <c r="V23" s="209">
        <f>(Z23+R23)/2</f>
        <v>415000</v>
      </c>
      <c r="W23" s="224"/>
      <c r="X23" s="223"/>
      <c r="Y23" s="224"/>
      <c r="Z23" s="209">
        <v>480000</v>
      </c>
    </row>
    <row r="24" spans="1:27">
      <c r="A24" s="194"/>
      <c r="B24" s="208"/>
      <c r="C24" s="202" t="s">
        <v>61</v>
      </c>
      <c r="D24" s="208"/>
      <c r="F24" s="203">
        <v>0</v>
      </c>
      <c r="H24" s="202"/>
      <c r="J24" s="203">
        <v>0</v>
      </c>
      <c r="N24" s="203">
        <v>0</v>
      </c>
      <c r="R24" s="209">
        <v>20000</v>
      </c>
      <c r="S24" s="204"/>
      <c r="T24" s="223"/>
      <c r="U24" s="224"/>
      <c r="V24" s="209">
        <f>(Z24+R24)/2</f>
        <v>55000</v>
      </c>
      <c r="W24" s="224"/>
      <c r="X24" s="223"/>
      <c r="Y24" s="224"/>
      <c r="Z24" s="209">
        <v>90000</v>
      </c>
    </row>
    <row r="25" spans="1:27">
      <c r="A25" s="194"/>
      <c r="B25" s="208"/>
      <c r="C25" s="202" t="s">
        <v>60</v>
      </c>
      <c r="D25" s="208"/>
      <c r="F25" s="203">
        <v>0</v>
      </c>
      <c r="H25" s="202"/>
      <c r="J25" s="203">
        <v>0</v>
      </c>
      <c r="N25" s="203">
        <v>0</v>
      </c>
      <c r="R25" s="209">
        <v>190000</v>
      </c>
      <c r="S25" s="204"/>
      <c r="T25" s="223"/>
      <c r="U25" s="224"/>
      <c r="V25" s="209">
        <f>(Z25+R25)/2</f>
        <v>232500</v>
      </c>
      <c r="W25" s="224"/>
      <c r="X25" s="223"/>
      <c r="Y25" s="224"/>
      <c r="Z25" s="209">
        <v>275000</v>
      </c>
    </row>
    <row r="26" spans="1:27" s="201" customFormat="1">
      <c r="A26" s="206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0"/>
      <c r="T26" s="233"/>
      <c r="U26" s="234"/>
      <c r="V26" s="238"/>
      <c r="W26" s="234"/>
      <c r="X26" s="233"/>
      <c r="Y26" s="234"/>
      <c r="Z26" s="238"/>
      <c r="AA26" s="234"/>
    </row>
    <row r="27" spans="1:27" s="201" customFormat="1">
      <c r="A27" s="206"/>
      <c r="F27" s="239">
        <f>SUM(F23:F26)</f>
        <v>0</v>
      </c>
      <c r="J27" s="239">
        <f>SUM(J23:J26)</f>
        <v>0</v>
      </c>
      <c r="N27" s="239">
        <f>SUM(N23:N26)</f>
        <v>0</v>
      </c>
      <c r="R27" s="239">
        <f>SUM(R23:R26)</f>
        <v>560000</v>
      </c>
      <c r="S27" s="204"/>
      <c r="T27" s="221"/>
      <c r="U27" s="186"/>
      <c r="V27" s="239">
        <f>SUM(V23:V26)</f>
        <v>702500</v>
      </c>
      <c r="W27" s="186"/>
      <c r="X27" s="221"/>
      <c r="Y27" s="186"/>
      <c r="Z27" s="239">
        <f>SUM(Z23:Z26)</f>
        <v>845000</v>
      </c>
      <c r="AA27" s="186"/>
    </row>
    <row r="28" spans="1:27" s="201" customFormat="1">
      <c r="A28" s="206"/>
      <c r="B28" s="202"/>
      <c r="C28" s="202"/>
      <c r="D28" s="202"/>
      <c r="E28" s="211"/>
      <c r="F28" s="205"/>
      <c r="G28" s="205"/>
      <c r="H28" s="194"/>
      <c r="I28" s="211"/>
      <c r="J28" s="205"/>
      <c r="K28" s="211"/>
      <c r="L28" s="205"/>
      <c r="M28" s="204"/>
      <c r="N28" s="82"/>
      <c r="O28" s="186"/>
      <c r="P28" s="221"/>
      <c r="Q28" s="186"/>
      <c r="R28" s="82"/>
      <c r="S28" s="204"/>
      <c r="T28" s="221"/>
      <c r="U28" s="186"/>
      <c r="V28" s="82"/>
      <c r="W28" s="186"/>
      <c r="X28" s="221"/>
      <c r="Y28" s="186"/>
      <c r="Z28" s="82"/>
      <c r="AA28" s="186"/>
    </row>
    <row r="29" spans="1:27" s="240" customFormat="1">
      <c r="A29" s="14"/>
      <c r="B29" s="206"/>
      <c r="C29" s="206"/>
      <c r="D29" s="198" t="s">
        <v>581</v>
      </c>
      <c r="E29" s="258"/>
      <c r="F29" s="251">
        <f>F21+F27</f>
        <v>4699148</v>
      </c>
      <c r="G29" s="251"/>
      <c r="H29" s="242"/>
      <c r="I29" s="258"/>
      <c r="J29" s="251">
        <f>J21+J27</f>
        <v>4496847</v>
      </c>
      <c r="K29" s="258"/>
      <c r="L29" s="251"/>
      <c r="M29" s="258"/>
      <c r="N29" s="251">
        <f>N21+N27</f>
        <v>2726997</v>
      </c>
      <c r="O29" s="258"/>
      <c r="P29" s="261"/>
      <c r="Q29" s="258"/>
      <c r="R29" s="251">
        <f>R21+R27</f>
        <v>1900000</v>
      </c>
      <c r="S29" s="248"/>
      <c r="T29" s="261"/>
      <c r="U29" s="258"/>
      <c r="V29" s="251">
        <f>V21+V27</f>
        <v>2628000</v>
      </c>
      <c r="W29" s="258"/>
      <c r="X29" s="261"/>
      <c r="Y29" s="258"/>
      <c r="Z29" s="251">
        <f>Z21+Z27</f>
        <v>3000000</v>
      </c>
      <c r="AA29" s="258"/>
    </row>
    <row r="31" spans="1:27">
      <c r="A31" s="194"/>
      <c r="B31" s="202" t="s">
        <v>43</v>
      </c>
      <c r="C31" s="202"/>
      <c r="D31" s="202"/>
      <c r="F31" s="203">
        <v>-39376</v>
      </c>
      <c r="H31" s="202"/>
      <c r="J31" s="203">
        <v>-278878</v>
      </c>
      <c r="N31" s="203">
        <v>-210588</v>
      </c>
      <c r="R31" s="203">
        <v>0</v>
      </c>
      <c r="S31" s="204"/>
      <c r="V31" s="203">
        <v>0</v>
      </c>
      <c r="Z31" s="203">
        <v>0</v>
      </c>
    </row>
    <row r="32" spans="1:27">
      <c r="A32" s="194"/>
      <c r="B32" s="202"/>
      <c r="C32" s="202"/>
      <c r="D32" s="202"/>
      <c r="H32" s="202"/>
      <c r="N32" s="203"/>
      <c r="R32" s="203"/>
      <c r="S32" s="204"/>
      <c r="V32" s="203"/>
      <c r="Z32" s="203"/>
    </row>
    <row r="33" spans="1:27">
      <c r="A33" s="241" t="s">
        <v>0</v>
      </c>
      <c r="B33" s="210"/>
      <c r="C33" s="210"/>
      <c r="D33" s="210"/>
      <c r="E33" s="211"/>
      <c r="F33" s="205">
        <f>SUM(F29:F32)</f>
        <v>4659772</v>
      </c>
      <c r="G33" s="205"/>
      <c r="H33" s="210"/>
      <c r="I33" s="211"/>
      <c r="J33" s="205">
        <f>SUM(J29:J32)</f>
        <v>4217969</v>
      </c>
      <c r="K33" s="211"/>
      <c r="L33" s="205"/>
      <c r="M33" s="211"/>
      <c r="N33" s="205">
        <f>SUM(N29:N32)</f>
        <v>2516409</v>
      </c>
      <c r="O33" s="211">
        <f>(N33-J33)/N33</f>
        <v>-0.6761857869686525</v>
      </c>
      <c r="P33" s="225"/>
      <c r="Q33" s="211"/>
      <c r="R33" s="205">
        <f>SUM(R29:R32)</f>
        <v>1900000</v>
      </c>
      <c r="S33" s="211">
        <f>(R33-N33)/R33</f>
        <v>-0.32442578947368422</v>
      </c>
      <c r="T33" s="225"/>
      <c r="U33" s="211"/>
      <c r="V33" s="205">
        <f>SUM(V29:V32)</f>
        <v>2628000</v>
      </c>
      <c r="W33" s="211">
        <f>(V33-R33)/V33</f>
        <v>0.27701674277016741</v>
      </c>
      <c r="X33" s="225"/>
      <c r="Y33" s="211"/>
      <c r="Z33" s="205">
        <f>SUM(Z29:Z32)</f>
        <v>3000000</v>
      </c>
      <c r="AA33" s="211">
        <f>(Z33-V33)/Z33</f>
        <v>0.124</v>
      </c>
    </row>
    <row r="34" spans="1:27">
      <c r="A34" s="208"/>
      <c r="B34" s="202"/>
      <c r="C34" s="202"/>
      <c r="D34" s="202"/>
      <c r="H34" s="202"/>
      <c r="N34" s="203"/>
      <c r="R34" s="203"/>
      <c r="V34" s="203"/>
      <c r="Z34" s="203"/>
    </row>
    <row r="35" spans="1:27" s="201" customFormat="1">
      <c r="A35" s="242" t="s">
        <v>584</v>
      </c>
      <c r="B35" s="242"/>
      <c r="C35" s="243"/>
      <c r="D35" s="243"/>
      <c r="E35" s="244"/>
      <c r="F35" s="245"/>
      <c r="G35" s="244"/>
      <c r="H35" s="243"/>
      <c r="I35" s="244"/>
      <c r="J35" s="246"/>
      <c r="K35" s="244"/>
      <c r="L35" s="244"/>
      <c r="M35" s="244"/>
      <c r="N35" s="247"/>
      <c r="O35" s="248"/>
      <c r="P35" s="249"/>
      <c r="Q35" s="248"/>
      <c r="R35" s="247"/>
      <c r="S35" s="248"/>
      <c r="T35" s="249"/>
      <c r="U35" s="248"/>
      <c r="V35" s="247"/>
      <c r="W35" s="248"/>
      <c r="X35" s="249"/>
      <c r="Y35" s="248"/>
      <c r="Z35" s="247"/>
      <c r="AA35" s="248"/>
    </row>
    <row r="36" spans="1:27" s="201" customFormat="1">
      <c r="A36" s="242"/>
      <c r="B36" s="250" t="s">
        <v>187</v>
      </c>
      <c r="C36" s="250"/>
      <c r="D36" s="250"/>
      <c r="E36" s="244">
        <f>F36/F$41</f>
        <v>0.29108193752829337</v>
      </c>
      <c r="F36" s="245">
        <v>643000</v>
      </c>
      <c r="G36" s="244"/>
      <c r="H36" s="250"/>
      <c r="I36" s="244">
        <f>J36/J$41</f>
        <v>0.30616955065040802</v>
      </c>
      <c r="J36" s="245">
        <v>719000</v>
      </c>
      <c r="K36" s="244">
        <f>(J36-F36)/J36</f>
        <v>0.10570236439499305</v>
      </c>
      <c r="L36" s="251"/>
      <c r="M36" s="244">
        <f>N36/N$41</f>
        <v>0.33231861998985285</v>
      </c>
      <c r="N36" s="245">
        <v>655000</v>
      </c>
      <c r="O36" s="244">
        <f>(N36-J36)/N36</f>
        <v>-9.7709923664122136E-2</v>
      </c>
      <c r="P36" s="249"/>
      <c r="Q36" s="244">
        <f>R36/R$41</f>
        <v>0.3232298136645963</v>
      </c>
      <c r="R36" s="245">
        <v>520400</v>
      </c>
      <c r="S36" s="244">
        <f>(R36-N36)/R36</f>
        <v>-0.25864719446579554</v>
      </c>
      <c r="T36" s="249"/>
      <c r="U36" s="244">
        <f>V36/V$6</f>
        <v>0.3009230769230769</v>
      </c>
      <c r="V36" s="245">
        <v>684600</v>
      </c>
      <c r="W36" s="244">
        <f>(V36-R36)/V36</f>
        <v>0.23984808647385333</v>
      </c>
      <c r="X36" s="249"/>
      <c r="Y36" s="244">
        <f>Z36/Z$6</f>
        <v>0.27813953488372095</v>
      </c>
      <c r="Z36" s="245">
        <v>717600</v>
      </c>
      <c r="AA36" s="244">
        <f>(Z36-V36)/Z36</f>
        <v>4.5986622073578592E-2</v>
      </c>
    </row>
    <row r="37" spans="1:27" s="201" customFormat="1">
      <c r="A37" s="242"/>
      <c r="B37" s="250" t="s">
        <v>97</v>
      </c>
      <c r="C37" s="250"/>
      <c r="D37" s="250"/>
      <c r="E37" s="244">
        <f>F37/F$41</f>
        <v>0.40923494794024445</v>
      </c>
      <c r="F37" s="245">
        <v>904000</v>
      </c>
      <c r="G37" s="244"/>
      <c r="H37" s="250"/>
      <c r="I37" s="244">
        <f>J37/J$41</f>
        <v>0.37387602986238977</v>
      </c>
      <c r="J37" s="245">
        <v>878000</v>
      </c>
      <c r="K37" s="244">
        <f>(J37-F37)/J37</f>
        <v>-2.9612756264236904E-2</v>
      </c>
      <c r="L37" s="251"/>
      <c r="M37" s="244">
        <f>N37/N$41</f>
        <v>0.39066463723997968</v>
      </c>
      <c r="N37" s="245">
        <v>770000</v>
      </c>
      <c r="O37" s="244">
        <f>(N37-J37)/N37</f>
        <v>-0.14025974025974025</v>
      </c>
      <c r="P37" s="249"/>
      <c r="Q37" s="244">
        <f>R37/R$41</f>
        <v>0.3279503105590062</v>
      </c>
      <c r="R37" s="245">
        <v>528000</v>
      </c>
      <c r="S37" s="244">
        <f>(R37-N37)/R37</f>
        <v>-0.45833333333333331</v>
      </c>
      <c r="T37" s="249"/>
      <c r="U37" s="244">
        <f>V37/V$6</f>
        <v>0.34690109890109888</v>
      </c>
      <c r="V37" s="245">
        <v>789200</v>
      </c>
      <c r="W37" s="244">
        <f>(V37-R37)/V37</f>
        <v>0.33096806893056258</v>
      </c>
      <c r="X37" s="249"/>
      <c r="Y37" s="244">
        <f>Z37/Z$6</f>
        <v>0.35534883720930233</v>
      </c>
      <c r="Z37" s="245">
        <v>916800</v>
      </c>
      <c r="AA37" s="244">
        <f>(Z37-V37)/Z37</f>
        <v>0.13917975567190227</v>
      </c>
    </row>
    <row r="38" spans="1:27" s="201" customFormat="1">
      <c r="A38" s="242"/>
      <c r="B38" s="250" t="s">
        <v>98</v>
      </c>
      <c r="C38" s="250"/>
      <c r="D38" s="250"/>
      <c r="E38" s="244">
        <f>F38/F$41</f>
        <v>0.14803078315980081</v>
      </c>
      <c r="F38" s="245">
        <v>327000</v>
      </c>
      <c r="G38" s="244"/>
      <c r="H38" s="250"/>
      <c r="I38" s="244">
        <f>J38/J$41</f>
        <v>0.20099030306953072</v>
      </c>
      <c r="J38" s="245">
        <v>472000</v>
      </c>
      <c r="K38" s="244">
        <f>(J38-F38)/J38</f>
        <v>0.30720338983050849</v>
      </c>
      <c r="L38" s="251"/>
      <c r="M38" s="244">
        <f>N38/N$41</f>
        <v>0.18721461187214611</v>
      </c>
      <c r="N38" s="245">
        <v>369000</v>
      </c>
      <c r="O38" s="244">
        <f>(N38-J38)/N38</f>
        <v>-0.2791327913279133</v>
      </c>
      <c r="P38" s="249"/>
      <c r="Q38" s="244">
        <f>R38/R$41</f>
        <v>0.17490683229813664</v>
      </c>
      <c r="R38" s="245">
        <v>281600</v>
      </c>
      <c r="S38" s="244">
        <f>(R38-N38)/R38</f>
        <v>-0.31036931818181818</v>
      </c>
      <c r="T38" s="249"/>
      <c r="U38" s="244">
        <f>V38/V$6</f>
        <v>0.17195604395604397</v>
      </c>
      <c r="V38" s="245">
        <v>391200</v>
      </c>
      <c r="W38" s="244">
        <f>(V38-R38)/V38</f>
        <v>0.28016359918200406</v>
      </c>
      <c r="X38" s="249"/>
      <c r="Y38" s="244">
        <f>Z38/Z$6</f>
        <v>0.17116279069767443</v>
      </c>
      <c r="Z38" s="245">
        <v>441600</v>
      </c>
      <c r="AA38" s="244">
        <f>(Z38-V38)/Z38</f>
        <v>0.11413043478260869</v>
      </c>
    </row>
    <row r="39" spans="1:27" s="201" customFormat="1">
      <c r="A39" s="242"/>
      <c r="B39" s="250" t="s">
        <v>99</v>
      </c>
      <c r="C39" s="250"/>
      <c r="D39" s="250"/>
      <c r="E39" s="244">
        <f>F39/F$41</f>
        <v>0.1516523313716614</v>
      </c>
      <c r="F39" s="245">
        <v>335000</v>
      </c>
      <c r="G39" s="244"/>
      <c r="H39" s="250"/>
      <c r="I39" s="244">
        <f>J39/J$41</f>
        <v>0.11896411641767148</v>
      </c>
      <c r="J39" s="245">
        <f>J6-J36-J37-J38</f>
        <v>279372</v>
      </c>
      <c r="K39" s="244">
        <f>(J39-F39)/J39</f>
        <v>-0.19911802184900421</v>
      </c>
      <c r="L39" s="251"/>
      <c r="M39" s="244">
        <f>N39/N$41</f>
        <v>8.9802130898021304E-2</v>
      </c>
      <c r="N39" s="245">
        <v>177000</v>
      </c>
      <c r="O39" s="244">
        <f>(N39-J39)/N39</f>
        <v>-0.57837288135593223</v>
      </c>
      <c r="P39" s="249"/>
      <c r="Q39" s="244">
        <f>R39/R$41</f>
        <v>0.17391304347826086</v>
      </c>
      <c r="R39" s="245">
        <v>280000</v>
      </c>
      <c r="S39" s="244">
        <f>(R39-N39)/R39</f>
        <v>0.36785714285714288</v>
      </c>
      <c r="T39" s="249"/>
      <c r="U39" s="244">
        <f>V39/V$6</f>
        <v>0.18021978021978022</v>
      </c>
      <c r="V39" s="245">
        <v>410000</v>
      </c>
      <c r="W39" s="244">
        <f>(V39-R39)/V39</f>
        <v>0.31707317073170732</v>
      </c>
      <c r="X39" s="249"/>
      <c r="Y39" s="244">
        <f>Z39/Z$6</f>
        <v>0.19534883720930232</v>
      </c>
      <c r="Z39" s="245">
        <v>504000</v>
      </c>
      <c r="AA39" s="244">
        <f>(Z39-V39)/Z39</f>
        <v>0.18650793650793651</v>
      </c>
    </row>
    <row r="40" spans="1:27" s="201" customFormat="1">
      <c r="A40" s="242"/>
      <c r="B40" s="250"/>
      <c r="C40" s="250"/>
      <c r="D40" s="250"/>
      <c r="E40" s="252"/>
      <c r="F40" s="253"/>
      <c r="G40" s="252"/>
      <c r="H40" s="254"/>
      <c r="I40" s="252"/>
      <c r="J40" s="253"/>
      <c r="K40" s="252"/>
      <c r="L40" s="255"/>
      <c r="M40" s="252"/>
      <c r="N40" s="253"/>
      <c r="O40" s="252"/>
      <c r="P40" s="256"/>
      <c r="Q40" s="252"/>
      <c r="R40" s="253"/>
      <c r="S40" s="252"/>
      <c r="T40" s="256"/>
      <c r="U40" s="252"/>
      <c r="V40" s="253"/>
      <c r="W40" s="252"/>
      <c r="X40" s="256"/>
      <c r="Y40" s="252"/>
      <c r="Z40" s="253"/>
      <c r="AA40" s="252"/>
    </row>
    <row r="41" spans="1:27" s="201" customFormat="1">
      <c r="A41" s="242"/>
      <c r="B41" s="257"/>
      <c r="C41" s="243" t="s">
        <v>100</v>
      </c>
      <c r="D41" s="243"/>
      <c r="E41" s="244">
        <f>SUM(E36:E39)</f>
        <v>1</v>
      </c>
      <c r="F41" s="245">
        <f>SUM(F36:F39)</f>
        <v>2209000</v>
      </c>
      <c r="G41" s="251"/>
      <c r="H41" s="243"/>
      <c r="I41" s="244">
        <f>SUM(I36:I39)</f>
        <v>1</v>
      </c>
      <c r="J41" s="245">
        <f>SUM(J36:J39)</f>
        <v>2348372</v>
      </c>
      <c r="K41" s="258"/>
      <c r="L41" s="251"/>
      <c r="M41" s="244">
        <f>SUM(M36:M39)</f>
        <v>0.99999999999999978</v>
      </c>
      <c r="N41" s="245">
        <f>SUM(N36:N39)</f>
        <v>1971000</v>
      </c>
      <c r="O41" s="248"/>
      <c r="P41" s="249"/>
      <c r="Q41" s="244">
        <f>SUM(Q36:Q39)</f>
        <v>1</v>
      </c>
      <c r="R41" s="259">
        <f>SUM(R36:R39)</f>
        <v>1610000</v>
      </c>
      <c r="S41" s="244">
        <f>(R41-N41)/R41</f>
        <v>-0.22422360248447204</v>
      </c>
      <c r="T41" s="249"/>
      <c r="U41" s="244">
        <f>SUM(U36:U39)</f>
        <v>1</v>
      </c>
      <c r="V41" s="259">
        <f>SUM(V36:V39)</f>
        <v>2275000</v>
      </c>
      <c r="W41" s="244"/>
      <c r="X41" s="249"/>
      <c r="Y41" s="244">
        <f>SUM(Y36:Y39)</f>
        <v>1.0000000000000002</v>
      </c>
      <c r="Z41" s="259">
        <f>SUM(Z36:Z39)</f>
        <v>2580000</v>
      </c>
      <c r="AA41" s="244"/>
    </row>
    <row r="42" spans="1:27">
      <c r="A42" s="226"/>
      <c r="B42" s="226"/>
      <c r="N42" s="203"/>
      <c r="P42" s="208"/>
      <c r="R42" s="209"/>
      <c r="S42" s="224"/>
      <c r="T42" s="223"/>
      <c r="U42" s="224"/>
      <c r="V42" s="209"/>
      <c r="W42" s="224"/>
      <c r="X42" s="223"/>
      <c r="Y42" s="224"/>
      <c r="Z42" s="209"/>
    </row>
    <row r="43" spans="1:27">
      <c r="A43" s="226"/>
      <c r="B43" s="226"/>
      <c r="F43" s="227"/>
      <c r="G43" s="227"/>
      <c r="J43" s="227"/>
      <c r="K43" s="228"/>
      <c r="L43" s="227"/>
      <c r="N43" s="227"/>
      <c r="P43" s="208"/>
      <c r="R43" s="227"/>
      <c r="V43" s="227"/>
      <c r="Z43" s="227"/>
    </row>
    <row r="44" spans="1:27">
      <c r="A44" s="195"/>
      <c r="B44" s="202"/>
      <c r="C44" s="202"/>
      <c r="D44" s="202"/>
      <c r="H44" s="202"/>
      <c r="N44" s="203"/>
      <c r="R44" s="203"/>
      <c r="V44" s="203"/>
      <c r="Z44" s="203"/>
    </row>
    <row r="45" spans="1:27">
      <c r="A45" s="210"/>
      <c r="B45" s="210"/>
      <c r="C45" s="210"/>
      <c r="D45" s="210"/>
      <c r="E45" s="211"/>
      <c r="F45" s="205"/>
      <c r="G45" s="205"/>
      <c r="H45" s="210"/>
      <c r="I45" s="211"/>
      <c r="J45" s="205"/>
      <c r="K45" s="211"/>
      <c r="L45" s="205"/>
      <c r="M45" s="211"/>
      <c r="N45" s="205"/>
      <c r="O45" s="211"/>
      <c r="P45" s="225"/>
      <c r="Q45" s="211"/>
      <c r="R45" s="205"/>
      <c r="S45" s="211"/>
      <c r="T45" s="225"/>
      <c r="U45" s="211"/>
      <c r="V45" s="205"/>
      <c r="W45" s="211"/>
      <c r="X45" s="225"/>
      <c r="Y45" s="211"/>
      <c r="Z45" s="205"/>
      <c r="AA45" s="211"/>
    </row>
    <row r="46" spans="1:27">
      <c r="A46" s="194"/>
      <c r="B46" s="202"/>
      <c r="C46" s="202"/>
      <c r="D46" s="202"/>
      <c r="H46" s="202"/>
      <c r="N46" s="203"/>
      <c r="R46" s="203"/>
      <c r="V46" s="203"/>
      <c r="Z46" s="203"/>
    </row>
    <row r="47" spans="1:27">
      <c r="N47" s="203"/>
      <c r="R47" s="203"/>
      <c r="V47" s="203"/>
      <c r="Z47" s="203"/>
    </row>
    <row r="48" spans="1:27">
      <c r="A48" s="14"/>
      <c r="B48" s="208"/>
      <c r="N48" s="203"/>
      <c r="R48" s="203"/>
      <c r="V48" s="203"/>
      <c r="Z48" s="203"/>
    </row>
    <row r="49" spans="1:27">
      <c r="A49" s="197"/>
      <c r="B49" s="226"/>
      <c r="C49" s="202"/>
      <c r="D49" s="202"/>
      <c r="H49" s="202"/>
      <c r="N49" s="203"/>
      <c r="R49" s="203"/>
      <c r="V49" s="203"/>
      <c r="Z49" s="203"/>
    </row>
    <row r="50" spans="1:27">
      <c r="A50" s="197"/>
      <c r="C50" s="202"/>
      <c r="D50" s="202"/>
      <c r="H50" s="202"/>
      <c r="N50" s="203"/>
      <c r="R50" s="203"/>
      <c r="V50" s="203"/>
      <c r="Z50" s="203"/>
    </row>
    <row r="51" spans="1:27">
      <c r="N51" s="203"/>
      <c r="R51" s="203"/>
      <c r="V51" s="203"/>
      <c r="Z51" s="203"/>
    </row>
    <row r="52" spans="1:27">
      <c r="A52" s="210"/>
      <c r="B52" s="210"/>
      <c r="C52" s="210"/>
      <c r="D52" s="210"/>
      <c r="E52" s="211"/>
      <c r="F52" s="205"/>
      <c r="G52" s="205"/>
      <c r="H52" s="210"/>
      <c r="I52" s="211"/>
      <c r="J52" s="205"/>
      <c r="K52" s="211"/>
      <c r="L52" s="205"/>
      <c r="M52" s="211"/>
      <c r="N52" s="205"/>
      <c r="O52" s="211"/>
      <c r="P52" s="225"/>
      <c r="Q52" s="211"/>
      <c r="R52" s="205"/>
      <c r="S52" s="211"/>
      <c r="T52" s="225"/>
      <c r="U52" s="211"/>
      <c r="V52" s="205"/>
      <c r="W52" s="211"/>
      <c r="X52" s="225"/>
      <c r="Y52" s="211"/>
      <c r="Z52" s="205"/>
      <c r="AA52" s="211"/>
    </row>
    <row r="53" spans="1:27">
      <c r="N53" s="203"/>
      <c r="R53" s="203"/>
      <c r="V53" s="203"/>
      <c r="Z53" s="203"/>
    </row>
    <row r="54" spans="1:27">
      <c r="N54" s="213"/>
      <c r="R54" s="213"/>
      <c r="V54" s="213"/>
      <c r="Z54" s="213"/>
    </row>
    <row r="55" spans="1:27">
      <c r="A55" s="194"/>
      <c r="B55" s="202"/>
      <c r="C55" s="202"/>
      <c r="D55" s="202"/>
      <c r="H55" s="202"/>
      <c r="N55" s="203"/>
      <c r="R55" s="203"/>
      <c r="V55" s="203"/>
      <c r="Z55" s="203"/>
    </row>
    <row r="56" spans="1:27">
      <c r="N56" s="203"/>
      <c r="R56" s="203"/>
      <c r="V56" s="203"/>
      <c r="Z56" s="203"/>
    </row>
    <row r="57" spans="1:27">
      <c r="A57" s="197"/>
      <c r="B57" s="202"/>
      <c r="C57" s="202"/>
      <c r="D57" s="202"/>
      <c r="H57" s="202"/>
      <c r="N57" s="203"/>
      <c r="R57" s="203"/>
      <c r="V57" s="203"/>
      <c r="Z57" s="203"/>
    </row>
    <row r="58" spans="1:27">
      <c r="N58" s="203"/>
      <c r="R58" s="203"/>
      <c r="V58" s="203"/>
      <c r="Z58" s="203"/>
    </row>
    <row r="59" spans="1:27">
      <c r="A59" s="210"/>
      <c r="B59" s="210"/>
      <c r="C59" s="210"/>
      <c r="D59" s="210"/>
      <c r="E59" s="211"/>
      <c r="F59" s="205"/>
      <c r="G59" s="205"/>
      <c r="H59" s="210"/>
      <c r="I59" s="211"/>
      <c r="J59" s="205"/>
      <c r="K59" s="211"/>
      <c r="L59" s="205"/>
      <c r="M59" s="211"/>
      <c r="N59" s="205"/>
      <c r="O59" s="211"/>
      <c r="P59" s="225"/>
      <c r="Q59" s="211"/>
      <c r="R59" s="205"/>
      <c r="S59" s="211"/>
      <c r="T59" s="225"/>
      <c r="U59" s="211"/>
      <c r="V59" s="205"/>
      <c r="W59" s="211"/>
      <c r="X59" s="225"/>
      <c r="Y59" s="211"/>
      <c r="Z59" s="205"/>
      <c r="AA59" s="211"/>
    </row>
    <row r="60" spans="1:27">
      <c r="N60" s="203"/>
      <c r="R60" s="203"/>
      <c r="V60" s="203"/>
      <c r="Z60" s="203"/>
    </row>
    <row r="61" spans="1:27">
      <c r="N61" s="203"/>
      <c r="R61" s="203"/>
      <c r="V61" s="203"/>
      <c r="Z61" s="203"/>
    </row>
    <row r="62" spans="1:27">
      <c r="N62" s="203"/>
      <c r="R62" s="203"/>
      <c r="V62" s="203"/>
      <c r="Z62" s="203"/>
    </row>
    <row r="63" spans="1:27">
      <c r="N63" s="203"/>
      <c r="R63" s="203"/>
      <c r="V63" s="203"/>
      <c r="Z63" s="203"/>
    </row>
    <row r="64" spans="1:27">
      <c r="N64" s="203"/>
      <c r="R64" s="203"/>
      <c r="V64" s="203"/>
      <c r="Z64" s="203"/>
    </row>
    <row r="65" spans="1:27">
      <c r="A65" s="210"/>
      <c r="B65" s="210"/>
      <c r="C65" s="210"/>
      <c r="D65" s="210"/>
      <c r="E65" s="211"/>
      <c r="F65" s="205"/>
      <c r="G65" s="205"/>
      <c r="H65" s="210"/>
      <c r="I65" s="211"/>
      <c r="J65" s="205"/>
      <c r="K65" s="211"/>
      <c r="L65" s="205"/>
      <c r="M65" s="211"/>
      <c r="N65" s="205"/>
      <c r="O65" s="211"/>
      <c r="P65" s="225"/>
      <c r="Q65" s="211"/>
      <c r="R65" s="205"/>
      <c r="S65" s="211"/>
      <c r="T65" s="225"/>
      <c r="U65" s="211"/>
      <c r="V65" s="205"/>
      <c r="W65" s="211"/>
      <c r="X65" s="225"/>
      <c r="Y65" s="211"/>
      <c r="Z65" s="205"/>
      <c r="AA65" s="211"/>
    </row>
    <row r="66" spans="1:27">
      <c r="N66" s="203"/>
    </row>
    <row r="67" spans="1:27">
      <c r="N67" s="203"/>
      <c r="R67" s="214"/>
      <c r="V67" s="214"/>
      <c r="Z67" s="214"/>
    </row>
    <row r="68" spans="1:27">
      <c r="N68" s="203"/>
      <c r="R68" s="214"/>
      <c r="V68" s="214"/>
      <c r="Z68" s="214"/>
    </row>
    <row r="69" spans="1:27">
      <c r="N69" s="203"/>
      <c r="R69" s="214"/>
      <c r="V69" s="214"/>
      <c r="Z69" s="214"/>
    </row>
  </sheetData>
  <mergeCells count="1">
    <mergeCell ref="E3:AA3"/>
  </mergeCells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9" orientation="landscape" horizontalDpi="300" verticalDpi="300" r:id="rId1"/>
  <headerFooter scaleWithDoc="0">
    <oddHeader>&amp;LDossier TECSAFINANCE
Annexe A
&amp;CRépartition du Chiffre d'affaire 
Société TECSABOIS&amp;RConfidentiel</oddHeader>
    <oddFooter>&amp;L&amp;D&amp;R1/3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50"/>
  <sheetViews>
    <sheetView topLeftCell="A24" zoomScale="76" zoomScaleNormal="76" zoomScaleSheetLayoutView="80" workbookViewId="0">
      <selection activeCell="B13" sqref="B13"/>
    </sheetView>
  </sheetViews>
  <sheetFormatPr baseColWidth="10" defaultRowHeight="15"/>
  <cols>
    <col min="1" max="1" width="5" style="46" customWidth="1"/>
    <col min="2" max="2" width="46" style="41" bestFit="1" customWidth="1"/>
    <col min="3" max="3" width="18.28515625" style="41" customWidth="1"/>
    <col min="4" max="4" width="1.42578125" style="41" customWidth="1"/>
    <col min="5" max="5" width="18.28515625" style="41" customWidth="1"/>
    <col min="6" max="6" width="1.42578125" style="41" customWidth="1"/>
    <col min="7" max="7" width="20.140625" style="41" customWidth="1"/>
    <col min="8" max="8" width="1.42578125" style="41" customWidth="1"/>
    <col min="9" max="9" width="18.28515625" style="41" customWidth="1"/>
    <col min="10" max="10" width="1.42578125" style="41" customWidth="1"/>
    <col min="11" max="11" width="19.28515625" style="41" customWidth="1"/>
    <col min="12" max="12" width="1.42578125" style="47" customWidth="1"/>
    <col min="13" max="13" width="13.28515625" style="41" bestFit="1" customWidth="1"/>
    <col min="14" max="15" width="11.42578125" style="41"/>
    <col min="16" max="16" width="15" style="169" bestFit="1" customWidth="1"/>
    <col min="17" max="16384" width="11.42578125" style="41"/>
  </cols>
  <sheetData>
    <row r="1" spans="1:16">
      <c r="A1" s="354" t="s">
        <v>51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3" spans="1:16" s="43" customFormat="1" ht="15.75" thickBot="1">
      <c r="A3" s="42"/>
      <c r="C3" s="355" t="s">
        <v>44</v>
      </c>
      <c r="D3" s="355"/>
      <c r="E3" s="353" t="s">
        <v>35</v>
      </c>
      <c r="F3" s="353"/>
      <c r="G3" s="353" t="s">
        <v>45</v>
      </c>
      <c r="H3" s="353"/>
      <c r="I3" s="353" t="s">
        <v>36</v>
      </c>
      <c r="J3" s="353"/>
      <c r="K3" s="353" t="s">
        <v>56</v>
      </c>
      <c r="L3" s="353"/>
      <c r="P3" s="170"/>
    </row>
    <row r="4" spans="1:16" ht="15.75" thickTop="1">
      <c r="A4" s="44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6">
      <c r="A5" s="46" t="s">
        <v>11</v>
      </c>
      <c r="B5" s="47"/>
      <c r="C5" s="47"/>
      <c r="D5" s="47"/>
      <c r="E5" s="47"/>
      <c r="F5" s="47"/>
      <c r="G5" s="47"/>
      <c r="H5" s="47"/>
      <c r="I5" s="47"/>
      <c r="K5" s="47"/>
    </row>
    <row r="6" spans="1:16">
      <c r="B6" s="41" t="s">
        <v>52</v>
      </c>
      <c r="C6" s="41">
        <f>188676-79842+16156</f>
        <v>124990</v>
      </c>
      <c r="E6" s="41">
        <f>449918+11861+2006295-1126038-552251</f>
        <v>789785</v>
      </c>
      <c r="G6" s="41">
        <f>-26247+26246</f>
        <v>-1</v>
      </c>
      <c r="I6" s="41">
        <f>264554-279360+54578</f>
        <v>39772</v>
      </c>
      <c r="K6" s="41">
        <f>SUM(C6:I6)</f>
        <v>954546</v>
      </c>
    </row>
    <row r="8" spans="1:16">
      <c r="A8" s="46" t="s">
        <v>6</v>
      </c>
      <c r="B8" s="41" t="s">
        <v>12</v>
      </c>
      <c r="C8" s="41">
        <v>11</v>
      </c>
      <c r="E8" s="41">
        <f>1467042+147039</f>
        <v>1614081</v>
      </c>
      <c r="G8" s="41">
        <v>0</v>
      </c>
      <c r="I8" s="41">
        <f>395673+1452</f>
        <v>397125</v>
      </c>
      <c r="K8" s="41">
        <f>SUM(C8:I8)</f>
        <v>2011217</v>
      </c>
    </row>
    <row r="9" spans="1:16">
      <c r="A9" s="46" t="s">
        <v>6</v>
      </c>
      <c r="B9" s="41" t="s">
        <v>586</v>
      </c>
      <c r="C9" s="41">
        <v>0</v>
      </c>
      <c r="E9" s="41">
        <v>16500</v>
      </c>
      <c r="G9" s="41">
        <v>0</v>
      </c>
      <c r="I9" s="41">
        <v>0</v>
      </c>
      <c r="K9" s="41">
        <f>SUM(C9:I9)</f>
        <v>16500</v>
      </c>
    </row>
    <row r="11" spans="1:16" s="46" customFormat="1">
      <c r="B11" s="46" t="s">
        <v>13</v>
      </c>
      <c r="C11" s="46">
        <f>SUM(C6:C8)</f>
        <v>125001</v>
      </c>
      <c r="E11" s="46">
        <f>SUM(E6:E9)</f>
        <v>2420366</v>
      </c>
      <c r="G11" s="46">
        <f>SUM(G6:G8)</f>
        <v>-1</v>
      </c>
      <c r="I11" s="46">
        <f>SUM(I6:I8)</f>
        <v>436897</v>
      </c>
      <c r="J11" s="46">
        <f>SUM(J6:J8)</f>
        <v>0</v>
      </c>
      <c r="K11" s="46">
        <f>SUM(K6:K9)</f>
        <v>2982263</v>
      </c>
      <c r="L11" s="337"/>
      <c r="P11" s="171"/>
    </row>
    <row r="13" spans="1:16">
      <c r="B13" s="41" t="s">
        <v>14</v>
      </c>
      <c r="C13" s="41">
        <f>60000+6000</f>
        <v>66000</v>
      </c>
      <c r="E13" s="41">
        <f>118605+758275</f>
        <v>876880</v>
      </c>
      <c r="G13" s="41">
        <v>2000</v>
      </c>
      <c r="I13" s="41">
        <f>250000+25000</f>
        <v>275000</v>
      </c>
      <c r="K13" s="41">
        <f t="shared" ref="K13:K18" si="0">SUM(C13:I13)</f>
        <v>1219880</v>
      </c>
    </row>
    <row r="14" spans="1:16">
      <c r="B14" s="41" t="s">
        <v>31</v>
      </c>
      <c r="C14" s="41">
        <v>81588</v>
      </c>
      <c r="E14" s="41">
        <v>72848</v>
      </c>
      <c r="G14" s="41">
        <v>6043</v>
      </c>
      <c r="I14" s="41">
        <v>0</v>
      </c>
      <c r="K14" s="41">
        <f t="shared" si="0"/>
        <v>160479</v>
      </c>
    </row>
    <row r="15" spans="1:16">
      <c r="B15" s="41" t="s">
        <v>591</v>
      </c>
      <c r="C15" s="41">
        <v>120019</v>
      </c>
      <c r="E15" s="41">
        <v>403010</v>
      </c>
      <c r="G15" s="41">
        <v>4</v>
      </c>
      <c r="I15" s="41">
        <v>255996</v>
      </c>
      <c r="K15" s="41">
        <f t="shared" si="0"/>
        <v>779029</v>
      </c>
    </row>
    <row r="16" spans="1:16">
      <c r="B16" s="41" t="s">
        <v>53</v>
      </c>
      <c r="C16" s="41">
        <v>442166</v>
      </c>
      <c r="E16" s="41">
        <v>220400</v>
      </c>
      <c r="G16" s="41">
        <f>G24</f>
        <v>260053</v>
      </c>
      <c r="I16" s="41">
        <v>0</v>
      </c>
      <c r="K16" s="41">
        <f t="shared" si="0"/>
        <v>922619</v>
      </c>
    </row>
    <row r="17" spans="1:16">
      <c r="B17" s="41" t="s">
        <v>54</v>
      </c>
      <c r="C17" s="41">
        <v>0</v>
      </c>
      <c r="E17" s="41">
        <v>22392</v>
      </c>
      <c r="G17" s="41">
        <v>0</v>
      </c>
      <c r="I17" s="41">
        <v>0</v>
      </c>
      <c r="K17" s="41">
        <f t="shared" si="0"/>
        <v>22392</v>
      </c>
    </row>
    <row r="18" spans="1:16">
      <c r="B18" s="41" t="s">
        <v>587</v>
      </c>
      <c r="C18" s="41">
        <v>0</v>
      </c>
      <c r="E18" s="41">
        <v>15427</v>
      </c>
      <c r="G18" s="41">
        <v>0</v>
      </c>
      <c r="I18" s="41">
        <v>0</v>
      </c>
      <c r="K18" s="41">
        <f t="shared" si="0"/>
        <v>15427</v>
      </c>
    </row>
    <row r="20" spans="1:16" s="48" customFormat="1">
      <c r="B20" s="48" t="s">
        <v>15</v>
      </c>
      <c r="C20" s="48">
        <f>SUM(C11:C19)</f>
        <v>834774</v>
      </c>
      <c r="E20" s="48">
        <f>SUM(E11:E19)</f>
        <v>4031323</v>
      </c>
      <c r="G20" s="48">
        <f>SUM(G11:G19)</f>
        <v>268099</v>
      </c>
      <c r="I20" s="48">
        <f>SUM(I11:I19)</f>
        <v>967893</v>
      </c>
      <c r="J20" s="48">
        <f>SUM(J11:J19)</f>
        <v>0</v>
      </c>
      <c r="K20" s="48">
        <f>SUM(K11:K19)</f>
        <v>6102089</v>
      </c>
      <c r="L20" s="338"/>
      <c r="P20" s="172"/>
    </row>
    <row r="22" spans="1:16">
      <c r="A22" s="46" t="s">
        <v>16</v>
      </c>
    </row>
    <row r="24" spans="1:16">
      <c r="B24" s="41" t="s">
        <v>17</v>
      </c>
      <c r="C24" s="41">
        <v>874278</v>
      </c>
      <c r="E24" s="41">
        <v>2460130</v>
      </c>
      <c r="G24" s="41">
        <v>260053</v>
      </c>
      <c r="I24" s="41">
        <v>514944</v>
      </c>
      <c r="K24" s="41">
        <f>SUM(C24:I24)</f>
        <v>4109405</v>
      </c>
    </row>
    <row r="25" spans="1:16">
      <c r="B25" s="41" t="s">
        <v>18</v>
      </c>
      <c r="C25" s="41">
        <v>0</v>
      </c>
      <c r="E25" s="41">
        <v>0</v>
      </c>
      <c r="G25" s="41">
        <v>0</v>
      </c>
      <c r="I25" s="41">
        <v>0</v>
      </c>
      <c r="K25" s="41">
        <f>SUM(C25:I25)</f>
        <v>0</v>
      </c>
    </row>
    <row r="26" spans="1:16">
      <c r="B26" s="41" t="s">
        <v>34</v>
      </c>
      <c r="C26" s="41">
        <v>0</v>
      </c>
      <c r="E26" s="41">
        <v>0</v>
      </c>
      <c r="G26" s="41">
        <v>0</v>
      </c>
      <c r="I26" s="41">
        <v>0</v>
      </c>
      <c r="K26" s="41">
        <f>SUM(C26:I26)</f>
        <v>0</v>
      </c>
    </row>
    <row r="28" spans="1:16" s="48" customFormat="1">
      <c r="B28" s="48" t="s">
        <v>19</v>
      </c>
      <c r="C28" s="48">
        <f>SUM(C24:C27)</f>
        <v>874278</v>
      </c>
      <c r="E28" s="48">
        <f>SUM(E24:E27)</f>
        <v>2460130</v>
      </c>
      <c r="G28" s="48">
        <f>SUM(G24:G27)</f>
        <v>260053</v>
      </c>
      <c r="I28" s="48">
        <f>SUM(I24:I27)</f>
        <v>514944</v>
      </c>
      <c r="J28" s="48">
        <f>SUM(J24:J27)</f>
        <v>0</v>
      </c>
      <c r="K28" s="48">
        <f>SUM(K24:K27)</f>
        <v>4109405</v>
      </c>
      <c r="L28" s="48">
        <f>SUM(L24:L27)</f>
        <v>0</v>
      </c>
      <c r="P28" s="172"/>
    </row>
    <row r="30" spans="1:16" s="46" customFormat="1">
      <c r="A30" s="41" t="s">
        <v>20</v>
      </c>
      <c r="C30" s="41">
        <f>+C20-C28</f>
        <v>-39504</v>
      </c>
      <c r="D30" s="41"/>
      <c r="E30" s="41">
        <f>+E20-E28</f>
        <v>1571193</v>
      </c>
      <c r="F30" s="41"/>
      <c r="G30" s="41">
        <f>+G20-G28</f>
        <v>8046</v>
      </c>
      <c r="H30" s="41"/>
      <c r="I30" s="41">
        <f>+I20-I28</f>
        <v>452949</v>
      </c>
      <c r="J30" s="41">
        <f>+J20-J28</f>
        <v>0</v>
      </c>
      <c r="K30" s="41">
        <f>+K20-K28</f>
        <v>1992684</v>
      </c>
      <c r="L30" s="337"/>
      <c r="O30" s="46" t="s">
        <v>575</v>
      </c>
      <c r="P30" s="171"/>
    </row>
    <row r="31" spans="1:16">
      <c r="B31" s="46" t="s">
        <v>33</v>
      </c>
      <c r="C31" s="267">
        <f>C30</f>
        <v>-39504</v>
      </c>
      <c r="D31" s="267"/>
      <c r="E31" s="267">
        <f>E30</f>
        <v>1571193</v>
      </c>
      <c r="F31" s="267"/>
      <c r="G31" s="267">
        <f>G30</f>
        <v>8046</v>
      </c>
      <c r="H31" s="267"/>
      <c r="I31" s="267">
        <f>I30</f>
        <v>452949</v>
      </c>
      <c r="J31" s="267">
        <f>J30</f>
        <v>0</v>
      </c>
      <c r="K31" s="267">
        <f>K30</f>
        <v>1992684</v>
      </c>
      <c r="P31" s="169">
        <v>238228310</v>
      </c>
    </row>
    <row r="32" spans="1:16" ht="15.75" thickBot="1">
      <c r="P32" s="169">
        <v>685703896</v>
      </c>
    </row>
    <row r="33" spans="1:16" ht="15.75" thickTop="1">
      <c r="A33" s="44" t="s">
        <v>21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6">
      <c r="A34" s="46" t="s">
        <v>7</v>
      </c>
    </row>
    <row r="35" spans="1:16">
      <c r="B35" s="41" t="s">
        <v>22</v>
      </c>
      <c r="C35" s="41">
        <v>0</v>
      </c>
      <c r="E35" s="41">
        <f>188213+1976602</f>
        <v>2164815</v>
      </c>
      <c r="G35" s="41">
        <v>117433</v>
      </c>
      <c r="I35" s="41">
        <f>304052+45487+337339</f>
        <v>686878</v>
      </c>
      <c r="K35" s="41">
        <f>SUM(C35:I35)</f>
        <v>2969126</v>
      </c>
    </row>
    <row r="36" spans="1:16">
      <c r="B36" s="41" t="s">
        <v>23</v>
      </c>
      <c r="C36" s="41">
        <v>33168</v>
      </c>
      <c r="E36" s="41">
        <v>263570</v>
      </c>
      <c r="G36" s="41">
        <v>219082</v>
      </c>
      <c r="I36" s="41">
        <v>322545</v>
      </c>
      <c r="K36" s="41">
        <f>SUM(C36:I36)</f>
        <v>838365</v>
      </c>
    </row>
    <row r="37" spans="1:16">
      <c r="B37" s="41" t="s">
        <v>191</v>
      </c>
      <c r="C37" s="41">
        <f>329+639</f>
        <v>968</v>
      </c>
      <c r="E37" s="41">
        <f>129666+13099+195000+1500+14476</f>
        <v>353741</v>
      </c>
      <c r="G37" s="41">
        <f>250+13758+23367</f>
        <v>37375</v>
      </c>
      <c r="I37" s="41">
        <f>5083+18864+386356+15606</f>
        <v>425909</v>
      </c>
      <c r="K37" s="41">
        <f>SUM(C37:I37)</f>
        <v>817993</v>
      </c>
    </row>
    <row r="39" spans="1:16">
      <c r="A39" s="46" t="s">
        <v>8</v>
      </c>
    </row>
    <row r="40" spans="1:16">
      <c r="B40" s="41" t="s">
        <v>24</v>
      </c>
      <c r="C40" s="41">
        <v>9189</v>
      </c>
      <c r="E40" s="41">
        <v>566785</v>
      </c>
      <c r="G40" s="41">
        <f>362121-G24</f>
        <v>102068</v>
      </c>
      <c r="I40" s="41">
        <v>643570</v>
      </c>
      <c r="K40" s="41">
        <f>SUM(C40:I40)</f>
        <v>1321612</v>
      </c>
    </row>
    <row r="41" spans="1:16">
      <c r="B41" s="41" t="s">
        <v>25</v>
      </c>
      <c r="C41" s="41">
        <f>46203+18423-2</f>
        <v>64624</v>
      </c>
      <c r="E41" s="41">
        <v>644311</v>
      </c>
      <c r="G41" s="41">
        <f>2156+66620+195000</f>
        <v>263776</v>
      </c>
      <c r="I41" s="41">
        <f>365+259785+79979</f>
        <v>340129</v>
      </c>
      <c r="K41" s="41">
        <f>SUM(C41:I41)</f>
        <v>1312840</v>
      </c>
    </row>
    <row r="43" spans="1:16" s="46" customFormat="1">
      <c r="A43" s="46" t="s">
        <v>30</v>
      </c>
      <c r="C43" s="46">
        <f>+C35+C36+C37-C39-C40-C41</f>
        <v>-39677</v>
      </c>
      <c r="E43" s="46">
        <f>+E35+E36+E37-E39-E40-E41</f>
        <v>1571030</v>
      </c>
      <c r="G43" s="46">
        <f>+G35+G36+G37-G39-G40-G41</f>
        <v>8046</v>
      </c>
      <c r="I43" s="46">
        <f>+I35+I36+I37-I39-I40-I41</f>
        <v>451633</v>
      </c>
      <c r="J43" s="46">
        <f>+J35+J36+J37-J39-J40-J41</f>
        <v>0</v>
      </c>
      <c r="K43" s="46">
        <f>+K35+K36+K37-K39-K40-K41</f>
        <v>1991032</v>
      </c>
      <c r="L43" s="337"/>
      <c r="P43" s="171"/>
    </row>
    <row r="44" spans="1:16">
      <c r="A44" s="41" t="s">
        <v>26</v>
      </c>
      <c r="C44" s="266">
        <f>+C45+C43</f>
        <v>-39504</v>
      </c>
      <c r="D44" s="266"/>
      <c r="E44" s="266">
        <f>+E45+E43</f>
        <v>1571193</v>
      </c>
      <c r="F44" s="266"/>
      <c r="G44" s="266">
        <f>+G45+G43</f>
        <v>8046</v>
      </c>
      <c r="H44" s="266"/>
      <c r="I44" s="266">
        <f>+I45+I43</f>
        <v>452949</v>
      </c>
      <c r="J44" s="266"/>
      <c r="K44" s="41">
        <f>K31</f>
        <v>1992684</v>
      </c>
    </row>
    <row r="45" spans="1:16">
      <c r="A45" s="41" t="s">
        <v>27</v>
      </c>
      <c r="C45" s="41">
        <v>173</v>
      </c>
      <c r="E45" s="41">
        <v>163</v>
      </c>
      <c r="G45" s="41">
        <v>0</v>
      </c>
      <c r="I45" s="41">
        <v>1316</v>
      </c>
      <c r="K45" s="41">
        <f>SUM(C45:I45)</f>
        <v>1652</v>
      </c>
      <c r="M45" s="41">
        <f>K44-K43</f>
        <v>1652</v>
      </c>
    </row>
    <row r="50" spans="5:9">
      <c r="E50" s="150"/>
      <c r="G50" s="150"/>
      <c r="I50" s="150"/>
    </row>
  </sheetData>
  <mergeCells count="6">
    <mergeCell ref="K3:L3"/>
    <mergeCell ref="A1:L1"/>
    <mergeCell ref="C3:D3"/>
    <mergeCell ref="E3:F3"/>
    <mergeCell ref="G3:H3"/>
    <mergeCell ref="I3:J3"/>
  </mergeCells>
  <phoneticPr fontId="8" type="noConversion"/>
  <printOptions horizontalCentered="1" verticalCentered="1"/>
  <pageMargins left="0.78740157480314965" right="0.78740157480314965" top="0.59055118110236227" bottom="0.43307086614173229" header="0.19685039370078741" footer="0.19685039370078741"/>
  <pageSetup paperSize="9" scale="77" orientation="landscape" r:id="rId1"/>
  <headerFooter scaleWithDoc="0">
    <oddHeader>&amp;LDossier TECSAFINANCE
Annexe B3&amp;CTableau de financement
&amp;RConfidentiel</oddHeader>
    <oddFooter>&amp;L&amp;D&amp;R1/1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O49"/>
  <sheetViews>
    <sheetView showGridLines="0" zoomScaleNormal="100" zoomScaleSheetLayoutView="80" workbookViewId="0">
      <selection activeCell="A14" sqref="A14"/>
    </sheetView>
  </sheetViews>
  <sheetFormatPr baseColWidth="10" defaultRowHeight="15"/>
  <cols>
    <col min="1" max="1" width="1.85546875" style="20" customWidth="1"/>
    <col min="2" max="2" width="42.42578125" style="13" customWidth="1"/>
    <col min="3" max="6" width="12.7109375" style="13" customWidth="1"/>
    <col min="7" max="7" width="11.28515625" style="2" customWidth="1"/>
    <col min="8" max="12" width="11.42578125" style="13"/>
    <col min="13" max="13" width="21.140625" style="13" customWidth="1"/>
    <col min="14" max="14" width="15.7109375" style="13" customWidth="1"/>
    <col min="15" max="16384" width="11.42578125" style="13"/>
  </cols>
  <sheetData>
    <row r="2" spans="1:10">
      <c r="C2" s="19">
        <v>2012</v>
      </c>
      <c r="D2" s="19">
        <v>2013</v>
      </c>
      <c r="E2" s="19">
        <v>2014</v>
      </c>
      <c r="F2" s="19">
        <v>2015</v>
      </c>
      <c r="G2" s="325"/>
    </row>
    <row r="3" spans="1:10" s="19" customFormat="1" ht="15.75" thickBot="1">
      <c r="A3" s="27"/>
      <c r="C3" s="28" t="s">
        <v>90</v>
      </c>
      <c r="D3" s="29"/>
      <c r="E3" s="29"/>
      <c r="F3" s="29"/>
      <c r="G3" s="332"/>
    </row>
    <row r="4" spans="1:10" ht="15.75" thickTop="1">
      <c r="A4" s="22" t="s">
        <v>28</v>
      </c>
      <c r="B4" s="23"/>
      <c r="C4" s="23"/>
      <c r="D4" s="23"/>
      <c r="E4" s="23"/>
      <c r="F4" s="23"/>
    </row>
    <row r="5" spans="1:10">
      <c r="A5" s="20" t="s">
        <v>11</v>
      </c>
      <c r="B5" s="2"/>
      <c r="C5" s="2"/>
      <c r="D5" s="2"/>
      <c r="E5" s="2"/>
      <c r="F5" s="2"/>
    </row>
    <row r="6" spans="1:10">
      <c r="B6" s="33" t="s">
        <v>52</v>
      </c>
      <c r="C6" s="36">
        <f>'Tableau de financement 2012'!E6</f>
        <v>789785</v>
      </c>
      <c r="D6" s="36">
        <f>'SIG 2015'!$F$46</f>
        <v>89967.423999999795</v>
      </c>
      <c r="E6" s="36">
        <f>'SIG 2016'!$F$46</f>
        <v>103449.34122</v>
      </c>
      <c r="F6" s="36">
        <f>'SIG 2017'!$F$46</f>
        <v>156621.45505659987</v>
      </c>
      <c r="H6" s="13">
        <v>125629</v>
      </c>
      <c r="I6" s="13">
        <v>2014</v>
      </c>
      <c r="J6" s="13" t="s">
        <v>198</v>
      </c>
    </row>
    <row r="7" spans="1:10">
      <c r="B7" s="33"/>
      <c r="C7" s="36"/>
      <c r="D7" s="36"/>
      <c r="E7" s="36"/>
      <c r="F7" s="36"/>
      <c r="G7" s="168"/>
    </row>
    <row r="8" spans="1:10">
      <c r="A8" s="20" t="s">
        <v>6</v>
      </c>
      <c r="B8" s="33" t="s">
        <v>12</v>
      </c>
      <c r="C8" s="36">
        <f>'Tableau de financement 2012'!E8</f>
        <v>1614081</v>
      </c>
      <c r="D8" s="36">
        <f>'SIG 2015'!$F$37</f>
        <v>119121</v>
      </c>
      <c r="E8" s="36">
        <f>'SIG 2016'!$F$37</f>
        <v>129121</v>
      </c>
      <c r="F8" s="36">
        <f>'SIG 2017'!$F$37</f>
        <v>159121</v>
      </c>
      <c r="G8" s="168"/>
    </row>
    <row r="9" spans="1:10">
      <c r="A9" s="20" t="s">
        <v>6</v>
      </c>
      <c r="B9" s="33" t="s">
        <v>586</v>
      </c>
      <c r="C9" s="36">
        <f>'Tableau de financement 2012'!E9</f>
        <v>16500</v>
      </c>
      <c r="D9" s="149">
        <v>0</v>
      </c>
      <c r="E9" s="36">
        <v>0</v>
      </c>
      <c r="F9" s="36">
        <v>0</v>
      </c>
      <c r="G9" s="168"/>
    </row>
    <row r="10" spans="1:10">
      <c r="C10" s="36"/>
      <c r="D10" s="36"/>
      <c r="E10" s="36"/>
      <c r="F10" s="36"/>
      <c r="G10" s="168"/>
    </row>
    <row r="11" spans="1:10" s="20" customFormat="1">
      <c r="B11" s="20" t="s">
        <v>13</v>
      </c>
      <c r="C11" s="35">
        <f>SUM(C6:C9)</f>
        <v>2420366</v>
      </c>
      <c r="D11" s="35">
        <f>SUM(D6:D10)</f>
        <v>209088.4239999998</v>
      </c>
      <c r="E11" s="35">
        <f>SUM(E6:E10)</f>
        <v>232570.34122</v>
      </c>
      <c r="F11" s="35">
        <f>SUM(F6:F10)</f>
        <v>315742.45505659987</v>
      </c>
      <c r="G11" s="333"/>
    </row>
    <row r="12" spans="1:10">
      <c r="C12" s="36"/>
      <c r="D12" s="36"/>
      <c r="E12" s="36"/>
      <c r="F12" s="36"/>
      <c r="G12" s="168"/>
    </row>
    <row r="13" spans="1:10">
      <c r="B13" s="33" t="s">
        <v>14</v>
      </c>
      <c r="C13" s="36">
        <f>'Tableau de financement 2012'!E13</f>
        <v>876880</v>
      </c>
      <c r="D13" s="36">
        <v>0</v>
      </c>
      <c r="E13" s="36">
        <v>500000</v>
      </c>
      <c r="F13" s="36">
        <v>0</v>
      </c>
      <c r="G13" s="168"/>
    </row>
    <row r="14" spans="1:10">
      <c r="B14" s="33" t="s">
        <v>605</v>
      </c>
      <c r="C14" s="36">
        <f>'Tableau de financement 2012'!E14</f>
        <v>72848</v>
      </c>
      <c r="D14" s="36">
        <v>0</v>
      </c>
      <c r="E14" s="173">
        <v>200000</v>
      </c>
      <c r="F14" s="36">
        <v>0</v>
      </c>
      <c r="G14" s="168"/>
    </row>
    <row r="15" spans="1:10">
      <c r="B15" s="33" t="s">
        <v>591</v>
      </c>
      <c r="C15" s="36">
        <f>'Tableau de financement 2012'!E15</f>
        <v>403010</v>
      </c>
      <c r="D15" s="168">
        <v>0</v>
      </c>
      <c r="E15" s="36">
        <v>0</v>
      </c>
      <c r="F15" s="36">
        <v>0</v>
      </c>
      <c r="G15" s="168"/>
    </row>
    <row r="16" spans="1:10">
      <c r="B16" s="33" t="s">
        <v>53</v>
      </c>
      <c r="C16" s="36">
        <f>'Tableau de financement 2012'!E16</f>
        <v>220400</v>
      </c>
      <c r="D16" s="36">
        <v>0</v>
      </c>
      <c r="E16" s="36">
        <v>0</v>
      </c>
      <c r="F16" s="36">
        <v>0</v>
      </c>
      <c r="G16" s="168"/>
    </row>
    <row r="17" spans="1:8">
      <c r="B17" s="33" t="s">
        <v>54</v>
      </c>
      <c r="C17" s="36">
        <f>'Tableau de financement 2012'!E17</f>
        <v>22392</v>
      </c>
      <c r="D17" s="36">
        <v>0</v>
      </c>
      <c r="E17" s="36">
        <v>0</v>
      </c>
      <c r="F17" s="36">
        <v>0</v>
      </c>
      <c r="G17" s="168"/>
    </row>
    <row r="18" spans="1:8">
      <c r="B18" s="33" t="s">
        <v>572</v>
      </c>
      <c r="C18" s="13">
        <v>0</v>
      </c>
      <c r="D18" s="36">
        <v>0</v>
      </c>
      <c r="E18" s="36">
        <f>H6</f>
        <v>125629</v>
      </c>
      <c r="F18" s="36">
        <v>0</v>
      </c>
      <c r="G18" s="168"/>
    </row>
    <row r="19" spans="1:8">
      <c r="B19" s="33" t="s">
        <v>589</v>
      </c>
      <c r="C19" s="36">
        <f>'Tableau de financement 2012'!E18</f>
        <v>15427</v>
      </c>
      <c r="D19" s="36">
        <v>0</v>
      </c>
      <c r="E19" s="36">
        <v>0</v>
      </c>
      <c r="F19" s="36">
        <v>0</v>
      </c>
      <c r="G19" s="168"/>
    </row>
    <row r="20" spans="1:8">
      <c r="C20" s="36"/>
      <c r="D20" s="36"/>
      <c r="E20" s="36"/>
      <c r="F20" s="36"/>
      <c r="G20" s="168"/>
    </row>
    <row r="21" spans="1:8" s="21" customFormat="1">
      <c r="B21" s="21" t="s">
        <v>15</v>
      </c>
      <c r="C21" s="37">
        <f>SUM(C11:C20)</f>
        <v>4031323</v>
      </c>
      <c r="D21" s="37">
        <f>SUM(D11:D20)</f>
        <v>209088.4239999998</v>
      </c>
      <c r="E21" s="37">
        <f>SUM(E11:E20)</f>
        <v>1058199.3412200001</v>
      </c>
      <c r="F21" s="37">
        <f>SUM(F11:F20)</f>
        <v>315742.45505659987</v>
      </c>
      <c r="G21" s="334"/>
    </row>
    <row r="22" spans="1:8">
      <c r="C22" s="36"/>
      <c r="D22" s="36"/>
      <c r="E22" s="36"/>
      <c r="F22" s="36"/>
      <c r="G22" s="168"/>
    </row>
    <row r="23" spans="1:8">
      <c r="A23" s="20" t="s">
        <v>16</v>
      </c>
      <c r="C23" s="36"/>
      <c r="D23" s="36"/>
      <c r="E23" s="36"/>
      <c r="F23" s="36"/>
      <c r="G23" s="168"/>
    </row>
    <row r="24" spans="1:8">
      <c r="B24" s="33"/>
      <c r="C24" s="36"/>
      <c r="D24" s="36"/>
      <c r="E24" s="36"/>
      <c r="F24" s="36"/>
      <c r="G24" s="168"/>
    </row>
    <row r="25" spans="1:8">
      <c r="B25" s="33" t="s">
        <v>17</v>
      </c>
      <c r="C25" s="36">
        <f>'Tableau de financement 2012'!E24</f>
        <v>2460130</v>
      </c>
      <c r="D25" s="36">
        <v>0</v>
      </c>
      <c r="E25" s="36">
        <v>0</v>
      </c>
      <c r="F25" s="36">
        <v>0</v>
      </c>
      <c r="G25" s="168"/>
    </row>
    <row r="26" spans="1:8">
      <c r="B26" s="33" t="s">
        <v>18</v>
      </c>
      <c r="C26" s="36">
        <f>'Tableau de financement 2012'!E25</f>
        <v>0</v>
      </c>
      <c r="D26" s="168">
        <f>69287+56667</f>
        <v>125954</v>
      </c>
      <c r="E26" s="168">
        <f>117800+62688</f>
        <v>180488</v>
      </c>
      <c r="F26" s="168">
        <f>109100+66946</f>
        <v>176046</v>
      </c>
      <c r="H26" s="36">
        <f>SUM(D26:F26)</f>
        <v>482488</v>
      </c>
    </row>
    <row r="27" spans="1:8">
      <c r="B27" s="33" t="s">
        <v>195</v>
      </c>
      <c r="C27" s="36">
        <f>'Tableau de financement 2012'!E26</f>
        <v>0</v>
      </c>
      <c r="D27" s="168">
        <v>0</v>
      </c>
      <c r="E27" s="168">
        <f>970801/3</f>
        <v>323600.33333333331</v>
      </c>
      <c r="F27" s="168">
        <f>970801/3</f>
        <v>323600.33333333331</v>
      </c>
      <c r="G27" s="168"/>
    </row>
    <row r="28" spans="1:8">
      <c r="B28" s="33" t="s">
        <v>594</v>
      </c>
      <c r="C28" s="36">
        <f>'Tableau de financement 2012'!E27</f>
        <v>0</v>
      </c>
      <c r="D28" s="168">
        <v>0</v>
      </c>
      <c r="E28" s="174">
        <v>200000</v>
      </c>
      <c r="F28" s="168">
        <v>0</v>
      </c>
      <c r="G28" s="335"/>
    </row>
    <row r="29" spans="1:8">
      <c r="C29" s="36"/>
      <c r="D29" s="36"/>
      <c r="E29" s="36"/>
      <c r="F29" s="36"/>
      <c r="G29" s="168"/>
    </row>
    <row r="30" spans="1:8" s="21" customFormat="1">
      <c r="B30" s="21" t="s">
        <v>19</v>
      </c>
      <c r="C30" s="37">
        <f>SUM(C25:C29)</f>
        <v>2460130</v>
      </c>
      <c r="D30" s="37">
        <f>SUM(D25:D29)</f>
        <v>125954</v>
      </c>
      <c r="E30" s="37">
        <f>SUM(E25:E29)</f>
        <v>704088.33333333326</v>
      </c>
      <c r="F30" s="37">
        <f>SUM(F25:F29)</f>
        <v>499646.33333333331</v>
      </c>
      <c r="G30" s="334"/>
    </row>
    <row r="31" spans="1:8">
      <c r="C31" s="36"/>
      <c r="D31" s="36"/>
      <c r="E31" s="36"/>
      <c r="F31" s="36"/>
      <c r="G31" s="168"/>
    </row>
    <row r="32" spans="1:8" s="20" customFormat="1">
      <c r="A32" s="34" t="s">
        <v>20</v>
      </c>
      <c r="C32" s="339">
        <f>+C21-C30</f>
        <v>1571193</v>
      </c>
      <c r="D32" s="339">
        <f>+D21-D30</f>
        <v>83134.423999999795</v>
      </c>
      <c r="E32" s="339">
        <f>+E21-E30</f>
        <v>354111.0078866668</v>
      </c>
      <c r="F32" s="339">
        <f>+F21-F30</f>
        <v>-183903.87827673345</v>
      </c>
      <c r="G32" s="168"/>
    </row>
    <row r="33" spans="1:15">
      <c r="B33" s="20" t="s">
        <v>33</v>
      </c>
      <c r="C33" s="35">
        <f>'Tableau de financement 2012'!E31</f>
        <v>1571193</v>
      </c>
      <c r="D33" s="35">
        <f>+C33+D32</f>
        <v>1654327.4239999999</v>
      </c>
      <c r="E33" s="35">
        <f>+D33+E32</f>
        <v>2008438.4318866667</v>
      </c>
      <c r="F33" s="35">
        <f>+E33+F32</f>
        <v>1824534.5536099332</v>
      </c>
      <c r="G33" s="333"/>
    </row>
    <row r="34" spans="1:15" ht="15.75" thickBot="1">
      <c r="C34" s="36"/>
      <c r="D34" s="36"/>
      <c r="E34" s="36"/>
      <c r="F34" s="36"/>
      <c r="G34" s="168"/>
    </row>
    <row r="35" spans="1:15" ht="15.75" thickTop="1">
      <c r="A35" s="22" t="s">
        <v>21</v>
      </c>
      <c r="B35" s="23"/>
      <c r="C35" s="38"/>
      <c r="D35" s="38"/>
      <c r="E35" s="38"/>
      <c r="F35" s="38"/>
      <c r="G35" s="168"/>
    </row>
    <row r="36" spans="1:15">
      <c r="A36" s="20" t="s">
        <v>7</v>
      </c>
      <c r="C36" s="36"/>
      <c r="D36" s="152"/>
      <c r="E36" s="152"/>
      <c r="F36" s="152"/>
      <c r="G36" s="168"/>
      <c r="I36" s="153"/>
      <c r="J36" s="153"/>
      <c r="K36" s="153"/>
      <c r="L36" s="153" t="s">
        <v>192</v>
      </c>
      <c r="M36" s="153" t="s">
        <v>45</v>
      </c>
      <c r="N36" s="153" t="s">
        <v>36</v>
      </c>
      <c r="O36" s="2"/>
    </row>
    <row r="37" spans="1:15">
      <c r="A37" s="151">
        <f>(SUM('Tableau de financement 2012'!C35:I35)/('SIG 2014'!F4+'SIG 2014'!H4+'SIG 2014'!J4))</f>
        <v>0.53808010148604568</v>
      </c>
      <c r="B37" s="33" t="s">
        <v>22</v>
      </c>
      <c r="C37" s="36">
        <f>'Tableau de financement 2012'!E35</f>
        <v>2164815</v>
      </c>
      <c r="D37" s="36">
        <v>2000000</v>
      </c>
      <c r="E37" s="36">
        <f>D37</f>
        <v>2000000</v>
      </c>
      <c r="F37" s="36">
        <f>E37</f>
        <v>2000000</v>
      </c>
      <c r="G37" s="168"/>
      <c r="I37" s="153" t="s">
        <v>194</v>
      </c>
      <c r="J37" s="153"/>
      <c r="K37" s="153"/>
      <c r="L37" s="155">
        <v>60</v>
      </c>
      <c r="M37" s="155">
        <v>30</v>
      </c>
      <c r="N37" s="155">
        <v>45</v>
      </c>
      <c r="O37" s="2"/>
    </row>
    <row r="38" spans="1:15">
      <c r="B38" s="33" t="s">
        <v>588</v>
      </c>
      <c r="C38" s="36">
        <f>'Tableau de financement 2012'!E36</f>
        <v>263570</v>
      </c>
      <c r="D38" s="36">
        <f>('SIG 2015'!$F$11/365*$L$37)*5%</f>
        <v>19447.939726027394</v>
      </c>
      <c r="E38" s="36">
        <f>('SIG 2016'!$F$11/365*$L$37)*5%</f>
        <v>21439.15890410959</v>
      </c>
      <c r="F38" s="36">
        <f>('SIG 2017'!$F$11/365*$L$37)*5%</f>
        <v>24802.142465753426</v>
      </c>
      <c r="G38" s="168"/>
      <c r="I38" s="153" t="s">
        <v>193</v>
      </c>
      <c r="J38" s="153"/>
      <c r="K38" s="154"/>
      <c r="L38" s="2"/>
      <c r="M38" s="2">
        <v>60</v>
      </c>
      <c r="N38" s="2"/>
      <c r="O38" s="2"/>
    </row>
    <row r="39" spans="1:15">
      <c r="B39" s="33" t="s">
        <v>191</v>
      </c>
      <c r="C39" s="36">
        <f>'Tableau de financement 2012'!E37</f>
        <v>353741</v>
      </c>
      <c r="D39" s="36">
        <f>'SIG 2015'!$F$4/12*0.196</f>
        <v>26479.044666666665</v>
      </c>
      <c r="E39" s="36">
        <f>'SIG 2016'!$F$4/12*0.196</f>
        <v>31824.373</v>
      </c>
      <c r="F39" s="36">
        <f>'SIG 2017'!$F$4/12*0.196</f>
        <v>37119.035333333333</v>
      </c>
      <c r="H39" s="36"/>
    </row>
    <row r="40" spans="1:15">
      <c r="C40" s="36"/>
      <c r="D40" s="36"/>
      <c r="E40" s="36"/>
      <c r="F40" s="36"/>
      <c r="G40" s="168"/>
    </row>
    <row r="41" spans="1:15">
      <c r="A41" s="20" t="s">
        <v>8</v>
      </c>
      <c r="C41" s="36"/>
      <c r="D41" s="36"/>
      <c r="E41" s="36"/>
      <c r="F41" s="36"/>
      <c r="G41" s="168"/>
    </row>
    <row r="42" spans="1:15">
      <c r="B42" s="33" t="s">
        <v>24</v>
      </c>
      <c r="C42" s="36">
        <f>'Tableau de financement 2012'!E40</f>
        <v>566785</v>
      </c>
      <c r="D42" s="36">
        <f>('SIG 2015'!$F$13+'SIG 2015'!$F$21+'SIG 2015'!$F$22)/365*$M$38</f>
        <v>244281.52043835621</v>
      </c>
      <c r="E42" s="36">
        <f>('SIG 2016'!$F$13+'SIG 2016'!$F$21+'SIG 2016'!$F$22)/365*$M$38</f>
        <v>264244.33130630141</v>
      </c>
      <c r="F42" s="36">
        <f>('SIG 2017'!$F$13+'SIG 2017'!$F$21+'SIG 2017'!$F$22)/365*$M$38</f>
        <v>297709.41451124381</v>
      </c>
      <c r="G42" s="168"/>
      <c r="I42" s="36"/>
    </row>
    <row r="43" spans="1:15">
      <c r="B43" s="33" t="s">
        <v>25</v>
      </c>
      <c r="C43" s="36">
        <f>'Tableau de financement 2012'!E41</f>
        <v>644311</v>
      </c>
      <c r="D43" s="36">
        <f>+D42*0.196+('SIG 2015'!$F$29+'SIG 2015'!$F$30+'SIG 2015'!$F$31)/12</f>
        <v>91162.511339251156</v>
      </c>
      <c r="E43" s="36">
        <f>+E42*0.196+('SIG 2016'!$F$29+'SIG 2016'!$F$30+'SIG 2016'!$F$31)/12</f>
        <v>99275.222269368416</v>
      </c>
      <c r="F43" s="36">
        <f>+F42*0.196+('SIG 2017'!$F$29+'SIG 2017'!$F$30+'SIG 2017'!$F$31)/12</f>
        <v>112367.71191087045</v>
      </c>
      <c r="G43" s="168"/>
    </row>
    <row r="44" spans="1:15">
      <c r="C44" s="36"/>
      <c r="D44" s="36"/>
      <c r="E44" s="36"/>
      <c r="F44" s="36"/>
      <c r="G44" s="168"/>
    </row>
    <row r="45" spans="1:15" s="20" customFormat="1">
      <c r="A45" s="32" t="s">
        <v>30</v>
      </c>
      <c r="C45" s="35">
        <f>+C37+C38+C39-C41-C42-C43</f>
        <v>1571030</v>
      </c>
      <c r="D45" s="35">
        <f>+D37+D38+D39-D41-D42-D43</f>
        <v>1710482.9526150867</v>
      </c>
      <c r="E45" s="35">
        <f>+E37+E38+E39-E41-E42-E43</f>
        <v>1689743.9783284399</v>
      </c>
      <c r="F45" s="35">
        <f>+F37+F38+F39-F41-F42-F43</f>
        <v>1651844.0513769726</v>
      </c>
      <c r="G45" s="333"/>
    </row>
    <row r="46" spans="1:15">
      <c r="A46" s="13" t="s">
        <v>26</v>
      </c>
      <c r="C46" s="36">
        <f>C33</f>
        <v>1571193</v>
      </c>
      <c r="D46" s="36">
        <f>D33</f>
        <v>1654327.4239999999</v>
      </c>
      <c r="E46" s="36">
        <f>E33</f>
        <v>2008438.4318866667</v>
      </c>
      <c r="F46" s="36">
        <f>F33</f>
        <v>1824534.5536099332</v>
      </c>
      <c r="G46" s="168"/>
    </row>
    <row r="47" spans="1:15">
      <c r="A47" s="13" t="s">
        <v>27</v>
      </c>
      <c r="C47" s="36">
        <f>C46-C45</f>
        <v>163</v>
      </c>
      <c r="D47" s="36">
        <f>D46-D45</f>
        <v>-56155.528615086805</v>
      </c>
      <c r="E47" s="36">
        <f>E46-E45</f>
        <v>318694.45355822681</v>
      </c>
      <c r="F47" s="36">
        <f>F46-F45</f>
        <v>172690.50223296066</v>
      </c>
      <c r="G47" s="168"/>
    </row>
    <row r="48" spans="1:15">
      <c r="C48" s="36"/>
      <c r="D48" s="36"/>
      <c r="E48" s="36"/>
      <c r="F48" s="36"/>
      <c r="G48" s="168"/>
    </row>
    <row r="49" spans="1:7">
      <c r="A49" s="33" t="s">
        <v>595</v>
      </c>
      <c r="C49" s="33">
        <f>365*C45/'SIG 2014'!F7</f>
        <v>297.42009854771783</v>
      </c>
      <c r="D49" s="33">
        <f>365*D45/'SIG 2015'!$F$11</f>
        <v>263.85565412760837</v>
      </c>
      <c r="E49" s="33">
        <f>365*E45/'SIG 2016'!$F$11</f>
        <v>236.44733254967471</v>
      </c>
      <c r="F49" s="33">
        <f>365*F45/'SIG 2017'!$F$11</f>
        <v>199.80258402972532</v>
      </c>
      <c r="G49" s="336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scaleWithDoc="0">
    <oddHeader>&amp;LDossier TECSAFINANCE
Annexe B4&amp;CTableau de financement 
Société TECSABOIS&amp;RConfidentiel</oddHeader>
    <oddFooter>&amp;L&amp;D&amp;R1/4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O48"/>
  <sheetViews>
    <sheetView showGridLines="0" topLeftCell="A35" zoomScaleNormal="100" zoomScaleSheetLayoutView="80" workbookViewId="0">
      <selection activeCell="E56" sqref="E56"/>
    </sheetView>
  </sheetViews>
  <sheetFormatPr baseColWidth="10" defaultRowHeight="15"/>
  <cols>
    <col min="1" max="1" width="1.85546875" style="20" customWidth="1"/>
    <col min="2" max="2" width="42.42578125" style="13" customWidth="1"/>
    <col min="3" max="3" width="10.85546875" style="13" customWidth="1"/>
    <col min="4" max="4" width="12.5703125" style="13" customWidth="1"/>
    <col min="5" max="5" width="11" style="13" customWidth="1"/>
    <col min="6" max="6" width="11.7109375" style="13" customWidth="1"/>
    <col min="7" max="7" width="11.28515625" style="2" customWidth="1"/>
    <col min="8" max="12" width="11.42578125" style="13"/>
    <col min="13" max="13" width="21.140625" style="13" customWidth="1"/>
    <col min="14" max="14" width="15.7109375" style="13" customWidth="1"/>
    <col min="15" max="16384" width="11.42578125" style="13"/>
  </cols>
  <sheetData>
    <row r="2" spans="1:9">
      <c r="C2" s="19">
        <v>2012</v>
      </c>
      <c r="D2" s="19">
        <v>2013</v>
      </c>
      <c r="E2" s="19">
        <v>2014</v>
      </c>
      <c r="F2" s="19">
        <v>2015</v>
      </c>
      <c r="G2" s="325"/>
    </row>
    <row r="3" spans="1:9" s="19" customFormat="1" ht="15.75" thickBot="1">
      <c r="A3" s="27"/>
      <c r="C3" s="28" t="s">
        <v>90</v>
      </c>
      <c r="D3" s="29"/>
      <c r="E3" s="29"/>
      <c r="F3" s="29"/>
      <c r="G3" s="332"/>
    </row>
    <row r="4" spans="1:9" ht="15.75" thickTop="1">
      <c r="A4" s="22" t="s">
        <v>28</v>
      </c>
      <c r="B4" s="23"/>
      <c r="C4" s="23"/>
      <c r="D4" s="23"/>
      <c r="E4" s="23"/>
      <c r="F4" s="23"/>
    </row>
    <row r="5" spans="1:9">
      <c r="A5" s="20" t="s">
        <v>11</v>
      </c>
      <c r="B5" s="2"/>
      <c r="C5" s="2"/>
      <c r="D5" s="2"/>
      <c r="E5" s="2"/>
      <c r="F5" s="2"/>
    </row>
    <row r="6" spans="1:9">
      <c r="B6" s="33" t="s">
        <v>52</v>
      </c>
      <c r="C6" s="36">
        <f>'Tableau de financement 2012'!G6</f>
        <v>-1</v>
      </c>
      <c r="D6" s="36">
        <f>'SIG TECSABOIS Charpente'!H43</f>
        <v>-28908.760200000019</v>
      </c>
      <c r="E6" s="36">
        <f>'SIG TECSABOIS Charpente'!J43</f>
        <v>36175.556494000019</v>
      </c>
      <c r="F6" s="36">
        <f>'SIG TECSABOIS Charpente'!L43</f>
        <v>153996.06958881998</v>
      </c>
      <c r="I6" s="36"/>
    </row>
    <row r="7" spans="1:9">
      <c r="B7" s="33"/>
      <c r="C7" s="36"/>
      <c r="D7" s="36"/>
      <c r="E7" s="36"/>
      <c r="F7" s="36"/>
      <c r="G7" s="168"/>
    </row>
    <row r="8" spans="1:9">
      <c r="A8" s="20" t="s">
        <v>6</v>
      </c>
      <c r="B8" s="33" t="s">
        <v>12</v>
      </c>
      <c r="C8" s="36">
        <f>'Tableau de financement 2012'!G8</f>
        <v>0</v>
      </c>
      <c r="D8" s="36">
        <f>'SIG 2015'!$H$37</f>
        <v>38500</v>
      </c>
      <c r="E8" s="36">
        <f>'SIG 2016'!$H$37</f>
        <v>38500</v>
      </c>
      <c r="F8" s="36">
        <f>'SIG 2017'!$H$37</f>
        <v>38500</v>
      </c>
      <c r="G8" s="168"/>
    </row>
    <row r="9" spans="1:9">
      <c r="A9" s="20" t="s">
        <v>6</v>
      </c>
      <c r="B9" s="33" t="s">
        <v>586</v>
      </c>
      <c r="C9" s="36">
        <f>'Tableau de financement 2012'!G9</f>
        <v>0</v>
      </c>
      <c r="D9" s="149">
        <v>0</v>
      </c>
      <c r="E9" s="36">
        <v>0</v>
      </c>
      <c r="F9" s="36">
        <v>0</v>
      </c>
      <c r="G9" s="168"/>
    </row>
    <row r="10" spans="1:9">
      <c r="C10" s="36"/>
      <c r="D10" s="36"/>
      <c r="E10" s="36"/>
      <c r="F10" s="36"/>
      <c r="G10" s="168"/>
    </row>
    <row r="11" spans="1:9" s="20" customFormat="1">
      <c r="B11" s="20" t="s">
        <v>13</v>
      </c>
      <c r="C11" s="35">
        <f>SUM(C6:C8)</f>
        <v>-1</v>
      </c>
      <c r="D11" s="35">
        <f>SUM(D6:D10)</f>
        <v>9591.2397999999812</v>
      </c>
      <c r="E11" s="35">
        <f>SUM(E6:E10)</f>
        <v>74675.556494000019</v>
      </c>
      <c r="F11" s="35">
        <f>SUM(F6:F10)</f>
        <v>192496.06958881998</v>
      </c>
      <c r="G11" s="333"/>
    </row>
    <row r="12" spans="1:9">
      <c r="C12" s="36"/>
      <c r="D12" s="36"/>
      <c r="E12" s="36"/>
      <c r="F12" s="36"/>
      <c r="G12" s="168"/>
    </row>
    <row r="13" spans="1:9">
      <c r="B13" s="33" t="s">
        <v>14</v>
      </c>
      <c r="C13" s="36">
        <f>'Tableau de financement 2012'!G13</f>
        <v>2000</v>
      </c>
      <c r="D13" s="36">
        <v>100000</v>
      </c>
      <c r="E13" s="36">
        <v>0</v>
      </c>
      <c r="F13" s="36">
        <v>0</v>
      </c>
      <c r="G13" s="168"/>
    </row>
    <row r="14" spans="1:9">
      <c r="B14" s="33" t="s">
        <v>31</v>
      </c>
      <c r="C14" s="36">
        <f>'Tableau de financement 2012'!G14</f>
        <v>6043</v>
      </c>
      <c r="D14" s="36">
        <v>60000</v>
      </c>
      <c r="E14" s="36">
        <v>0</v>
      </c>
      <c r="F14" s="36">
        <v>0</v>
      </c>
      <c r="G14" s="168"/>
    </row>
    <row r="15" spans="1:9">
      <c r="B15" s="33" t="s">
        <v>591</v>
      </c>
      <c r="C15" s="36">
        <f>'Tableau de financement 2012'!G15</f>
        <v>4</v>
      </c>
      <c r="D15" s="36">
        <v>0</v>
      </c>
      <c r="E15" s="36">
        <v>0</v>
      </c>
      <c r="F15" s="36">
        <f>Investissements!C18</f>
        <v>50000</v>
      </c>
      <c r="G15" s="168"/>
    </row>
    <row r="16" spans="1:9">
      <c r="B16" s="33" t="s">
        <v>53</v>
      </c>
      <c r="C16" s="36">
        <f>'Tableau de financement 2012'!G16</f>
        <v>260053</v>
      </c>
      <c r="D16" s="36">
        <v>0</v>
      </c>
      <c r="E16" s="36">
        <v>0</v>
      </c>
      <c r="F16" s="36">
        <v>0</v>
      </c>
      <c r="G16" s="168"/>
    </row>
    <row r="17" spans="1:14">
      <c r="B17" s="33" t="s">
        <v>54</v>
      </c>
      <c r="C17" s="36">
        <f>'Tableau de financement 2012'!G17</f>
        <v>0</v>
      </c>
      <c r="D17" s="36">
        <v>0</v>
      </c>
      <c r="E17" s="36">
        <v>0</v>
      </c>
      <c r="F17" s="36">
        <v>0</v>
      </c>
      <c r="G17" s="168"/>
    </row>
    <row r="18" spans="1:14">
      <c r="B18" s="33" t="s">
        <v>589</v>
      </c>
      <c r="C18" s="36">
        <f>'Tableau de financement 2012'!G18</f>
        <v>0</v>
      </c>
      <c r="D18" s="36">
        <v>0</v>
      </c>
      <c r="E18" s="36">
        <v>0</v>
      </c>
      <c r="F18" s="36">
        <v>0</v>
      </c>
      <c r="G18" s="168"/>
    </row>
    <row r="19" spans="1:14">
      <c r="C19" s="36"/>
      <c r="D19" s="36"/>
      <c r="E19" s="36"/>
      <c r="F19" s="36"/>
      <c r="G19" s="168"/>
    </row>
    <row r="20" spans="1:14" s="21" customFormat="1">
      <c r="B20" s="21" t="s">
        <v>15</v>
      </c>
      <c r="C20" s="37">
        <f>SUM(C11:C19)</f>
        <v>268099</v>
      </c>
      <c r="D20" s="37">
        <f>SUM(D11:D19)</f>
        <v>169591.23979999998</v>
      </c>
      <c r="E20" s="37">
        <f>SUM(E11:E19)</f>
        <v>74675.556494000019</v>
      </c>
      <c r="F20" s="37">
        <f>SUM(F11:F19)</f>
        <v>242496.06958881998</v>
      </c>
      <c r="G20" s="334"/>
    </row>
    <row r="21" spans="1:14">
      <c r="C21" s="36"/>
      <c r="D21" s="36"/>
      <c r="E21" s="36"/>
      <c r="F21" s="36"/>
      <c r="G21" s="168"/>
    </row>
    <row r="22" spans="1:14">
      <c r="A22" s="20" t="s">
        <v>16</v>
      </c>
      <c r="C22" s="36"/>
      <c r="D22" s="36"/>
      <c r="E22" s="36"/>
      <c r="F22" s="36"/>
      <c r="G22" s="168"/>
    </row>
    <row r="23" spans="1:14">
      <c r="B23" s="33"/>
      <c r="C23" s="36"/>
      <c r="D23" s="36"/>
      <c r="E23" s="36"/>
      <c r="F23" s="36"/>
      <c r="G23" s="168"/>
    </row>
    <row r="24" spans="1:14">
      <c r="B24" s="33" t="s">
        <v>17</v>
      </c>
      <c r="C24" s="36">
        <f>'Tableau de financement 2012'!G24</f>
        <v>260053</v>
      </c>
      <c r="D24" s="36">
        <v>0</v>
      </c>
      <c r="E24" s="36">
        <f>E15</f>
        <v>0</v>
      </c>
      <c r="F24" s="36">
        <f>F15</f>
        <v>50000</v>
      </c>
      <c r="G24" s="168"/>
    </row>
    <row r="25" spans="1:14">
      <c r="B25" s="33" t="s">
        <v>18</v>
      </c>
      <c r="C25" s="36">
        <f>'Tableau de financement 2012'!G25</f>
        <v>0</v>
      </c>
      <c r="D25" s="36">
        <v>65000</v>
      </c>
      <c r="E25" s="36">
        <f>D25+64168</f>
        <v>129168</v>
      </c>
      <c r="F25" s="36">
        <f>D25+96259+'Prêt CD TB 50000'!E9</f>
        <v>166713.82</v>
      </c>
      <c r="G25" s="168"/>
    </row>
    <row r="26" spans="1:14">
      <c r="B26" s="33" t="s">
        <v>195</v>
      </c>
      <c r="C26" s="36">
        <f>'Tableau de financement 2012'!G26</f>
        <v>0</v>
      </c>
      <c r="D26" s="36">
        <v>28800</v>
      </c>
      <c r="E26" s="36">
        <v>36758</v>
      </c>
      <c r="F26" s="36">
        <v>0</v>
      </c>
      <c r="G26" s="168"/>
    </row>
    <row r="27" spans="1:14">
      <c r="B27" s="33"/>
      <c r="C27" s="36"/>
      <c r="E27" s="36"/>
      <c r="F27" s="36"/>
      <c r="G27" s="335"/>
    </row>
    <row r="28" spans="1:14">
      <c r="C28" s="36"/>
      <c r="D28" s="36"/>
      <c r="E28" s="36"/>
      <c r="F28" s="36"/>
      <c r="G28" s="168"/>
      <c r="I28" s="153"/>
      <c r="J28" s="153"/>
      <c r="K28" s="153"/>
      <c r="L28" s="153" t="s">
        <v>192</v>
      </c>
      <c r="M28" s="153" t="s">
        <v>45</v>
      </c>
      <c r="N28" s="153" t="s">
        <v>36</v>
      </c>
    </row>
    <row r="29" spans="1:14" s="21" customFormat="1">
      <c r="B29" s="21" t="s">
        <v>19</v>
      </c>
      <c r="C29" s="37">
        <f>SUM(C24:C28)</f>
        <v>260053</v>
      </c>
      <c r="D29" s="37">
        <f>SUM(D24:D28)</f>
        <v>93800</v>
      </c>
      <c r="E29" s="37">
        <f>SUM(E24:E28)</f>
        <v>165926</v>
      </c>
      <c r="F29" s="37">
        <f>SUM(F24:F28)</f>
        <v>216713.82</v>
      </c>
      <c r="G29" s="334"/>
      <c r="I29" s="153" t="s">
        <v>194</v>
      </c>
      <c r="J29" s="153"/>
      <c r="K29" s="153"/>
      <c r="L29" s="155">
        <v>60</v>
      </c>
      <c r="M29" s="155">
        <v>30</v>
      </c>
      <c r="N29" s="155">
        <v>45</v>
      </c>
    </row>
    <row r="30" spans="1:14">
      <c r="C30" s="36"/>
      <c r="D30" s="36"/>
      <c r="E30" s="36"/>
      <c r="F30" s="36"/>
      <c r="G30" s="168"/>
      <c r="I30" s="153"/>
      <c r="J30" s="153"/>
      <c r="K30" s="154"/>
      <c r="L30" s="2"/>
      <c r="M30" s="2"/>
      <c r="N30" s="2"/>
    </row>
    <row r="31" spans="1:14" s="20" customFormat="1">
      <c r="A31" s="34" t="s">
        <v>20</v>
      </c>
      <c r="C31" s="339">
        <f>+C20-C29</f>
        <v>8046</v>
      </c>
      <c r="D31" s="339">
        <f>+D20-D29</f>
        <v>75791.239799999981</v>
      </c>
      <c r="E31" s="339">
        <f>+E20-E29</f>
        <v>-91250.443505999981</v>
      </c>
      <c r="F31" s="339">
        <f>+F20-F29</f>
        <v>25782.249588819977</v>
      </c>
      <c r="G31" s="168"/>
      <c r="I31" s="153"/>
      <c r="J31" s="153"/>
      <c r="K31" s="154"/>
      <c r="L31" s="2"/>
      <c r="M31" s="2"/>
      <c r="N31" s="2"/>
    </row>
    <row r="32" spans="1:14">
      <c r="B32" s="20" t="s">
        <v>33</v>
      </c>
      <c r="C32" s="35">
        <f>'Tableau de financement 2012'!G31</f>
        <v>8046</v>
      </c>
      <c r="D32" s="35">
        <f>+C32+D31</f>
        <v>83837.239799999981</v>
      </c>
      <c r="E32" s="35">
        <f>+D32+E31</f>
        <v>-7413.2037060000002</v>
      </c>
      <c r="F32" s="35">
        <f>+E32+F31</f>
        <v>18369.045882819977</v>
      </c>
      <c r="G32" s="333"/>
      <c r="I32" s="153" t="s">
        <v>193</v>
      </c>
      <c r="J32" s="153"/>
      <c r="K32" s="154"/>
      <c r="L32" s="2"/>
      <c r="M32" s="2">
        <v>70</v>
      </c>
      <c r="N32" s="2"/>
    </row>
    <row r="33" spans="1:15" ht="15.75" thickBot="1">
      <c r="C33" s="36"/>
      <c r="D33" s="36"/>
      <c r="E33" s="36"/>
      <c r="F33" s="36"/>
      <c r="G33" s="168"/>
      <c r="L33" s="13">
        <v>2014</v>
      </c>
      <c r="M33" s="13">
        <v>70</v>
      </c>
    </row>
    <row r="34" spans="1:15" ht="15.75" thickTop="1">
      <c r="A34" s="22" t="s">
        <v>21</v>
      </c>
      <c r="B34" s="23"/>
      <c r="C34" s="38"/>
      <c r="D34" s="38"/>
      <c r="E34" s="38"/>
      <c r="F34" s="38"/>
      <c r="G34" s="168"/>
      <c r="L34" s="13">
        <v>2015</v>
      </c>
      <c r="M34" s="13">
        <v>60</v>
      </c>
    </row>
    <row r="35" spans="1:15">
      <c r="A35" s="20" t="s">
        <v>7</v>
      </c>
      <c r="C35" s="36"/>
      <c r="D35" s="152"/>
      <c r="E35" s="152"/>
      <c r="F35" s="152"/>
      <c r="G35" s="168"/>
      <c r="O35" s="2"/>
    </row>
    <row r="36" spans="1:15">
      <c r="A36" s="151"/>
      <c r="B36" s="33" t="s">
        <v>199</v>
      </c>
      <c r="C36" s="36">
        <f>'Tableau de financement 2012'!G35</f>
        <v>117433</v>
      </c>
      <c r="D36" s="36">
        <v>100000</v>
      </c>
      <c r="E36" s="36">
        <f>D36*(1+'CA T Charpente'!T16)</f>
        <v>131111.11111111112</v>
      </c>
      <c r="F36" s="36">
        <f>E36*(1+'CA T Charpente'!X16)</f>
        <v>161079.36507936512</v>
      </c>
      <c r="G36" s="168"/>
      <c r="O36" s="2"/>
    </row>
    <row r="37" spans="1:15">
      <c r="B37" s="33" t="s">
        <v>573</v>
      </c>
      <c r="C37" s="36">
        <f>'Tableau de financement 2012'!G36</f>
        <v>219082</v>
      </c>
      <c r="D37" s="36">
        <f>('SIG 2015'!$H$4/365*$M$29)*5%</f>
        <v>3821.9178082191779</v>
      </c>
      <c r="E37" s="36">
        <f>('SIG 2016'!$H$4/365*$M$29)*5%</f>
        <v>5547.9452054794529</v>
      </c>
      <c r="F37" s="36">
        <f>('SIG 2017'!$H$4/365*$M$29)*5%</f>
        <v>7191.7808219178087</v>
      </c>
      <c r="G37" s="168"/>
      <c r="O37" s="2"/>
    </row>
    <row r="38" spans="1:15">
      <c r="B38" s="33" t="s">
        <v>191</v>
      </c>
      <c r="C38" s="36">
        <f>'Tableau de financement 2012'!G37</f>
        <v>37375</v>
      </c>
      <c r="D38" s="36">
        <f>'SIG 2015'!$H$4/12*0.196</f>
        <v>15190</v>
      </c>
      <c r="E38" s="36">
        <f>'SIG 2016'!$H$4/12*0.196</f>
        <v>22050</v>
      </c>
      <c r="F38" s="36">
        <f>'SIG 2017'!$H$4/12*0.196</f>
        <v>28583.333333333336</v>
      </c>
      <c r="H38" s="36"/>
    </row>
    <row r="39" spans="1:15">
      <c r="C39" s="36"/>
      <c r="D39" s="36"/>
      <c r="E39" s="36"/>
      <c r="F39" s="36"/>
      <c r="G39" s="168"/>
    </row>
    <row r="40" spans="1:15">
      <c r="A40" s="20" t="s">
        <v>8</v>
      </c>
      <c r="C40" s="36"/>
      <c r="D40" s="36"/>
      <c r="E40" s="36"/>
      <c r="F40" s="36"/>
      <c r="G40" s="168"/>
    </row>
    <row r="41" spans="1:15">
      <c r="B41" s="33" t="s">
        <v>24</v>
      </c>
      <c r="C41" s="36">
        <f>'Tableau de financement 2012'!G40</f>
        <v>102068</v>
      </c>
      <c r="D41" s="36">
        <f>('SIG 2015'!$H$13+'SIG 2015'!$H$21+'SIG 2015'!$H$22)/365*$M$32</f>
        <v>56942.623873972603</v>
      </c>
      <c r="E41" s="36">
        <f>('SIG 2016'!$H$13+'SIG 2016'!$H$21+'SIG 2016'!$H$22)/365*$M$33</f>
        <v>106371.14916553424</v>
      </c>
      <c r="F41" s="36">
        <f>('SIG 2017'!$H$13+'SIG 2017'!$H$21+'SIG 2017'!$H$22)/365*$M$34</f>
        <v>105714.91239635836</v>
      </c>
      <c r="G41" s="168"/>
      <c r="I41" s="36"/>
    </row>
    <row r="42" spans="1:15">
      <c r="B42" s="33" t="s">
        <v>25</v>
      </c>
      <c r="C42" s="36">
        <f>'Tableau de financement 2012'!G41</f>
        <v>263776</v>
      </c>
      <c r="D42" s="36">
        <f>+D41*0.196+('SIG 2015'!$H$29+'SIG 2015'!$H$30+'SIG 2015'!$H$31)/12</f>
        <v>40128.504279298635</v>
      </c>
      <c r="E42" s="36">
        <f>+E41*0.196+('SIG 2016'!$H$29+'SIG 2016'!$H$30+'SIG 2016'!$H$31)/12</f>
        <v>63164.211903111383</v>
      </c>
      <c r="F42" s="36">
        <f>+F41*0.196+('SIG 2017'!$H$29+'SIG 2017'!$H$30+'SIG 2017'!$H$31)/12</f>
        <v>69918.922829686227</v>
      </c>
      <c r="G42" s="168"/>
    </row>
    <row r="43" spans="1:15">
      <c r="C43" s="36"/>
      <c r="D43" s="36"/>
      <c r="E43" s="36"/>
      <c r="F43" s="36"/>
      <c r="G43" s="168"/>
    </row>
    <row r="44" spans="1:15" s="20" customFormat="1">
      <c r="A44" s="32" t="s">
        <v>30</v>
      </c>
      <c r="C44" s="35">
        <f>+C36+C37+C38-C40-C41-C42</f>
        <v>8046</v>
      </c>
      <c r="D44" s="35">
        <f>+D36+D37+D38-D40-D41-D42</f>
        <v>21940.789654947941</v>
      </c>
      <c r="E44" s="35">
        <f>+E36+E37+E38-E40-E41-E42</f>
        <v>-10826.304752055046</v>
      </c>
      <c r="F44" s="35">
        <f>+F36+F37+F38-F40-F41-F42</f>
        <v>21220.644008571689</v>
      </c>
      <c r="G44" s="333"/>
    </row>
    <row r="45" spans="1:15">
      <c r="A45" s="13" t="s">
        <v>26</v>
      </c>
      <c r="C45" s="36">
        <f>C32</f>
        <v>8046</v>
      </c>
      <c r="D45" s="36">
        <f>D32</f>
        <v>83837.239799999981</v>
      </c>
      <c r="E45" s="36">
        <f>E32</f>
        <v>-7413.2037060000002</v>
      </c>
      <c r="F45" s="36">
        <f>F32</f>
        <v>18369.045882819977</v>
      </c>
      <c r="G45" s="168"/>
    </row>
    <row r="46" spans="1:15">
      <c r="A46" s="13" t="s">
        <v>27</v>
      </c>
      <c r="C46" s="36">
        <f>C45-C44</f>
        <v>0</v>
      </c>
      <c r="D46" s="36">
        <f>D45-D44</f>
        <v>61896.45014505204</v>
      </c>
      <c r="E46" s="36">
        <f>E45-E44</f>
        <v>3413.101046055046</v>
      </c>
      <c r="F46" s="36">
        <f>F45-F44</f>
        <v>-2851.5981257517124</v>
      </c>
      <c r="G46" s="168"/>
    </row>
    <row r="47" spans="1:15">
      <c r="C47" s="36"/>
      <c r="D47" s="36"/>
      <c r="E47" s="36"/>
      <c r="F47" s="36"/>
      <c r="G47" s="168"/>
    </row>
    <row r="48" spans="1:15">
      <c r="A48" s="33" t="s">
        <v>595</v>
      </c>
      <c r="C48" s="33">
        <f>365*C44/'SIG 2014'!H7</f>
        <v>4.4496818181818183</v>
      </c>
      <c r="D48" s="33">
        <f>365*D44/'SIG 2015'!H11</f>
        <v>8.6111701333935464</v>
      </c>
      <c r="E48" s="33">
        <f>365*E44/'SIG 2016'!H11</f>
        <v>-2.9271120255556236</v>
      </c>
      <c r="F48" s="33">
        <f>365*F44/'SIG 2017'!H11</f>
        <v>4.426020036073524</v>
      </c>
      <c r="G48" s="336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scaleWithDoc="0">
    <oddHeader>&amp;LDossier TECSAFINANCE
Annexe B4&amp;CTableau de financement 
Société TECSABOIS CHARPENTE&amp;RConfidentiel</oddHeader>
    <oddFooter>&amp;L&amp;D&amp;R2/4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O49"/>
  <sheetViews>
    <sheetView showGridLines="0" zoomScaleNormal="100" zoomScaleSheetLayoutView="80" workbookViewId="0">
      <selection activeCell="B14" sqref="B14"/>
    </sheetView>
  </sheetViews>
  <sheetFormatPr baseColWidth="10" defaultRowHeight="15"/>
  <cols>
    <col min="1" max="1" width="1.85546875" style="20" customWidth="1"/>
    <col min="2" max="2" width="42.42578125" style="13" customWidth="1"/>
    <col min="3" max="3" width="10.85546875" style="13" customWidth="1"/>
    <col min="4" max="4" width="12.5703125" style="13" customWidth="1"/>
    <col min="5" max="5" width="11" style="13" customWidth="1"/>
    <col min="6" max="6" width="11.7109375" style="13" customWidth="1"/>
    <col min="7" max="7" width="11.28515625" style="2" customWidth="1"/>
    <col min="8" max="12" width="11.42578125" style="13"/>
    <col min="13" max="13" width="21.140625" style="13" customWidth="1"/>
    <col min="14" max="14" width="15.7109375" style="13" customWidth="1"/>
    <col min="15" max="16384" width="11.42578125" style="13"/>
  </cols>
  <sheetData>
    <row r="2" spans="1:9">
      <c r="C2" s="19">
        <v>2012</v>
      </c>
      <c r="D2" s="19">
        <v>2013</v>
      </c>
      <c r="E2" s="19">
        <v>2014</v>
      </c>
      <c r="F2" s="19">
        <v>2015</v>
      </c>
      <c r="G2" s="325"/>
    </row>
    <row r="3" spans="1:9" s="19" customFormat="1" ht="15.75" thickBot="1">
      <c r="A3" s="27"/>
      <c r="C3" s="28" t="s">
        <v>90</v>
      </c>
      <c r="D3" s="29"/>
      <c r="E3" s="29"/>
      <c r="F3" s="29"/>
      <c r="G3" s="332"/>
    </row>
    <row r="4" spans="1:9" ht="15.75" thickTop="1">
      <c r="A4" s="22" t="s">
        <v>28</v>
      </c>
      <c r="B4" s="23"/>
      <c r="C4" s="23"/>
      <c r="D4" s="23"/>
      <c r="E4" s="23"/>
      <c r="F4" s="23"/>
    </row>
    <row r="5" spans="1:9">
      <c r="A5" s="20" t="s">
        <v>11</v>
      </c>
      <c r="B5" s="2"/>
      <c r="C5" s="2"/>
      <c r="D5" s="2"/>
      <c r="E5" s="2"/>
      <c r="F5" s="2"/>
    </row>
    <row r="6" spans="1:9">
      <c r="B6" s="33" t="s">
        <v>197</v>
      </c>
      <c r="C6" s="36">
        <f>'Tableau de financement 2012'!I6</f>
        <v>39772</v>
      </c>
      <c r="D6" s="36">
        <f>'SIG CHENE DECORS'!H44</f>
        <v>34122.01399999985</v>
      </c>
      <c r="E6" s="36">
        <f>'SIG CHENE DECORS'!J44</f>
        <v>149267.18706999999</v>
      </c>
      <c r="F6" s="36">
        <f>'SIG CHENE DECORS'!L44</f>
        <v>177051.2851923001</v>
      </c>
      <c r="I6" s="36"/>
    </row>
    <row r="7" spans="1:9">
      <c r="B7" s="33"/>
      <c r="C7" s="36">
        <f>'Tableau de financement 2012'!I7</f>
        <v>0</v>
      </c>
      <c r="D7" s="36"/>
      <c r="E7" s="36"/>
      <c r="F7" s="36"/>
      <c r="G7" s="168"/>
    </row>
    <row r="8" spans="1:9">
      <c r="A8" s="20" t="s">
        <v>6</v>
      </c>
      <c r="B8" s="33" t="s">
        <v>12</v>
      </c>
      <c r="C8" s="36">
        <f>'Tableau de financement 2012'!I8</f>
        <v>397125</v>
      </c>
      <c r="D8" s="36">
        <f>'SIG 2015'!$J$37</f>
        <v>20100</v>
      </c>
      <c r="E8" s="36">
        <f>'SIG 2016'!$J$37</f>
        <v>29000</v>
      </c>
      <c r="F8" s="36">
        <f>'SIG 2017'!$J$37</f>
        <v>40000</v>
      </c>
      <c r="G8" s="168"/>
    </row>
    <row r="9" spans="1:9">
      <c r="A9" s="20" t="s">
        <v>6</v>
      </c>
      <c r="B9" s="33" t="s">
        <v>586</v>
      </c>
      <c r="C9" s="36">
        <f>'Tableau de financement 2012'!I9</f>
        <v>0</v>
      </c>
      <c r="D9" s="149">
        <v>0</v>
      </c>
      <c r="E9" s="36">
        <v>0</v>
      </c>
      <c r="F9" s="36">
        <v>0</v>
      </c>
      <c r="G9" s="168"/>
    </row>
    <row r="10" spans="1:9">
      <c r="C10" s="36"/>
      <c r="D10" s="36"/>
      <c r="E10" s="36"/>
      <c r="F10" s="36"/>
      <c r="G10" s="168"/>
    </row>
    <row r="11" spans="1:9" s="20" customFormat="1">
      <c r="B11" s="20" t="s">
        <v>13</v>
      </c>
      <c r="C11" s="35">
        <f>SUM(C6:C10)</f>
        <v>436897</v>
      </c>
      <c r="D11" s="35">
        <f>SUM(D6:D10)</f>
        <v>54222.01399999985</v>
      </c>
      <c r="E11" s="35">
        <f>SUM(E6:E10)</f>
        <v>178267.18706999999</v>
      </c>
      <c r="F11" s="35">
        <f>SUM(F6:F10)</f>
        <v>217051.2851923001</v>
      </c>
      <c r="G11" s="333"/>
    </row>
    <row r="12" spans="1:9">
      <c r="C12" s="36"/>
      <c r="D12" s="36"/>
      <c r="E12" s="36"/>
      <c r="F12" s="36"/>
      <c r="G12" s="168"/>
    </row>
    <row r="13" spans="1:9">
      <c r="B13" s="33" t="s">
        <v>14</v>
      </c>
      <c r="C13" s="36">
        <f>'Tableau de financement 2012'!I13</f>
        <v>275000</v>
      </c>
      <c r="D13" s="36">
        <v>0</v>
      </c>
      <c r="E13" s="36">
        <v>0</v>
      </c>
      <c r="F13" s="36">
        <v>0</v>
      </c>
      <c r="G13" s="168"/>
    </row>
    <row r="14" spans="1:9">
      <c r="B14" s="33" t="s">
        <v>31</v>
      </c>
      <c r="C14" s="36">
        <f>'Tableau de financement 2012'!I14</f>
        <v>0</v>
      </c>
      <c r="D14" s="36">
        <v>0</v>
      </c>
      <c r="E14" s="36">
        <v>0</v>
      </c>
      <c r="F14" s="36">
        <v>0</v>
      </c>
      <c r="G14" s="168"/>
    </row>
    <row r="15" spans="1:9">
      <c r="B15" s="33" t="s">
        <v>591</v>
      </c>
      <c r="C15" s="36">
        <f>'Tableau de financement 2012'!I15</f>
        <v>255996</v>
      </c>
      <c r="D15" s="36">
        <v>0</v>
      </c>
      <c r="E15" s="36">
        <v>135000</v>
      </c>
      <c r="F15" s="36">
        <f>Investissements!C13</f>
        <v>50000</v>
      </c>
      <c r="G15" s="168"/>
    </row>
    <row r="16" spans="1:9">
      <c r="B16" s="33" t="s">
        <v>53</v>
      </c>
      <c r="C16" s="36">
        <f>'Tableau de financement 2012'!I16</f>
        <v>0</v>
      </c>
      <c r="D16" s="36">
        <v>0</v>
      </c>
      <c r="E16" s="36">
        <v>0</v>
      </c>
      <c r="F16" s="36">
        <v>0</v>
      </c>
      <c r="G16" s="168"/>
    </row>
    <row r="17" spans="1:14">
      <c r="B17" s="33" t="s">
        <v>54</v>
      </c>
      <c r="C17" s="36">
        <f>'Tableau de financement 2012'!I17</f>
        <v>0</v>
      </c>
      <c r="D17" s="36">
        <v>0</v>
      </c>
      <c r="E17" s="36">
        <v>0</v>
      </c>
      <c r="F17" s="36">
        <v>0</v>
      </c>
      <c r="G17" s="168"/>
    </row>
    <row r="18" spans="1:14">
      <c r="B18" s="33" t="s">
        <v>589</v>
      </c>
      <c r="C18" s="36">
        <f>'Tableau de financement 2012'!I18</f>
        <v>0</v>
      </c>
      <c r="D18" s="36">
        <v>0</v>
      </c>
      <c r="E18" s="36">
        <v>0</v>
      </c>
      <c r="F18" s="36">
        <v>0</v>
      </c>
      <c r="G18" s="168"/>
    </row>
    <row r="19" spans="1:14">
      <c r="C19" s="36"/>
      <c r="D19" s="36"/>
      <c r="E19" s="36"/>
      <c r="F19" s="36"/>
      <c r="G19" s="168"/>
    </row>
    <row r="20" spans="1:14" s="21" customFormat="1">
      <c r="B20" s="21" t="s">
        <v>15</v>
      </c>
      <c r="C20" s="37">
        <f>SUM(C11:C19)</f>
        <v>967893</v>
      </c>
      <c r="D20" s="37">
        <f>SUM(D11:D19)</f>
        <v>54222.01399999985</v>
      </c>
      <c r="E20" s="37">
        <f>SUM(E11:E19)</f>
        <v>313267.18706999999</v>
      </c>
      <c r="F20" s="37">
        <f>SUM(F11:F19)</f>
        <v>267051.2851923001</v>
      </c>
      <c r="G20" s="334"/>
    </row>
    <row r="21" spans="1:14">
      <c r="C21" s="36"/>
      <c r="D21" s="36"/>
      <c r="E21" s="36"/>
      <c r="F21" s="36"/>
      <c r="G21" s="168"/>
    </row>
    <row r="22" spans="1:14">
      <c r="A22" s="20" t="s">
        <v>16</v>
      </c>
      <c r="C22" s="36"/>
      <c r="D22" s="36"/>
      <c r="E22" s="36"/>
      <c r="F22" s="36"/>
      <c r="G22" s="168"/>
    </row>
    <row r="23" spans="1:14">
      <c r="B23" s="33"/>
      <c r="C23" s="36"/>
      <c r="D23" s="36"/>
      <c r="E23" s="36"/>
      <c r="F23" s="36"/>
      <c r="G23" s="168"/>
    </row>
    <row r="24" spans="1:14">
      <c r="B24" s="33" t="s">
        <v>17</v>
      </c>
      <c r="C24" s="36">
        <f>'Tableau de financement 2012'!I24</f>
        <v>514944</v>
      </c>
      <c r="D24" s="36">
        <v>0</v>
      </c>
      <c r="E24" s="36">
        <f>+Investissements!C11+Investissements!C12</f>
        <v>135000</v>
      </c>
      <c r="F24" s="36">
        <f>F15</f>
        <v>50000</v>
      </c>
      <c r="G24" s="168"/>
    </row>
    <row r="25" spans="1:14">
      <c r="B25" s="33" t="s">
        <v>196</v>
      </c>
      <c r="C25" s="36">
        <f>'Tableau de financement 2012'!I25</f>
        <v>0</v>
      </c>
      <c r="D25" s="36">
        <f>154943-D27</f>
        <v>53546</v>
      </c>
      <c r="E25" s="36">
        <f>56834+'Prêt CD 135000'!E9</f>
        <v>69442.2</v>
      </c>
      <c r="F25" s="36">
        <f>43740+'Prêt CD 135000'!E21+'Prêt CD TB 50000'!E9</f>
        <v>72865.239999999991</v>
      </c>
      <c r="G25" s="168"/>
    </row>
    <row r="26" spans="1:14">
      <c r="B26" s="33" t="s">
        <v>195</v>
      </c>
      <c r="C26" s="36">
        <f>'Tableau de financement 2012'!I26</f>
        <v>0</v>
      </c>
      <c r="D26" s="36">
        <v>88000</v>
      </c>
      <c r="E26" s="36">
        <v>108119</v>
      </c>
      <c r="F26" s="36"/>
      <c r="G26" s="168"/>
    </row>
    <row r="27" spans="1:14">
      <c r="B27" s="33" t="s">
        <v>571</v>
      </c>
      <c r="C27" s="36">
        <f>'Tableau de financement 2012'!I27</f>
        <v>0</v>
      </c>
      <c r="D27" s="36">
        <v>101397</v>
      </c>
      <c r="E27" s="36">
        <v>0</v>
      </c>
      <c r="F27" s="36">
        <v>0</v>
      </c>
      <c r="G27" s="335"/>
    </row>
    <row r="28" spans="1:14">
      <c r="B28" s="33"/>
      <c r="C28" s="36"/>
      <c r="E28" s="36"/>
      <c r="F28" s="36"/>
      <c r="G28" s="335"/>
    </row>
    <row r="29" spans="1:14">
      <c r="C29" s="36"/>
      <c r="D29" s="36"/>
      <c r="E29" s="36"/>
      <c r="F29" s="36"/>
      <c r="G29" s="168"/>
      <c r="I29" s="153"/>
      <c r="J29" s="153"/>
      <c r="K29" s="153"/>
      <c r="L29" s="153" t="s">
        <v>192</v>
      </c>
      <c r="M29" s="153" t="s">
        <v>45</v>
      </c>
      <c r="N29" s="153" t="s">
        <v>36</v>
      </c>
    </row>
    <row r="30" spans="1:14" s="21" customFormat="1">
      <c r="B30" s="21" t="s">
        <v>19</v>
      </c>
      <c r="C30" s="37">
        <f>SUM(C24:C29)</f>
        <v>514944</v>
      </c>
      <c r="D30" s="37">
        <f>SUM(D24:D29)</f>
        <v>242943</v>
      </c>
      <c r="E30" s="37">
        <f>SUM(E24:E29)</f>
        <v>312561.2</v>
      </c>
      <c r="F30" s="37">
        <f>SUM(F24:F29)</f>
        <v>122865.23999999999</v>
      </c>
      <c r="G30" s="334"/>
      <c r="I30" s="153" t="s">
        <v>194</v>
      </c>
      <c r="J30" s="153"/>
      <c r="K30" s="153"/>
      <c r="L30" s="153">
        <v>60</v>
      </c>
      <c r="M30" s="153">
        <v>30</v>
      </c>
      <c r="N30" s="153">
        <v>45</v>
      </c>
    </row>
    <row r="31" spans="1:14">
      <c r="C31" s="36"/>
      <c r="D31" s="36"/>
      <c r="E31" s="36"/>
      <c r="F31" s="36"/>
      <c r="G31" s="168"/>
      <c r="I31" s="153" t="s">
        <v>193</v>
      </c>
      <c r="J31" s="153"/>
      <c r="K31" s="153"/>
      <c r="L31" s="153"/>
      <c r="M31" s="153">
        <v>90</v>
      </c>
      <c r="N31" s="153"/>
    </row>
    <row r="32" spans="1:14" s="20" customFormat="1">
      <c r="A32" s="34" t="s">
        <v>20</v>
      </c>
      <c r="C32" s="339">
        <f>+C20-C30</f>
        <v>452949</v>
      </c>
      <c r="D32" s="339">
        <f>+D20-D30</f>
        <v>-188720.98600000015</v>
      </c>
      <c r="E32" s="339">
        <f>+E20-E30</f>
        <v>705.98706999997376</v>
      </c>
      <c r="F32" s="339">
        <f>+F20-F30</f>
        <v>144186.04519230011</v>
      </c>
      <c r="G32" s="168"/>
      <c r="I32" s="2"/>
      <c r="J32" s="2"/>
      <c r="K32" s="2"/>
      <c r="L32" s="2">
        <v>2014</v>
      </c>
      <c r="M32" s="2">
        <v>75</v>
      </c>
      <c r="N32" s="2"/>
    </row>
    <row r="33" spans="1:15">
      <c r="B33" s="20" t="s">
        <v>33</v>
      </c>
      <c r="C33" s="35">
        <f>'Tableau de financement 2012'!I31</f>
        <v>452949</v>
      </c>
      <c r="D33" s="35">
        <f>+C33+D32</f>
        <v>264228.01399999985</v>
      </c>
      <c r="E33" s="35">
        <f>+D33+E32</f>
        <v>264934.00106999982</v>
      </c>
      <c r="F33" s="35">
        <f>+E33+F32</f>
        <v>409120.04626229993</v>
      </c>
      <c r="G33" s="333"/>
      <c r="I33" s="2"/>
      <c r="J33" s="2"/>
      <c r="K33" s="2"/>
      <c r="L33" s="2">
        <v>2015</v>
      </c>
      <c r="M33" s="2">
        <v>60</v>
      </c>
      <c r="N33" s="2"/>
    </row>
    <row r="34" spans="1:15" ht="15.75" thickBot="1">
      <c r="C34" s="36"/>
      <c r="D34" s="36"/>
      <c r="E34" s="36"/>
      <c r="F34" s="36"/>
      <c r="G34" s="168"/>
    </row>
    <row r="35" spans="1:15" ht="15.75" thickTop="1">
      <c r="A35" s="22" t="s">
        <v>21</v>
      </c>
      <c r="B35" s="23"/>
      <c r="C35" s="38"/>
      <c r="D35" s="38"/>
      <c r="E35" s="38"/>
      <c r="F35" s="38"/>
      <c r="G35" s="168"/>
    </row>
    <row r="36" spans="1:15">
      <c r="A36" s="20" t="s">
        <v>7</v>
      </c>
      <c r="C36" s="36"/>
      <c r="D36" s="152"/>
      <c r="E36" s="152"/>
      <c r="F36" s="152"/>
      <c r="G36" s="168"/>
      <c r="O36" s="2"/>
    </row>
    <row r="37" spans="1:15">
      <c r="A37" s="151"/>
      <c r="B37" s="33" t="s">
        <v>199</v>
      </c>
      <c r="C37" s="36">
        <f>'Tableau de financement 2012'!I35</f>
        <v>686878</v>
      </c>
      <c r="D37" s="36">
        <v>650000</v>
      </c>
      <c r="E37" s="36">
        <f>(D37-100000)*(1+'CA CHÊNE DECORS'!R32)</f>
        <v>659283.38762214989</v>
      </c>
      <c r="F37" s="36">
        <f>(E37-20000)*(1+'CA CHÊNE DECORS'!V32)</f>
        <v>754274.70044465584</v>
      </c>
      <c r="G37" s="168"/>
      <c r="O37" s="2"/>
    </row>
    <row r="38" spans="1:15">
      <c r="B38" s="33" t="s">
        <v>574</v>
      </c>
      <c r="C38" s="36">
        <f>'Tableau de financement 2012'!I36</f>
        <v>322545</v>
      </c>
      <c r="D38" s="36">
        <f>'SIG 2015'!J4/365*N30*5%</f>
        <v>22746.575342465756</v>
      </c>
      <c r="E38" s="36">
        <f>'SIG 2016'!J4/365*N30*5%</f>
        <v>28386.986301369867</v>
      </c>
      <c r="F38" s="36">
        <f>'SIG 2017'!J4/365*N30*5%</f>
        <v>31160.958904109593</v>
      </c>
      <c r="G38" s="168"/>
      <c r="O38" s="2"/>
    </row>
    <row r="39" spans="1:15">
      <c r="B39" s="33" t="s">
        <v>191</v>
      </c>
      <c r="C39" s="36">
        <f>'Tableau de financement 2012'!I37</f>
        <v>425909</v>
      </c>
      <c r="D39" s="36">
        <f>'SIG 2015'!J4/12*0.196</f>
        <v>60270</v>
      </c>
      <c r="E39" s="36">
        <f>'SIG 2016'!$J$4/12*0.196</f>
        <v>75215</v>
      </c>
      <c r="F39" s="36">
        <f>'SIG 2017'!$J$4/12*0.196</f>
        <v>82565</v>
      </c>
      <c r="H39" s="36"/>
    </row>
    <row r="40" spans="1:15">
      <c r="C40" s="36"/>
      <c r="D40" s="36"/>
      <c r="E40" s="36"/>
      <c r="F40" s="36"/>
      <c r="G40" s="168"/>
    </row>
    <row r="41" spans="1:15">
      <c r="A41" s="20" t="s">
        <v>8</v>
      </c>
      <c r="C41" s="36"/>
      <c r="D41" s="36"/>
      <c r="E41" s="36"/>
      <c r="F41" s="36"/>
      <c r="G41" s="168"/>
    </row>
    <row r="42" spans="1:15">
      <c r="B42" s="33" t="s">
        <v>24</v>
      </c>
      <c r="C42" s="36">
        <f>'Tableau de financement 2012'!I40</f>
        <v>643570</v>
      </c>
      <c r="D42" s="36">
        <f>('SIG 2015'!$J$13+'SIG 2015'!$J$21+'SIG 2015'!$J$22)/365*$M$31</f>
        <v>455830.27841095894</v>
      </c>
      <c r="E42" s="36">
        <f>('SIG 2016'!$J$13+'SIG 2016'!$J$21+'SIG 2016'!$J$22)/365*$M$32</f>
        <v>478784.47738150688</v>
      </c>
      <c r="F42" s="36">
        <f>('SIG 2017'!$J$13+'SIG 2017'!$J$21+'SIG 2017'!$J$22)/365*$M$33</f>
        <v>417644.17229715618</v>
      </c>
      <c r="G42" s="168"/>
      <c r="I42" s="36"/>
    </row>
    <row r="43" spans="1:15">
      <c r="B43" s="33" t="s">
        <v>25</v>
      </c>
      <c r="C43" s="36">
        <f>'Tableau de financement 2012'!I41</f>
        <v>340129</v>
      </c>
      <c r="D43" s="36">
        <f>+D42*0.196+SUM('SIG 2015'!$H$29:$H$31)/12</f>
        <v>118310.48456854795</v>
      </c>
      <c r="E43" s="36">
        <f>+E42*0.196+SUM('SIG 2016'!$H$29:$H$31)/12</f>
        <v>136157.22423344202</v>
      </c>
      <c r="F43" s="36">
        <f>+F42*0.196+SUM('SIG 2017'!$H$29:$H$31)/12</f>
        <v>131057.05777024262</v>
      </c>
      <c r="G43" s="168"/>
    </row>
    <row r="44" spans="1:15">
      <c r="C44" s="36"/>
      <c r="D44" s="36"/>
      <c r="E44" s="36"/>
      <c r="F44" s="36"/>
      <c r="G44" s="168"/>
    </row>
    <row r="45" spans="1:15" s="20" customFormat="1">
      <c r="A45" s="32" t="s">
        <v>30</v>
      </c>
      <c r="C45" s="35">
        <f>+C37+C38+C39-C41-C42-C43</f>
        <v>451633</v>
      </c>
      <c r="D45" s="35">
        <f>+D37+D38+D39-D41-D42-D43</f>
        <v>158875.81236295888</v>
      </c>
      <c r="E45" s="35">
        <f>+E37+E38+E39-E41-E42-E43</f>
        <v>147943.67230857085</v>
      </c>
      <c r="F45" s="35">
        <f>+F37+F38+F39-F41-F42-F43</f>
        <v>319299.42928136658</v>
      </c>
      <c r="G45" s="333"/>
    </row>
    <row r="46" spans="1:15">
      <c r="A46" s="13" t="s">
        <v>26</v>
      </c>
      <c r="C46" s="36">
        <f>C33</f>
        <v>452949</v>
      </c>
      <c r="D46" s="36">
        <f>D33</f>
        <v>264228.01399999985</v>
      </c>
      <c r="E46" s="36">
        <f>E33</f>
        <v>264934.00106999982</v>
      </c>
      <c r="F46" s="36">
        <f>F33</f>
        <v>409120.04626229993</v>
      </c>
      <c r="G46" s="168"/>
    </row>
    <row r="47" spans="1:15">
      <c r="A47" s="13" t="s">
        <v>27</v>
      </c>
      <c r="C47" s="36">
        <f>C46-C45</f>
        <v>1316</v>
      </c>
      <c r="D47" s="36">
        <f>D46-D45</f>
        <v>105352.20163704097</v>
      </c>
      <c r="E47" s="36">
        <f>E46-E45</f>
        <v>116990.32876142897</v>
      </c>
      <c r="F47" s="36">
        <f>F46-F45</f>
        <v>89820.616980933351</v>
      </c>
      <c r="G47" s="168"/>
    </row>
    <row r="48" spans="1:15">
      <c r="C48" s="36"/>
      <c r="D48" s="36"/>
      <c r="E48" s="36"/>
      <c r="F48" s="36"/>
      <c r="G48" s="168"/>
    </row>
    <row r="49" spans="1:7">
      <c r="A49" s="33" t="s">
        <v>595</v>
      </c>
      <c r="C49" s="33">
        <f>365*C45/'SIG 2014'!J7</f>
        <v>56.261448805460752</v>
      </c>
      <c r="D49" s="33">
        <f>365*D45/'SIG 2015'!J11</f>
        <v>15.715358133463413</v>
      </c>
      <c r="E49" s="33">
        <f>365*E45/'SIG 2016'!J11</f>
        <v>11.726262843133195</v>
      </c>
      <c r="F49" s="33">
        <f>365*F45/'SIG 2017'!J11</f>
        <v>23.055250581147142</v>
      </c>
      <c r="G49" s="336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scaleWithDoc="0">
    <oddHeader>&amp;LDossier TECSAFINANCE
Annexe B4&amp;CTableau de financement 
Société CHÊNE DECORS&amp;RConfidentiel</oddHeader>
    <oddFooter>&amp;L&amp;D&amp;R3/4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Q51"/>
  <sheetViews>
    <sheetView showGridLines="0" zoomScaleNormal="100" zoomScaleSheetLayoutView="80" workbookViewId="0">
      <selection activeCell="B14" sqref="B14"/>
    </sheetView>
  </sheetViews>
  <sheetFormatPr baseColWidth="10" defaultRowHeight="15"/>
  <cols>
    <col min="1" max="1" width="1.85546875" style="20" customWidth="1"/>
    <col min="2" max="2" width="43.7109375" style="13" customWidth="1"/>
    <col min="3" max="3" width="11.7109375" style="13" customWidth="1"/>
    <col min="4" max="4" width="12.5703125" style="13" customWidth="1"/>
    <col min="5" max="5" width="11" style="13" customWidth="1"/>
    <col min="6" max="6" width="11.7109375" style="13" customWidth="1"/>
    <col min="7" max="7" width="11.28515625" style="2" customWidth="1"/>
    <col min="8" max="9" width="11.42578125" style="13"/>
    <col min="10" max="11" width="15.5703125" style="13" customWidth="1"/>
    <col min="12" max="14" width="11.42578125" style="13"/>
    <col min="15" max="15" width="21.140625" style="13" customWidth="1"/>
    <col min="16" max="16" width="15.7109375" style="13" customWidth="1"/>
    <col min="17" max="16384" width="11.42578125" style="13"/>
  </cols>
  <sheetData>
    <row r="2" spans="1:16">
      <c r="C2" s="19">
        <v>2012</v>
      </c>
      <c r="D2" s="19">
        <v>2013</v>
      </c>
      <c r="E2" s="19">
        <v>2014</v>
      </c>
      <c r="F2" s="19">
        <v>2015</v>
      </c>
      <c r="G2" s="325"/>
    </row>
    <row r="3" spans="1:16" s="19" customFormat="1" ht="15.75" thickBot="1">
      <c r="A3" s="27"/>
      <c r="C3" s="28" t="s">
        <v>90</v>
      </c>
      <c r="D3" s="29"/>
      <c r="E3" s="29"/>
      <c r="F3" s="29"/>
      <c r="G3" s="332"/>
    </row>
    <row r="4" spans="1:16" ht="15.75" thickTop="1">
      <c r="A4" s="22" t="s">
        <v>28</v>
      </c>
      <c r="B4" s="23"/>
      <c r="C4" s="23"/>
      <c r="D4" s="23"/>
      <c r="E4" s="23"/>
      <c r="F4" s="23"/>
    </row>
    <row r="5" spans="1:16">
      <c r="A5" s="20" t="s">
        <v>11</v>
      </c>
      <c r="B5" s="2"/>
      <c r="C5" s="2"/>
      <c r="D5" s="2"/>
      <c r="E5" s="2"/>
      <c r="F5" s="2"/>
    </row>
    <row r="6" spans="1:16">
      <c r="B6" s="33" t="s">
        <v>197</v>
      </c>
      <c r="C6" s="36">
        <f>'Tableau de financement 2012'!K6</f>
        <v>954546</v>
      </c>
      <c r="D6" s="36">
        <f>'SIG GROUPE'!D37</f>
        <v>137030.65379999965</v>
      </c>
      <c r="E6" s="36">
        <f>'SIG GROUPE'!F37</f>
        <v>458954.85006399971</v>
      </c>
      <c r="F6" s="36">
        <f>'SIG GROUPE'!H37</f>
        <v>710498.78307612007</v>
      </c>
      <c r="I6" s="36"/>
    </row>
    <row r="7" spans="1:16">
      <c r="B7" s="33"/>
      <c r="C7" s="36"/>
      <c r="D7" s="36"/>
      <c r="E7" s="36"/>
      <c r="F7" s="36"/>
      <c r="G7" s="168"/>
    </row>
    <row r="8" spans="1:16">
      <c r="A8" s="20" t="s">
        <v>6</v>
      </c>
      <c r="B8" s="33" t="s">
        <v>12</v>
      </c>
      <c r="C8" s="36">
        <f>'Tableau de financement 2012'!K8</f>
        <v>2011217</v>
      </c>
      <c r="D8" s="36">
        <f>+'SIG GROUPE'!D28</f>
        <v>177721</v>
      </c>
      <c r="E8" s="36">
        <f>+'SIG GROUPE'!F28</f>
        <v>196621</v>
      </c>
      <c r="F8" s="36">
        <f>+'SIG GROUPE'!H28</f>
        <v>237621</v>
      </c>
      <c r="G8" s="168"/>
    </row>
    <row r="9" spans="1:16">
      <c r="A9" s="20" t="s">
        <v>6</v>
      </c>
      <c r="B9" s="33" t="s">
        <v>55</v>
      </c>
      <c r="C9" s="36">
        <f>'Tableau de financement 2012'!K9</f>
        <v>16500</v>
      </c>
      <c r="D9" s="149">
        <v>0</v>
      </c>
      <c r="E9" s="36">
        <v>0</v>
      </c>
      <c r="F9" s="36">
        <v>0</v>
      </c>
      <c r="G9" s="168"/>
    </row>
    <row r="10" spans="1:16">
      <c r="C10" s="36"/>
      <c r="D10" s="36"/>
      <c r="E10" s="36"/>
      <c r="F10" s="36"/>
      <c r="G10" s="168"/>
    </row>
    <row r="11" spans="1:16" s="20" customFormat="1">
      <c r="B11" s="20" t="s">
        <v>13</v>
      </c>
      <c r="C11" s="35">
        <f>SUM(C6:C9)</f>
        <v>2982263</v>
      </c>
      <c r="D11" s="35">
        <f>SUM(D6:D9)</f>
        <v>314751.65379999962</v>
      </c>
      <c r="E11" s="35">
        <f>SUM(E6:E9)</f>
        <v>655575.85006399965</v>
      </c>
      <c r="F11" s="35">
        <f>SUM(F6:F9)</f>
        <v>948119.78307612007</v>
      </c>
      <c r="G11" s="333"/>
      <c r="K11" s="20" t="s">
        <v>566</v>
      </c>
      <c r="L11" s="20" t="s">
        <v>557</v>
      </c>
    </row>
    <row r="12" spans="1:16">
      <c r="C12" s="36"/>
      <c r="D12" s="36"/>
      <c r="E12" s="36"/>
      <c r="F12" s="36"/>
      <c r="G12" s="168"/>
      <c r="J12" s="13" t="s">
        <v>556</v>
      </c>
      <c r="K12" s="13">
        <v>41791</v>
      </c>
      <c r="L12" s="13">
        <v>150</v>
      </c>
      <c r="M12" s="13">
        <v>300</v>
      </c>
      <c r="O12" s="13" t="s">
        <v>558</v>
      </c>
      <c r="P12" s="13" t="s">
        <v>559</v>
      </c>
    </row>
    <row r="13" spans="1:16">
      <c r="B13" s="33" t="s">
        <v>14</v>
      </c>
      <c r="C13" s="36">
        <f>'Tableau de financement 2012'!K13</f>
        <v>1219880</v>
      </c>
      <c r="D13" s="36">
        <f>'Tab de fin 2013 TB'!D13+'Tab de fin 2013 TBC'!D13+'Tab de fin 2013 CD'!D13</f>
        <v>100000</v>
      </c>
      <c r="E13" s="36">
        <f>'Tab de fin 2013 TB'!E13+'Tab de fin 2013 TBC'!E13+'Tab de fin 2013 CD'!E13</f>
        <v>500000</v>
      </c>
      <c r="F13" s="36">
        <f>'Tab de fin 2013 TB'!F13+'Tab de fin 2013 TBC'!F13+'Tab de fin 2013 CD'!F13</f>
        <v>0</v>
      </c>
      <c r="G13" s="168"/>
      <c r="J13" s="163" t="s">
        <v>560</v>
      </c>
      <c r="K13" s="163"/>
    </row>
    <row r="14" spans="1:16">
      <c r="B14" s="33" t="s">
        <v>31</v>
      </c>
      <c r="C14" s="36">
        <f>'Tableau de financement 2012'!K14</f>
        <v>160479</v>
      </c>
      <c r="D14" s="36">
        <f>'Tab de fin 2013 TB'!D14+'Tab de fin 2013 TBC'!D14+'Tab de fin 2013 CD'!D14</f>
        <v>60000</v>
      </c>
      <c r="E14" s="36">
        <f>'Tab de fin 2013 TB'!E14+'Tab de fin 2013 TBC'!E14+'Tab de fin 2013 CD'!E14</f>
        <v>200000</v>
      </c>
      <c r="F14" s="36">
        <f>'Tab de fin 2013 TB'!F14+'Tab de fin 2013 TBC'!F14+'Tab de fin 2013 CD'!F14</f>
        <v>0</v>
      </c>
      <c r="G14" s="168"/>
      <c r="H14" s="13">
        <f>D13+D14+E14</f>
        <v>360000</v>
      </c>
      <c r="J14" s="164" t="s">
        <v>561</v>
      </c>
      <c r="K14" s="164" t="s">
        <v>567</v>
      </c>
      <c r="L14" s="165">
        <v>900</v>
      </c>
      <c r="M14" s="13">
        <f>L14</f>
        <v>900</v>
      </c>
    </row>
    <row r="15" spans="1:16">
      <c r="B15" s="33" t="s">
        <v>591</v>
      </c>
      <c r="C15" s="36">
        <f>'Tableau de financement 2012'!K15</f>
        <v>779029</v>
      </c>
      <c r="D15" s="36">
        <f>'Tab de fin 2013 TB'!D15+'Tab de fin 2013 TBC'!D15+'Tab de fin 2013 CD'!D15</f>
        <v>0</v>
      </c>
      <c r="E15" s="36">
        <f>'Tab de fin 2013 TB'!E15+'Tab de fin 2013 TBC'!E15+'Tab de fin 2013 CD'!E15</f>
        <v>135000</v>
      </c>
      <c r="F15" s="36">
        <f>'Tab de fin 2013 TB'!F15+'Tab de fin 2013 TBC'!F15+'Tab de fin 2013 CD'!F15</f>
        <v>100000</v>
      </c>
      <c r="G15" s="168"/>
      <c r="J15" s="164" t="s">
        <v>562</v>
      </c>
      <c r="K15" s="164"/>
      <c r="L15" s="166">
        <v>500</v>
      </c>
      <c r="M15" s="13">
        <f>L15</f>
        <v>500</v>
      </c>
    </row>
    <row r="16" spans="1:16">
      <c r="B16" s="33" t="s">
        <v>53</v>
      </c>
      <c r="C16" s="36">
        <f>'Tableau de financement 2012'!K16</f>
        <v>922619</v>
      </c>
      <c r="D16" s="36">
        <f>'Tab de fin 2013 TB'!D16+'Tab de fin 2013 TBC'!D16+'Tab de fin 2013 CD'!D16</f>
        <v>0</v>
      </c>
      <c r="E16" s="36">
        <f>'Tab de fin 2013 TB'!E16+'Tab de fin 2013 TBC'!E16+'Tab de fin 2013 CD'!E16</f>
        <v>0</v>
      </c>
      <c r="F16" s="36">
        <v>0</v>
      </c>
      <c r="G16" s="168"/>
      <c r="J16" s="13" t="s">
        <v>563</v>
      </c>
      <c r="L16" s="165">
        <v>350</v>
      </c>
      <c r="M16" s="165">
        <v>500</v>
      </c>
      <c r="N16" s="165"/>
    </row>
    <row r="17" spans="1:14">
      <c r="B17" s="33" t="s">
        <v>54</v>
      </c>
      <c r="C17" s="36">
        <f>'Tableau de financement 2012'!K17</f>
        <v>22392</v>
      </c>
      <c r="D17" s="36">
        <f>'Tab de fin 2013 TB'!D17+'Tab de fin 2013 TBC'!D17+'Tab de fin 2013 CD'!D17</f>
        <v>0</v>
      </c>
      <c r="E17" s="36">
        <f>'Tab de fin 2013 TB'!E17+'Tab de fin 2013 TBC'!E17+'Tab de fin 2013 CD'!E17</f>
        <v>0</v>
      </c>
      <c r="F17" s="36">
        <v>0</v>
      </c>
      <c r="G17" s="168"/>
      <c r="J17" s="167" t="s">
        <v>564</v>
      </c>
      <c r="K17" s="167"/>
    </row>
    <row r="18" spans="1:14">
      <c r="B18" s="33" t="s">
        <v>572</v>
      </c>
      <c r="C18" s="36">
        <v>0</v>
      </c>
      <c r="D18" s="36">
        <f>'Tab de fin 2013 TB'!D18+'Tab de fin 2013 TBC'!D18+'Tab de fin 2013 CD'!D18</f>
        <v>0</v>
      </c>
      <c r="E18" s="36">
        <f>'Tab de fin 2013 TB'!E18+'Tab de fin 2013 TBC'!E18+'Tab de fin 2013 CD'!E18</f>
        <v>125629</v>
      </c>
      <c r="F18" s="36">
        <v>0</v>
      </c>
      <c r="G18" s="168"/>
      <c r="J18" s="167"/>
      <c r="K18" s="167"/>
    </row>
    <row r="19" spans="1:14">
      <c r="B19" s="33" t="s">
        <v>589</v>
      </c>
      <c r="C19" s="36">
        <f>'Tableau de financement 2012'!K18</f>
        <v>15427</v>
      </c>
      <c r="D19" s="36">
        <f>'Tab de fin 2013 TB'!D18+'Tab de fin 2013 TBC'!D18+'Tab de fin 2013 CD'!D18</f>
        <v>0</v>
      </c>
      <c r="E19" s="36">
        <f>'Tab de fin 2013 TB'!E19+'Tab de fin 2013 TBC'!E19+'Tab de fin 2013 CD'!E19</f>
        <v>0</v>
      </c>
      <c r="F19" s="36">
        <v>0</v>
      </c>
      <c r="G19" s="168"/>
      <c r="J19" s="163" t="s">
        <v>565</v>
      </c>
      <c r="K19" s="163"/>
    </row>
    <row r="20" spans="1:14">
      <c r="C20" s="36"/>
      <c r="D20" s="36"/>
      <c r="E20" s="36"/>
      <c r="F20" s="36"/>
      <c r="G20" s="168"/>
      <c r="J20" s="163" t="s">
        <v>568</v>
      </c>
      <c r="L20" s="13">
        <v>150</v>
      </c>
      <c r="M20" s="13">
        <v>300</v>
      </c>
    </row>
    <row r="21" spans="1:14" s="21" customFormat="1">
      <c r="B21" s="21" t="s">
        <v>15</v>
      </c>
      <c r="C21" s="37">
        <f>SUM(C11:C20)</f>
        <v>6102089</v>
      </c>
      <c r="D21" s="37">
        <f>SUM(D11:D20)</f>
        <v>474751.65379999962</v>
      </c>
      <c r="E21" s="37">
        <f>SUM(E11:E20)</f>
        <v>1616204.8500639996</v>
      </c>
      <c r="F21" s="37">
        <f>SUM(F11:F20)</f>
        <v>1048119.7830761201</v>
      </c>
      <c r="G21" s="334"/>
      <c r="J21" s="13" t="s">
        <v>569</v>
      </c>
      <c r="K21" s="13"/>
      <c r="L21" s="13">
        <v>100</v>
      </c>
      <c r="M21" s="13">
        <v>200</v>
      </c>
      <c r="N21" s="21" t="s">
        <v>570</v>
      </c>
    </row>
    <row r="22" spans="1:14">
      <c r="C22" s="36"/>
      <c r="D22" s="36"/>
      <c r="E22" s="36"/>
      <c r="F22" s="36"/>
      <c r="G22" s="168"/>
      <c r="L22" s="13">
        <f>SUM(L12:L19)</f>
        <v>1900</v>
      </c>
      <c r="M22" s="13">
        <f>SUM(M12:M19)</f>
        <v>2200</v>
      </c>
    </row>
    <row r="23" spans="1:14">
      <c r="A23" s="20" t="s">
        <v>16</v>
      </c>
      <c r="C23" s="36"/>
      <c r="D23" s="36"/>
      <c r="E23" s="36"/>
      <c r="F23" s="36"/>
      <c r="G23" s="168"/>
    </row>
    <row r="24" spans="1:14">
      <c r="B24" s="33"/>
      <c r="C24" s="36"/>
      <c r="D24" s="36"/>
      <c r="E24" s="36"/>
      <c r="F24" s="36"/>
      <c r="G24" s="168"/>
    </row>
    <row r="25" spans="1:14">
      <c r="B25" s="33" t="s">
        <v>17</v>
      </c>
      <c r="C25" s="36">
        <f>'Tableau de financement 2012'!K24</f>
        <v>4109405</v>
      </c>
      <c r="D25" s="36">
        <f>'Tab de fin 2013 TB'!D25+'Tab de fin 2013 TBC'!D24+'Tab de fin 2013 CD'!D24</f>
        <v>0</v>
      </c>
      <c r="E25" s="36">
        <f>'Tab de fin 2013 TB'!E25+'Tab de fin 2013 TBC'!E24+'Tab de fin 2013 CD'!E24</f>
        <v>135000</v>
      </c>
      <c r="F25" s="36">
        <f>'Tab de fin 2013 TB'!F25+'Tab de fin 2013 TBC'!F24+'Tab de fin 2013 CD'!F24</f>
        <v>100000</v>
      </c>
      <c r="G25" s="168"/>
    </row>
    <row r="26" spans="1:14">
      <c r="B26" s="33" t="s">
        <v>196</v>
      </c>
      <c r="C26" s="36">
        <f>'Tableau de financement 2012'!K25</f>
        <v>0</v>
      </c>
      <c r="D26" s="36">
        <f>'Tab de fin 2013 TB'!D26+'Tab de fin 2013 TBC'!D25+'Tab de fin 2013 CD'!D25</f>
        <v>244500</v>
      </c>
      <c r="E26" s="36">
        <f>'Tab de fin 2013 TB'!E26+'Tab de fin 2013 TBC'!E25+'Tab de fin 2013 CD'!E25</f>
        <v>379098.2</v>
      </c>
      <c r="F26" s="36">
        <f>'Tab de fin 2013 TB'!F26+'Tab de fin 2013 TBC'!F25+'Tab de fin 2013 CD'!F25</f>
        <v>415625.06</v>
      </c>
      <c r="G26" s="168"/>
    </row>
    <row r="27" spans="1:14">
      <c r="B27" s="33" t="s">
        <v>555</v>
      </c>
      <c r="C27" s="36">
        <f>'Tableau de financement 2012'!K26</f>
        <v>0</v>
      </c>
      <c r="D27" s="36">
        <f>'Tab de fin 2013 TB'!D27+'Tab de fin 2013 TBC'!D26+'Tab de fin 2013 CD'!D26</f>
        <v>116800</v>
      </c>
      <c r="E27" s="36">
        <f>'Tab de fin 2013 TB'!E27+'Tab de fin 2013 TBC'!E26+'Tab de fin 2013 CD'!E26</f>
        <v>468477.33333333331</v>
      </c>
      <c r="F27" s="36">
        <f>'Tab de fin 2013 TB'!F27+'Tab de fin 2013 TBC'!F26+'Tab de fin 2013 CD'!F26</f>
        <v>323600.33333333331</v>
      </c>
      <c r="G27" s="168"/>
    </row>
    <row r="28" spans="1:14">
      <c r="B28" s="33" t="s">
        <v>593</v>
      </c>
      <c r="C28" s="36">
        <v>0</v>
      </c>
      <c r="D28" s="36">
        <v>0</v>
      </c>
      <c r="E28" s="36">
        <f>'Tab de fin 2013 TB'!E28+'Tab de fin 2013 TBC'!E27+'Tab de fin 2013 CD'!E27</f>
        <v>200000</v>
      </c>
      <c r="F28" s="36">
        <v>0</v>
      </c>
      <c r="G28" s="168"/>
    </row>
    <row r="29" spans="1:14">
      <c r="B29" s="33" t="s">
        <v>590</v>
      </c>
      <c r="C29" s="36">
        <f>'Tableau de financement 2012'!K27</f>
        <v>0</v>
      </c>
      <c r="D29" s="36">
        <f>'Tab de fin 2013 TB'!D28+'Tab de fin 2013 TBC'!D27+'Tab de fin 2013 CD'!D27</f>
        <v>101397</v>
      </c>
      <c r="E29" s="13">
        <v>0</v>
      </c>
      <c r="F29" s="36">
        <f>'Tab de fin 2013 TB'!F28+'Tab de fin 2013 TBC'!F27+'Tab de fin 2013 CD'!F27</f>
        <v>0</v>
      </c>
      <c r="G29" s="335"/>
    </row>
    <row r="30" spans="1:14">
      <c r="B30" s="33"/>
      <c r="C30" s="36"/>
      <c r="E30" s="36"/>
      <c r="F30" s="36"/>
      <c r="G30" s="335"/>
    </row>
    <row r="31" spans="1:14">
      <c r="C31" s="36"/>
      <c r="D31" s="36"/>
      <c r="E31" s="36"/>
      <c r="F31" s="36"/>
      <c r="G31" s="168"/>
    </row>
    <row r="32" spans="1:14" s="21" customFormat="1">
      <c r="B32" s="21" t="s">
        <v>19</v>
      </c>
      <c r="C32" s="37">
        <f>SUM(C25:C31)</f>
        <v>4109405</v>
      </c>
      <c r="D32" s="37">
        <f>SUM(D25:D31)</f>
        <v>462697</v>
      </c>
      <c r="E32" s="37">
        <f>SUM(E25:E31)</f>
        <v>1182575.5333333332</v>
      </c>
      <c r="F32" s="37">
        <f>SUM(F25:F31)</f>
        <v>839225.39333333331</v>
      </c>
      <c r="G32" s="334"/>
    </row>
    <row r="33" spans="1:17">
      <c r="C33" s="36"/>
      <c r="D33" s="36"/>
      <c r="E33" s="36"/>
      <c r="F33" s="36"/>
      <c r="G33" s="168"/>
    </row>
    <row r="34" spans="1:17" s="20" customFormat="1">
      <c r="A34" s="34" t="s">
        <v>20</v>
      </c>
      <c r="C34" s="339">
        <f>+C21-C32</f>
        <v>1992684</v>
      </c>
      <c r="D34" s="339">
        <f>+D21-D32</f>
        <v>12054.653799999622</v>
      </c>
      <c r="E34" s="339">
        <f>+E21-E32</f>
        <v>433629.31673066644</v>
      </c>
      <c r="F34" s="339">
        <f>+F21-F32</f>
        <v>208894.38974278676</v>
      </c>
      <c r="G34" s="168"/>
    </row>
    <row r="35" spans="1:17">
      <c r="B35" s="20" t="s">
        <v>33</v>
      </c>
      <c r="C35" s="35">
        <f>+'Tableau de financement 2012'!K31</f>
        <v>1992684</v>
      </c>
      <c r="D35" s="35">
        <f>+C35+D34</f>
        <v>2004738.6537999995</v>
      </c>
      <c r="E35" s="35">
        <f>+D35+E34</f>
        <v>2438367.9705306659</v>
      </c>
      <c r="F35" s="35">
        <f>+E35+F34</f>
        <v>2647262.3602734525</v>
      </c>
      <c r="G35" s="333"/>
    </row>
    <row r="36" spans="1:17" ht="15.75" thickBot="1">
      <c r="C36" s="36"/>
      <c r="D36" s="36"/>
      <c r="E36" s="36"/>
      <c r="F36" s="36"/>
      <c r="G36" s="168"/>
    </row>
    <row r="37" spans="1:17" ht="15.75" thickTop="1">
      <c r="A37" s="22" t="s">
        <v>21</v>
      </c>
      <c r="B37" s="23"/>
      <c r="C37" s="38"/>
      <c r="D37" s="38"/>
      <c r="E37" s="38"/>
      <c r="F37" s="38"/>
      <c r="G37" s="168"/>
      <c r="I37" s="2"/>
      <c r="J37" s="2"/>
      <c r="K37" s="2"/>
      <c r="L37" s="2"/>
      <c r="M37" s="2"/>
      <c r="N37" s="2"/>
      <c r="O37" s="2"/>
      <c r="P37" s="2"/>
    </row>
    <row r="38" spans="1:17">
      <c r="A38" s="20" t="s">
        <v>7</v>
      </c>
      <c r="C38" s="36"/>
      <c r="D38" s="152"/>
      <c r="E38" s="152"/>
      <c r="F38" s="152"/>
      <c r="G38" s="168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 s="151">
        <f>(SUM('Tableau de financement 2012'!C35:I35)/('SIG 2014'!F4+'SIG 2014'!H4+'SIG 2014'!J4))</f>
        <v>0.53808010148604568</v>
      </c>
      <c r="B39" s="33" t="s">
        <v>22</v>
      </c>
      <c r="C39" s="36">
        <f>'Tableau de financement 2012'!K35</f>
        <v>2969126</v>
      </c>
      <c r="D39" s="36">
        <f>'Tab de fin 2013 TB'!D37+'Tab de fin 2013 TBC'!D36+'Tab de fin 2013 CD'!D37</f>
        <v>2750000</v>
      </c>
      <c r="E39" s="36">
        <f>'Tab de fin 2013 TB'!E37+'Tab de fin 2013 TBC'!E36+'Tab de fin 2013 CD'!E37</f>
        <v>2790394.4987332607</v>
      </c>
      <c r="F39" s="36">
        <f>'Tab de fin 2013 TB'!F37+'Tab de fin 2013 TBC'!F36+'Tab de fin 2013 CD'!F37</f>
        <v>2915354.0655240212</v>
      </c>
      <c r="G39" s="168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B40" s="33" t="s">
        <v>23</v>
      </c>
      <c r="C40" s="36">
        <f>'Tableau de financement 2012'!K36</f>
        <v>838365</v>
      </c>
      <c r="D40" s="36">
        <f>'Tab de fin 2013 TB'!D38+'Tab de fin 2013 TBC'!D37+'Tab de fin 2013 CD'!D38</f>
        <v>46016.43287671233</v>
      </c>
      <c r="E40" s="36">
        <f>'Tab de fin 2013 TB'!E38+'Tab de fin 2013 TBC'!E37+'Tab de fin 2013 CD'!E38</f>
        <v>55374.09041095891</v>
      </c>
      <c r="F40" s="36">
        <f>'Tab de fin 2013 TB'!F38+'Tab de fin 2013 TBC'!F37+'Tab de fin 2013 CD'!F38</f>
        <v>63154.882191780824</v>
      </c>
      <c r="G40" s="168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B41" s="33" t="s">
        <v>191</v>
      </c>
      <c r="C41" s="36">
        <f>'Tableau de financement 2012'!K37</f>
        <v>817993</v>
      </c>
      <c r="D41" s="36">
        <f>'Tab de fin 2013 TB'!D39+'Tab de fin 2013 TBC'!D38+'Tab de fin 2013 CD'!D39</f>
        <v>101939.04466666667</v>
      </c>
      <c r="E41" s="36">
        <f>'Tab de fin 2013 TB'!E39+'Tab de fin 2013 TBC'!E38+'Tab de fin 2013 CD'!E39</f>
        <v>129089.37299999999</v>
      </c>
      <c r="F41" s="36">
        <f>'Tab de fin 2013 TB'!F39+'Tab de fin 2013 TBC'!F38+'Tab de fin 2013 CD'!F39</f>
        <v>148267.36866666668</v>
      </c>
      <c r="H41" s="36"/>
      <c r="I41" s="2"/>
      <c r="J41" s="2"/>
      <c r="K41" s="2"/>
      <c r="L41" s="2"/>
      <c r="M41" s="2"/>
      <c r="N41" s="2"/>
      <c r="O41" s="2"/>
      <c r="P41" s="2"/>
    </row>
    <row r="42" spans="1:17">
      <c r="C42" s="36"/>
      <c r="D42" s="36"/>
      <c r="E42" s="36"/>
      <c r="F42" s="36"/>
      <c r="G42" s="168"/>
      <c r="I42" s="2"/>
      <c r="J42" s="2"/>
      <c r="K42" s="2"/>
      <c r="L42" s="2"/>
      <c r="M42" s="2"/>
      <c r="N42" s="2"/>
      <c r="O42" s="2"/>
      <c r="P42" s="2"/>
    </row>
    <row r="43" spans="1:17">
      <c r="A43" s="20" t="s">
        <v>8</v>
      </c>
      <c r="C43" s="36"/>
      <c r="D43" s="36"/>
      <c r="E43" s="36"/>
      <c r="F43" s="36"/>
      <c r="G43" s="168"/>
    </row>
    <row r="44" spans="1:17">
      <c r="B44" s="33" t="s">
        <v>24</v>
      </c>
      <c r="C44" s="36">
        <f>'Tableau de financement 2012'!K40</f>
        <v>1321612</v>
      </c>
      <c r="D44" s="36">
        <f>'Tab de fin 2013 TB'!D42+'Tab de fin 2013 TBC'!D41+'Tab de fin 2013 CD'!D42</f>
        <v>757054.42272328772</v>
      </c>
      <c r="E44" s="36">
        <f>'Tab de fin 2013 TB'!E42+'Tab de fin 2013 TBC'!E41+'Tab de fin 2013 CD'!E42</f>
        <v>849399.95785334252</v>
      </c>
      <c r="F44" s="36">
        <f>'Tab de fin 2013 TB'!F42+'Tab de fin 2013 TBC'!F41+'Tab de fin 2013 CD'!F42</f>
        <v>821068.49920475832</v>
      </c>
      <c r="G44" s="168"/>
      <c r="I44" s="36"/>
    </row>
    <row r="45" spans="1:17">
      <c r="B45" s="33" t="s">
        <v>25</v>
      </c>
      <c r="C45" s="36">
        <f>'Tableau de financement 2012'!K41</f>
        <v>1312840</v>
      </c>
      <c r="D45" s="36">
        <f>'Tab de fin 2013 TB'!D43+'Tab de fin 2013 TBC'!D42+'Tab de fin 2013 CD'!D43</f>
        <v>249601.50018709773</v>
      </c>
      <c r="E45" s="36">
        <f>'Tab de fin 2013 TB'!E43+'Tab de fin 2013 TBC'!E42+'Tab de fin 2013 CD'!E43</f>
        <v>298596.65840592177</v>
      </c>
      <c r="F45" s="36">
        <f>'Tab de fin 2013 TB'!F43+'Tab de fin 2013 TBC'!F42+'Tab de fin 2013 CD'!F43</f>
        <v>313343.69251079927</v>
      </c>
      <c r="G45" s="168"/>
    </row>
    <row r="46" spans="1:17">
      <c r="C46" s="36"/>
      <c r="D46" s="36"/>
      <c r="E46" s="36"/>
      <c r="F46" s="36"/>
      <c r="G46" s="168"/>
    </row>
    <row r="47" spans="1:17" s="20" customFormat="1">
      <c r="A47" s="32" t="s">
        <v>30</v>
      </c>
      <c r="C47" s="35">
        <f>+C39+C40+C41-C44-C45</f>
        <v>1991032</v>
      </c>
      <c r="D47" s="35">
        <f>+D39+D40+D41-D44-D45</f>
        <v>1891299.5546329932</v>
      </c>
      <c r="E47" s="35">
        <f>+E39+E40+E41-E44-E45</f>
        <v>1826861.3458849555</v>
      </c>
      <c r="F47" s="35">
        <f>+F39+F40+F41-F44-F45</f>
        <v>1992364.1246669109</v>
      </c>
      <c r="G47" s="333"/>
    </row>
    <row r="48" spans="1:17">
      <c r="A48" s="13" t="s">
        <v>26</v>
      </c>
      <c r="C48" s="36">
        <f>C35</f>
        <v>1992684</v>
      </c>
      <c r="D48" s="36">
        <f>D35</f>
        <v>2004738.6537999995</v>
      </c>
      <c r="E48" s="36">
        <f>E35</f>
        <v>2438367.9705306659</v>
      </c>
      <c r="F48" s="36">
        <f>F35</f>
        <v>2647262.3602734525</v>
      </c>
      <c r="G48" s="168"/>
    </row>
    <row r="49" spans="1:7">
      <c r="A49" s="13" t="s">
        <v>27</v>
      </c>
      <c r="C49" s="36">
        <f>C48-C47</f>
        <v>1652</v>
      </c>
      <c r="D49" s="36">
        <f>D48-D47</f>
        <v>113439.09916700632</v>
      </c>
      <c r="E49" s="36">
        <f>E48-E47</f>
        <v>611506.62464571046</v>
      </c>
      <c r="F49" s="36">
        <f>F48-F47</f>
        <v>654898.23560654162</v>
      </c>
      <c r="G49" s="168"/>
    </row>
    <row r="50" spans="1:7">
      <c r="C50" s="36"/>
      <c r="D50" s="36"/>
      <c r="E50" s="36"/>
      <c r="F50" s="36"/>
      <c r="G50" s="168"/>
    </row>
    <row r="51" spans="1:7">
      <c r="A51" s="33" t="s">
        <v>595</v>
      </c>
      <c r="C51" s="33">
        <f>365*C47/('SIG 2014'!F7+'SIG 2014'!H7+'SIG 2014'!J7+'SIG 2014'!D7)</f>
        <v>124.65294682675815</v>
      </c>
      <c r="D51" s="33">
        <f>365*D47/'SIG GROUPE'!D4</f>
        <v>110.60823209013229</v>
      </c>
      <c r="E51" s="33">
        <f>365*E47/'SIG GROUPE'!F4</f>
        <v>84.368977378053756</v>
      </c>
      <c r="F51" s="33">
        <f>365*F47/'SIG GROUPE'!H4</f>
        <v>80.110754623242954</v>
      </c>
      <c r="G51" s="336"/>
    </row>
  </sheetData>
  <phoneticPr fontId="8" type="noConversion"/>
  <printOptions horizontalCentered="1" verticalCentered="1"/>
  <pageMargins left="0.78740157480314965" right="0.78740157480314965" top="0.59055118110236227" bottom="0.43307086614173229" header="0.19685039370078741" footer="0.19685039370078741"/>
  <pageSetup paperSize="9" scale="92" orientation="portrait" r:id="rId1"/>
  <headerFooter scaleWithDoc="0">
    <oddHeader>&amp;LDossier TECSAFINANCE
Annexe B4&amp;CTableau de financement
GROUPE&amp;RConfidentiel</oddHeader>
    <oddFooter>&amp;L&amp;D&amp;R4/4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workbookViewId="0">
      <selection activeCell="B1" sqref="B1:C3"/>
    </sheetView>
  </sheetViews>
  <sheetFormatPr baseColWidth="10" defaultRowHeight="15"/>
  <cols>
    <col min="1" max="1" width="4.5703125" style="88" customWidth="1"/>
    <col min="2" max="2" width="27.85546875" style="88" bestFit="1" customWidth="1"/>
    <col min="3" max="11" width="12" style="88" customWidth="1"/>
    <col min="12" max="12" width="12" style="89" customWidth="1"/>
    <col min="13" max="14" width="12" style="88" customWidth="1"/>
    <col min="15" max="16384" width="11.42578125" style="88"/>
  </cols>
  <sheetData>
    <row r="1" spans="1:14">
      <c r="C1" s="97"/>
      <c r="D1" s="97" t="s">
        <v>102</v>
      </c>
      <c r="E1" s="109"/>
      <c r="F1" s="119"/>
      <c r="G1" s="97" t="s">
        <v>45</v>
      </c>
      <c r="H1" s="109"/>
      <c r="I1" s="119"/>
      <c r="J1" s="97" t="s">
        <v>35</v>
      </c>
      <c r="K1" s="109"/>
    </row>
    <row r="2" spans="1:14" s="85" customFormat="1">
      <c r="C2" s="110">
        <v>2013</v>
      </c>
      <c r="D2" s="110">
        <v>2014</v>
      </c>
      <c r="E2" s="111">
        <v>2015</v>
      </c>
      <c r="F2" s="120">
        <v>2013</v>
      </c>
      <c r="G2" s="110">
        <v>2014</v>
      </c>
      <c r="H2" s="111">
        <v>2015</v>
      </c>
      <c r="I2" s="120">
        <v>2013</v>
      </c>
      <c r="J2" s="110">
        <v>2014</v>
      </c>
      <c r="K2" s="111">
        <v>2015</v>
      </c>
      <c r="L2" s="86" t="s">
        <v>121</v>
      </c>
      <c r="M2" s="87" t="s">
        <v>122</v>
      </c>
      <c r="N2" s="87" t="s">
        <v>100</v>
      </c>
    </row>
    <row r="3" spans="1:14">
      <c r="A3" s="85"/>
      <c r="B3" s="108" t="s">
        <v>159</v>
      </c>
      <c r="C3" s="97"/>
      <c r="D3" s="97"/>
      <c r="E3" s="109"/>
      <c r="F3" s="119"/>
      <c r="G3" s="97"/>
      <c r="H3" s="109"/>
      <c r="I3" s="119"/>
      <c r="J3" s="97"/>
      <c r="K3" s="109"/>
    </row>
    <row r="4" spans="1:14">
      <c r="A4" s="85" t="s">
        <v>123</v>
      </c>
      <c r="C4" s="103"/>
      <c r="D4" s="103"/>
      <c r="E4" s="112"/>
      <c r="F4" s="121"/>
      <c r="G4" s="103"/>
      <c r="H4" s="112"/>
      <c r="I4" s="121"/>
      <c r="J4" s="103"/>
      <c r="K4" s="112"/>
    </row>
    <row r="5" spans="1:14">
      <c r="A5" s="85"/>
      <c r="B5" s="88" t="s">
        <v>66</v>
      </c>
      <c r="C5" s="113"/>
      <c r="D5" s="113"/>
      <c r="E5" s="114"/>
      <c r="F5" s="122"/>
      <c r="G5" s="113"/>
      <c r="H5" s="114"/>
      <c r="I5" s="122"/>
      <c r="J5" s="113"/>
      <c r="K5" s="114"/>
    </row>
    <row r="6" spans="1:14">
      <c r="A6" s="85"/>
      <c r="C6" s="103"/>
      <c r="D6" s="103"/>
      <c r="E6" s="112"/>
      <c r="F6" s="121"/>
      <c r="G6" s="103"/>
      <c r="H6" s="112"/>
      <c r="I6" s="121"/>
      <c r="J6" s="103"/>
      <c r="K6" s="112"/>
    </row>
    <row r="7" spans="1:14">
      <c r="A7" s="85" t="s">
        <v>124</v>
      </c>
      <c r="C7" s="113"/>
      <c r="D7" s="113"/>
      <c r="E7" s="114"/>
      <c r="F7" s="122"/>
      <c r="G7" s="113"/>
      <c r="H7" s="114"/>
      <c r="I7" s="122"/>
      <c r="J7" s="113"/>
      <c r="K7" s="114"/>
    </row>
    <row r="8" spans="1:14">
      <c r="C8" s="103"/>
      <c r="D8" s="103"/>
      <c r="E8" s="112"/>
      <c r="F8" s="121"/>
      <c r="G8" s="103"/>
      <c r="H8" s="112"/>
      <c r="I8" s="121"/>
      <c r="J8" s="103"/>
      <c r="K8" s="112"/>
      <c r="L8" s="88"/>
    </row>
    <row r="9" spans="1:14">
      <c r="A9" s="85" t="s">
        <v>125</v>
      </c>
      <c r="C9" s="103"/>
      <c r="D9" s="103"/>
      <c r="E9" s="112"/>
      <c r="F9" s="121"/>
      <c r="G9" s="103"/>
      <c r="H9" s="112"/>
      <c r="I9" s="121"/>
      <c r="J9" s="103"/>
      <c r="K9" s="112"/>
      <c r="L9" s="88"/>
    </row>
    <row r="10" spans="1:14">
      <c r="B10" s="88" t="s">
        <v>162</v>
      </c>
      <c r="C10" s="113"/>
      <c r="D10" s="113"/>
      <c r="E10" s="114"/>
      <c r="F10" s="122"/>
      <c r="G10" s="113"/>
      <c r="H10" s="114"/>
      <c r="I10" s="122"/>
      <c r="J10" s="113"/>
      <c r="K10" s="114"/>
    </row>
    <row r="11" spans="1:14">
      <c r="B11" s="1" t="s">
        <v>178</v>
      </c>
      <c r="C11" s="113"/>
      <c r="D11" s="113"/>
      <c r="E11" s="114"/>
      <c r="F11" s="122"/>
      <c r="G11" s="113"/>
      <c r="H11" s="114"/>
      <c r="I11" s="122"/>
      <c r="J11" s="113"/>
      <c r="K11" s="114"/>
    </row>
    <row r="12" spans="1:14">
      <c r="B12" s="1"/>
      <c r="C12" s="113"/>
      <c r="D12" s="113"/>
      <c r="E12" s="114"/>
      <c r="F12" s="122"/>
      <c r="G12" s="113"/>
      <c r="H12" s="114"/>
      <c r="I12" s="122"/>
      <c r="J12" s="113"/>
      <c r="K12" s="114"/>
    </row>
    <row r="13" spans="1:14">
      <c r="B13" s="1"/>
      <c r="C13" s="113"/>
      <c r="D13" s="113"/>
      <c r="E13" s="114"/>
      <c r="F13" s="122"/>
      <c r="G13" s="113"/>
      <c r="H13" s="114"/>
      <c r="I13" s="122"/>
      <c r="J13" s="113"/>
      <c r="K13" s="114"/>
    </row>
    <row r="14" spans="1:14">
      <c r="B14" s="1" t="s">
        <v>180</v>
      </c>
      <c r="C14" s="113"/>
      <c r="D14" s="113"/>
      <c r="E14" s="114"/>
      <c r="F14" s="122"/>
      <c r="G14" s="113"/>
      <c r="H14" s="114"/>
      <c r="I14" s="122"/>
      <c r="J14" s="113"/>
      <c r="K14" s="114"/>
    </row>
    <row r="15" spans="1:14">
      <c r="B15" s="1" t="s">
        <v>179</v>
      </c>
      <c r="C15" s="113"/>
      <c r="D15" s="113"/>
      <c r="E15" s="114"/>
      <c r="F15" s="122"/>
      <c r="G15" s="113"/>
      <c r="H15" s="114"/>
      <c r="I15" s="122"/>
      <c r="J15" s="113"/>
      <c r="K15" s="114"/>
    </row>
    <row r="16" spans="1:14">
      <c r="C16" s="103"/>
      <c r="D16" s="103"/>
      <c r="E16" s="112"/>
      <c r="F16" s="121"/>
      <c r="G16" s="103"/>
      <c r="H16" s="112"/>
      <c r="I16" s="121"/>
      <c r="J16" s="103"/>
      <c r="K16" s="112"/>
      <c r="L16" s="88"/>
    </row>
    <row r="17" spans="1:12">
      <c r="A17" s="85" t="s">
        <v>126</v>
      </c>
      <c r="C17" s="103"/>
      <c r="D17" s="103"/>
      <c r="E17" s="112"/>
      <c r="F17" s="121"/>
      <c r="G17" s="103"/>
      <c r="H17" s="112"/>
      <c r="I17" s="121"/>
      <c r="J17" s="103"/>
      <c r="K17" s="112"/>
      <c r="L17" s="88"/>
    </row>
    <row r="18" spans="1:12">
      <c r="B18" s="88" t="s">
        <v>127</v>
      </c>
      <c r="C18" s="113"/>
      <c r="D18" s="113"/>
      <c r="E18" s="114"/>
      <c r="F18" s="122"/>
      <c r="G18" s="113"/>
      <c r="H18" s="114"/>
      <c r="I18" s="122"/>
      <c r="J18" s="113"/>
      <c r="K18" s="114"/>
    </row>
    <row r="19" spans="1:12">
      <c r="B19" s="1" t="s">
        <v>177</v>
      </c>
      <c r="C19" s="113"/>
      <c r="D19" s="113"/>
      <c r="E19" s="114"/>
      <c r="F19" s="122"/>
      <c r="G19" s="113"/>
      <c r="H19" s="114"/>
      <c r="I19" s="122"/>
      <c r="J19" s="113"/>
      <c r="K19" s="114"/>
    </row>
    <row r="20" spans="1:12">
      <c r="B20" s="1" t="s">
        <v>176</v>
      </c>
      <c r="C20" s="113"/>
      <c r="D20" s="113">
        <v>5000</v>
      </c>
      <c r="E20" s="114">
        <v>5000</v>
      </c>
      <c r="F20" s="122"/>
      <c r="G20" s="113">
        <v>5000</v>
      </c>
      <c r="H20" s="114">
        <v>5000</v>
      </c>
      <c r="I20" s="113"/>
      <c r="J20" s="113"/>
      <c r="K20" s="113"/>
    </row>
    <row r="21" spans="1:12">
      <c r="B21" s="88" t="s">
        <v>160</v>
      </c>
      <c r="C21" s="113"/>
      <c r="D21" s="113"/>
      <c r="E21" s="114"/>
      <c r="F21" s="122"/>
      <c r="G21" s="113">
        <v>10000</v>
      </c>
      <c r="H21" s="113">
        <v>20000</v>
      </c>
      <c r="I21" s="122"/>
      <c r="J21" s="113">
        <v>10000</v>
      </c>
      <c r="K21" s="113">
        <v>10000</v>
      </c>
    </row>
    <row r="22" spans="1:12">
      <c r="C22" s="103"/>
      <c r="D22" s="103"/>
      <c r="E22" s="112"/>
      <c r="F22" s="121"/>
      <c r="G22" s="103"/>
      <c r="H22" s="112"/>
      <c r="I22" s="121"/>
      <c r="J22" s="103"/>
      <c r="K22" s="112"/>
    </row>
    <row r="23" spans="1:12">
      <c r="A23" s="85" t="s">
        <v>128</v>
      </c>
      <c r="C23" s="103"/>
      <c r="D23" s="103"/>
      <c r="E23" s="112"/>
      <c r="F23" s="121"/>
      <c r="G23" s="103"/>
      <c r="H23" s="112"/>
      <c r="I23" s="121"/>
      <c r="J23" s="103"/>
      <c r="K23" s="112"/>
    </row>
    <row r="24" spans="1:12">
      <c r="A24" s="85"/>
      <c r="B24" s="1" t="s">
        <v>163</v>
      </c>
      <c r="C24" s="115"/>
      <c r="D24" s="113">
        <v>3600</v>
      </c>
      <c r="E24" s="114">
        <v>3600</v>
      </c>
      <c r="F24" s="114"/>
      <c r="G24" s="114">
        <v>3600</v>
      </c>
      <c r="H24" s="114">
        <v>3600</v>
      </c>
      <c r="I24" s="122"/>
      <c r="J24" s="113"/>
      <c r="K24" s="114"/>
    </row>
    <row r="25" spans="1:12">
      <c r="A25" s="85"/>
      <c r="B25" s="88" t="s">
        <v>129</v>
      </c>
      <c r="C25" s="113"/>
      <c r="D25" s="113">
        <v>500</v>
      </c>
      <c r="E25" s="114"/>
      <c r="F25" s="122"/>
      <c r="G25" s="113"/>
      <c r="H25" s="114"/>
      <c r="I25" s="122"/>
      <c r="J25" s="113"/>
      <c r="K25" s="114"/>
    </row>
    <row r="26" spans="1:12">
      <c r="A26" s="85"/>
      <c r="B26" s="88" t="s">
        <v>130</v>
      </c>
      <c r="C26" s="113"/>
      <c r="D26" s="113"/>
      <c r="E26" s="114"/>
      <c r="F26" s="122"/>
      <c r="G26" s="113"/>
      <c r="H26" s="114"/>
      <c r="I26" s="122"/>
      <c r="J26" s="113"/>
      <c r="K26" s="114"/>
    </row>
    <row r="27" spans="1:12">
      <c r="A27" s="85"/>
      <c r="B27" s="88" t="s">
        <v>131</v>
      </c>
      <c r="C27" s="113"/>
      <c r="D27" s="113"/>
      <c r="E27" s="114"/>
      <c r="F27" s="122"/>
      <c r="G27" s="113"/>
      <c r="H27" s="114"/>
      <c r="I27" s="122"/>
      <c r="J27" s="113"/>
      <c r="K27" s="114"/>
    </row>
    <row r="28" spans="1:12">
      <c r="B28" s="88" t="s">
        <v>132</v>
      </c>
      <c r="C28" s="113"/>
      <c r="D28" s="113">
        <v>7500</v>
      </c>
      <c r="E28" s="114">
        <v>7500</v>
      </c>
      <c r="F28" s="122"/>
      <c r="G28" s="113"/>
      <c r="H28" s="114"/>
      <c r="I28" s="122"/>
      <c r="J28" s="113"/>
      <c r="K28" s="114"/>
    </row>
    <row r="29" spans="1:12">
      <c r="C29" s="116"/>
      <c r="D29" s="116"/>
      <c r="E29" s="117"/>
      <c r="F29" s="123"/>
      <c r="G29" s="116"/>
      <c r="H29" s="117"/>
      <c r="I29" s="123"/>
      <c r="J29" s="116"/>
      <c r="K29" s="117"/>
      <c r="L29" s="88"/>
    </row>
    <row r="30" spans="1:12">
      <c r="A30" s="85" t="s">
        <v>133</v>
      </c>
      <c r="C30" s="97"/>
      <c r="D30" s="97"/>
      <c r="E30" s="109"/>
      <c r="F30" s="119"/>
      <c r="G30" s="97"/>
      <c r="H30" s="109"/>
      <c r="I30" s="119"/>
      <c r="J30" s="97"/>
      <c r="K30" s="109"/>
      <c r="L30" s="88"/>
    </row>
    <row r="31" spans="1:12">
      <c r="A31" s="85"/>
      <c r="B31" s="88" t="s">
        <v>170</v>
      </c>
      <c r="C31" s="113"/>
      <c r="D31" s="113">
        <v>100</v>
      </c>
      <c r="E31" s="113">
        <v>100</v>
      </c>
      <c r="F31" s="113"/>
      <c r="G31" s="113">
        <v>100</v>
      </c>
      <c r="H31" s="113">
        <v>100</v>
      </c>
      <c r="I31" s="122"/>
      <c r="J31" s="113"/>
      <c r="K31" s="114"/>
    </row>
    <row r="32" spans="1:12">
      <c r="A32" s="85"/>
      <c r="B32" s="88" t="s">
        <v>134</v>
      </c>
      <c r="C32" s="113"/>
      <c r="D32" s="113"/>
      <c r="E32" s="114"/>
      <c r="F32" s="122"/>
      <c r="G32" s="113"/>
      <c r="H32" s="114"/>
      <c r="I32" s="122"/>
      <c r="J32" s="113"/>
      <c r="K32" s="114"/>
    </row>
    <row r="33" spans="1:13">
      <c r="A33" s="85"/>
      <c r="C33" s="93"/>
      <c r="D33" s="93"/>
      <c r="E33" s="118"/>
      <c r="F33" s="124"/>
      <c r="G33" s="93"/>
      <c r="H33" s="118"/>
      <c r="I33" s="124"/>
      <c r="J33" s="93"/>
      <c r="K33" s="118"/>
      <c r="L33" s="93"/>
      <c r="M33" s="94"/>
    </row>
    <row r="34" spans="1:13">
      <c r="C34" s="103">
        <f>SUM(C4:C33)</f>
        <v>0</v>
      </c>
      <c r="D34" s="103">
        <f>SUM(D4:D33)</f>
        <v>16700</v>
      </c>
      <c r="E34" s="112">
        <f>SUM(E4:E33)</f>
        <v>16200</v>
      </c>
      <c r="F34" s="121"/>
      <c r="G34" s="103"/>
      <c r="H34" s="112"/>
      <c r="I34" s="121"/>
      <c r="J34" s="103"/>
      <c r="K34" s="112"/>
      <c r="L34" s="89">
        <f>SUM(L4:L33)</f>
        <v>0</v>
      </c>
      <c r="M34" s="91"/>
    </row>
    <row r="35" spans="1:13">
      <c r="C35" s="89"/>
      <c r="D35" s="89"/>
      <c r="E35" s="89"/>
      <c r="F35" s="89"/>
      <c r="G35" s="89"/>
      <c r="H35" s="89"/>
      <c r="I35" s="89"/>
      <c r="J35" s="89"/>
      <c r="K35" s="89"/>
      <c r="M35" s="92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Q16"/>
  <sheetViews>
    <sheetView workbookViewId="0">
      <selection activeCell="C24" sqref="C24"/>
    </sheetView>
  </sheetViews>
  <sheetFormatPr baseColWidth="10" defaultRowHeight="15"/>
  <cols>
    <col min="1" max="1" width="4" style="88" customWidth="1"/>
    <col min="2" max="2" width="30" style="88" customWidth="1"/>
    <col min="3" max="3" width="13.5703125" style="88" bestFit="1" customWidth="1"/>
    <col min="4" max="4" width="5.28515625" style="88" bestFit="1" customWidth="1"/>
    <col min="5" max="5" width="15.42578125" style="88" bestFit="1" customWidth="1"/>
    <col min="6" max="6" width="5.5703125" style="88" hidden="1" customWidth="1"/>
    <col min="7" max="7" width="14.28515625" style="88" hidden="1" customWidth="1"/>
    <col min="8" max="8" width="9.42578125" style="88" hidden="1" customWidth="1"/>
    <col min="9" max="9" width="18" style="88" hidden="1" customWidth="1"/>
    <col min="10" max="10" width="15" style="88" bestFit="1" customWidth="1"/>
    <col min="11" max="11" width="11.42578125" style="88"/>
    <col min="12" max="17" width="12" style="88" bestFit="1" customWidth="1"/>
    <col min="18" max="16384" width="11.42578125" style="88"/>
  </cols>
  <sheetData>
    <row r="1" spans="1:17" s="85" customFormat="1">
      <c r="A1" s="132"/>
      <c r="B1" s="132" t="s">
        <v>135</v>
      </c>
      <c r="C1" s="132" t="s">
        <v>136</v>
      </c>
      <c r="D1" s="133" t="s">
        <v>137</v>
      </c>
      <c r="E1" s="133" t="s">
        <v>138</v>
      </c>
      <c r="F1" s="133" t="s">
        <v>139</v>
      </c>
      <c r="G1" s="133" t="s">
        <v>140</v>
      </c>
      <c r="H1" s="133" t="s">
        <v>141</v>
      </c>
      <c r="I1" s="133" t="s">
        <v>142</v>
      </c>
      <c r="J1" s="133" t="s">
        <v>143</v>
      </c>
      <c r="L1" s="356">
        <v>2014</v>
      </c>
      <c r="M1" s="356"/>
      <c r="N1" s="356">
        <v>2015</v>
      </c>
      <c r="O1" s="356"/>
      <c r="P1" s="356">
        <v>2016</v>
      </c>
      <c r="Q1" s="356"/>
    </row>
    <row r="2" spans="1:17">
      <c r="A2" s="63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L2" s="95" t="s">
        <v>144</v>
      </c>
      <c r="M2" s="95" t="s">
        <v>145</v>
      </c>
      <c r="N2" s="95" t="s">
        <v>144</v>
      </c>
      <c r="O2" s="95" t="s">
        <v>145</v>
      </c>
      <c r="P2" s="95" t="s">
        <v>144</v>
      </c>
      <c r="Q2" s="95" t="s">
        <v>145</v>
      </c>
    </row>
    <row r="3" spans="1:17">
      <c r="A3" s="126"/>
      <c r="B3" s="63" t="s">
        <v>175</v>
      </c>
      <c r="C3" s="127">
        <v>41640</v>
      </c>
      <c r="D3" s="126" t="s">
        <v>146</v>
      </c>
      <c r="E3" s="128" t="s">
        <v>147</v>
      </c>
      <c r="F3" s="129">
        <v>1</v>
      </c>
      <c r="G3" s="130">
        <v>24000</v>
      </c>
      <c r="H3" s="130">
        <f>F3*G3</f>
        <v>24000</v>
      </c>
      <c r="I3" s="130">
        <f>H3*40%</f>
        <v>9600</v>
      </c>
      <c r="J3" s="130">
        <f>H3+I3</f>
        <v>33600</v>
      </c>
      <c r="L3" s="90">
        <f>H5</f>
        <v>36000</v>
      </c>
      <c r="M3" s="90">
        <f>I5</f>
        <v>14400</v>
      </c>
      <c r="N3" s="90">
        <f>H5</f>
        <v>36000</v>
      </c>
      <c r="O3" s="90">
        <f>I5</f>
        <v>14400</v>
      </c>
      <c r="P3" s="90">
        <f t="shared" ref="P3:Q5" si="0">H5</f>
        <v>36000</v>
      </c>
      <c r="Q3" s="90">
        <f t="shared" si="0"/>
        <v>14400</v>
      </c>
    </row>
    <row r="4" spans="1:17">
      <c r="A4" s="126" t="s">
        <v>102</v>
      </c>
      <c r="B4" s="126"/>
      <c r="C4" s="126"/>
      <c r="D4" s="126"/>
      <c r="E4" s="126"/>
      <c r="F4" s="126"/>
      <c r="G4" s="126"/>
      <c r="H4" s="126"/>
      <c r="I4" s="126"/>
      <c r="J4" s="126"/>
      <c r="L4" s="90">
        <f>H6/2</f>
        <v>18000</v>
      </c>
      <c r="M4" s="90">
        <f>I6/2</f>
        <v>7200</v>
      </c>
      <c r="N4" s="90">
        <f>H6</f>
        <v>36000</v>
      </c>
      <c r="O4" s="90">
        <f>I6</f>
        <v>14400</v>
      </c>
      <c r="P4" s="90">
        <f t="shared" si="0"/>
        <v>36000</v>
      </c>
      <c r="Q4" s="90">
        <f t="shared" si="0"/>
        <v>14400</v>
      </c>
    </row>
    <row r="5" spans="1:17">
      <c r="A5" s="126"/>
      <c r="B5" s="63" t="s">
        <v>171</v>
      </c>
      <c r="C5" s="127">
        <v>41640</v>
      </c>
      <c r="D5" s="126" t="s">
        <v>146</v>
      </c>
      <c r="E5" s="128" t="s">
        <v>147</v>
      </c>
      <c r="F5" s="129">
        <v>1</v>
      </c>
      <c r="G5" s="130">
        <v>36000</v>
      </c>
      <c r="H5" s="130">
        <f>F5*G5</f>
        <v>36000</v>
      </c>
      <c r="I5" s="130">
        <f>H5*40%</f>
        <v>14400</v>
      </c>
      <c r="J5" s="130">
        <f>H5+I5</f>
        <v>50400</v>
      </c>
      <c r="L5" s="90">
        <v>0</v>
      </c>
      <c r="M5" s="90">
        <v>0</v>
      </c>
      <c r="N5" s="90">
        <f>H7*0.75</f>
        <v>13500</v>
      </c>
      <c r="O5" s="90">
        <f>I7*0.75</f>
        <v>5400</v>
      </c>
      <c r="P5" s="90">
        <f t="shared" si="0"/>
        <v>18000</v>
      </c>
      <c r="Q5" s="90">
        <f t="shared" si="0"/>
        <v>7200</v>
      </c>
    </row>
    <row r="6" spans="1:17">
      <c r="A6" s="126"/>
      <c r="B6" s="63" t="s">
        <v>169</v>
      </c>
      <c r="C6" s="127">
        <v>41640</v>
      </c>
      <c r="D6" s="126" t="s">
        <v>146</v>
      </c>
      <c r="E6" s="128" t="s">
        <v>147</v>
      </c>
      <c r="F6" s="129">
        <v>1</v>
      </c>
      <c r="G6" s="130">
        <v>36000</v>
      </c>
      <c r="H6" s="130">
        <f>F6*G6</f>
        <v>36000</v>
      </c>
      <c r="I6" s="130">
        <f>H6*40%</f>
        <v>14400</v>
      </c>
      <c r="J6" s="130">
        <f>H6+I6</f>
        <v>50400</v>
      </c>
      <c r="L6" s="90"/>
      <c r="M6" s="90"/>
      <c r="N6" s="90"/>
      <c r="O6" s="90"/>
      <c r="P6" s="90"/>
      <c r="Q6" s="90"/>
    </row>
    <row r="7" spans="1:17">
      <c r="A7" s="126"/>
      <c r="B7" s="63" t="s">
        <v>592</v>
      </c>
      <c r="C7" s="127">
        <v>42005</v>
      </c>
      <c r="D7" s="126" t="s">
        <v>146</v>
      </c>
      <c r="E7" s="128" t="s">
        <v>147</v>
      </c>
      <c r="F7" s="129">
        <v>1</v>
      </c>
      <c r="G7" s="130">
        <v>18000</v>
      </c>
      <c r="H7" s="130">
        <f>F7*G7</f>
        <v>18000</v>
      </c>
      <c r="I7" s="130">
        <f>H7*40%</f>
        <v>7200</v>
      </c>
      <c r="J7" s="130">
        <f>H7+I7</f>
        <v>25200</v>
      </c>
      <c r="L7" s="96">
        <v>0</v>
      </c>
      <c r="M7" s="96">
        <v>0</v>
      </c>
      <c r="N7" s="90">
        <f t="shared" ref="N7:O9" si="1">H9</f>
        <v>42000</v>
      </c>
      <c r="O7" s="90">
        <f t="shared" si="1"/>
        <v>16800</v>
      </c>
      <c r="P7" s="90">
        <f t="shared" ref="P7:Q9" si="2">H9</f>
        <v>42000</v>
      </c>
      <c r="Q7" s="90">
        <f t="shared" si="2"/>
        <v>16800</v>
      </c>
    </row>
    <row r="8" spans="1:17">
      <c r="A8" s="126" t="s">
        <v>45</v>
      </c>
      <c r="B8" s="126"/>
      <c r="C8" s="127"/>
      <c r="D8" s="126"/>
      <c r="E8" s="128"/>
      <c r="F8" s="129"/>
      <c r="G8" s="130"/>
      <c r="H8" s="130"/>
      <c r="I8" s="130"/>
      <c r="J8" s="130"/>
      <c r="L8" s="96">
        <v>0</v>
      </c>
      <c r="M8" s="96">
        <v>0</v>
      </c>
      <c r="N8" s="90">
        <f t="shared" si="1"/>
        <v>18000</v>
      </c>
      <c r="O8" s="90">
        <f t="shared" si="1"/>
        <v>7200</v>
      </c>
      <c r="P8" s="90">
        <f t="shared" si="2"/>
        <v>18000</v>
      </c>
      <c r="Q8" s="90">
        <f t="shared" si="2"/>
        <v>7200</v>
      </c>
    </row>
    <row r="9" spans="1:17">
      <c r="A9" s="126"/>
      <c r="B9" s="63" t="s">
        <v>172</v>
      </c>
      <c r="C9" s="127">
        <v>41640</v>
      </c>
      <c r="D9" s="126" t="s">
        <v>146</v>
      </c>
      <c r="E9" s="128" t="s">
        <v>147</v>
      </c>
      <c r="F9" s="129">
        <v>1</v>
      </c>
      <c r="G9" s="130">
        <v>42000</v>
      </c>
      <c r="H9" s="130">
        <f>F9*G9</f>
        <v>42000</v>
      </c>
      <c r="I9" s="130">
        <f>H9*40%</f>
        <v>16800</v>
      </c>
      <c r="J9" s="130">
        <f>H9+I9</f>
        <v>58800</v>
      </c>
      <c r="L9" s="96">
        <v>0</v>
      </c>
      <c r="M9" s="96">
        <v>0</v>
      </c>
      <c r="N9" s="90">
        <f t="shared" si="1"/>
        <v>24000</v>
      </c>
      <c r="O9" s="90">
        <f t="shared" si="1"/>
        <v>9600</v>
      </c>
      <c r="P9" s="90">
        <f t="shared" si="2"/>
        <v>24000</v>
      </c>
      <c r="Q9" s="90">
        <f t="shared" si="2"/>
        <v>9600</v>
      </c>
    </row>
    <row r="10" spans="1:17">
      <c r="A10" s="126"/>
      <c r="B10" s="63" t="s">
        <v>174</v>
      </c>
      <c r="C10" s="127">
        <v>42005</v>
      </c>
      <c r="D10" s="126" t="s">
        <v>146</v>
      </c>
      <c r="E10" s="128" t="s">
        <v>147</v>
      </c>
      <c r="F10" s="129">
        <v>1</v>
      </c>
      <c r="G10" s="130">
        <v>18000</v>
      </c>
      <c r="H10" s="130">
        <f>F10*G10</f>
        <v>18000</v>
      </c>
      <c r="I10" s="130">
        <f>H10*40%</f>
        <v>7200</v>
      </c>
      <c r="J10" s="130">
        <f>H10+I10</f>
        <v>25200</v>
      </c>
      <c r="L10" s="96"/>
      <c r="M10" s="96"/>
      <c r="N10" s="90"/>
      <c r="O10" s="90"/>
      <c r="P10" s="90"/>
      <c r="Q10" s="90"/>
    </row>
    <row r="11" spans="1:17">
      <c r="A11" s="126"/>
      <c r="B11" s="63" t="s">
        <v>173</v>
      </c>
      <c r="C11" s="127">
        <v>42005</v>
      </c>
      <c r="D11" s="126" t="s">
        <v>146</v>
      </c>
      <c r="E11" s="128" t="s">
        <v>147</v>
      </c>
      <c r="F11" s="129">
        <v>1</v>
      </c>
      <c r="G11" s="130">
        <v>24000</v>
      </c>
      <c r="H11" s="130">
        <f>F11*G11</f>
        <v>24000</v>
      </c>
      <c r="I11" s="130">
        <f>H11*40%</f>
        <v>9600</v>
      </c>
      <c r="J11" s="130">
        <f>H11+I11</f>
        <v>33600</v>
      </c>
      <c r="L11" s="96">
        <v>0</v>
      </c>
      <c r="M11" s="96">
        <v>0</v>
      </c>
      <c r="N11" s="90">
        <v>0</v>
      </c>
      <c r="O11" s="90">
        <v>0</v>
      </c>
      <c r="P11" s="90">
        <f>H13</f>
        <v>48000</v>
      </c>
      <c r="Q11" s="90">
        <f>I13</f>
        <v>19200</v>
      </c>
    </row>
    <row r="12" spans="1:17">
      <c r="A12" s="126" t="s">
        <v>35</v>
      </c>
      <c r="B12" s="126"/>
      <c r="C12" s="131"/>
      <c r="D12" s="126"/>
      <c r="E12" s="128"/>
      <c r="F12" s="129"/>
      <c r="G12" s="130"/>
      <c r="H12" s="130"/>
      <c r="I12" s="130"/>
      <c r="J12" s="130"/>
      <c r="L12" s="97"/>
      <c r="M12" s="97"/>
      <c r="N12" s="97"/>
      <c r="O12" s="97"/>
      <c r="P12" s="97"/>
      <c r="Q12" s="97"/>
    </row>
    <row r="13" spans="1:17">
      <c r="A13" s="126"/>
      <c r="B13" s="126" t="s">
        <v>161</v>
      </c>
      <c r="C13" s="127">
        <v>41640</v>
      </c>
      <c r="D13" s="126" t="s">
        <v>146</v>
      </c>
      <c r="E13" s="128" t="s">
        <v>147</v>
      </c>
      <c r="F13" s="129">
        <v>1</v>
      </c>
      <c r="G13" s="130">
        <v>48000</v>
      </c>
      <c r="H13" s="130">
        <f>F13*G13</f>
        <v>48000</v>
      </c>
      <c r="I13" s="130">
        <f>H13*40%</f>
        <v>19200</v>
      </c>
      <c r="J13" s="130">
        <f>H13+I13</f>
        <v>67200</v>
      </c>
      <c r="L13" s="96">
        <v>0</v>
      </c>
      <c r="M13" s="96">
        <v>0</v>
      </c>
      <c r="N13" s="90">
        <v>0</v>
      </c>
      <c r="O13" s="90">
        <v>0</v>
      </c>
      <c r="P13" s="90" t="e">
        <f>#REF!</f>
        <v>#REF!</v>
      </c>
      <c r="Q13" s="90" t="e">
        <f>#REF!</f>
        <v>#REF!</v>
      </c>
    </row>
    <row r="14" spans="1:17">
      <c r="A14" s="126"/>
      <c r="B14" s="126"/>
      <c r="C14" s="126"/>
      <c r="D14" s="126"/>
      <c r="E14" s="126"/>
      <c r="F14" s="126"/>
      <c r="G14" s="126"/>
      <c r="H14" s="126"/>
      <c r="I14" s="126"/>
      <c r="J14" s="134">
        <f>SUM(J5:J13)</f>
        <v>310800</v>
      </c>
      <c r="K14" s="88" t="s">
        <v>148</v>
      </c>
      <c r="L14" s="89" t="e">
        <f>#REF!*0.8</f>
        <v>#REF!</v>
      </c>
      <c r="M14" s="89">
        <v>0</v>
      </c>
      <c r="N14" s="89" t="e">
        <f>#REF!*0.8</f>
        <v>#REF!</v>
      </c>
      <c r="O14" s="89">
        <v>0</v>
      </c>
      <c r="P14" s="89" t="e">
        <f>#REF!*0.8</f>
        <v>#REF!</v>
      </c>
      <c r="Q14" s="89">
        <v>0</v>
      </c>
    </row>
    <row r="15" spans="1:17">
      <c r="K15" s="88" t="s">
        <v>149</v>
      </c>
      <c r="L15" s="89" t="e">
        <f>#REF!-L14</f>
        <v>#REF!</v>
      </c>
      <c r="M15" s="89" t="e">
        <f>#REF!</f>
        <v>#REF!</v>
      </c>
      <c r="N15" s="89" t="e">
        <f>#REF!-N14</f>
        <v>#REF!</v>
      </c>
      <c r="O15" s="89" t="e">
        <f>#REF!</f>
        <v>#REF!</v>
      </c>
      <c r="P15" s="89" t="e">
        <f>#REF!-P14</f>
        <v>#REF!</v>
      </c>
      <c r="Q15" s="89" t="e">
        <f>#REF!</f>
        <v>#REF!</v>
      </c>
    </row>
    <row r="16" spans="1:17">
      <c r="L16" s="89"/>
      <c r="M16" s="89"/>
      <c r="N16" s="89"/>
      <c r="O16" s="89"/>
      <c r="P16" s="89"/>
      <c r="Q16" s="89"/>
    </row>
  </sheetData>
  <mergeCells count="3">
    <mergeCell ref="L1:M1"/>
    <mergeCell ref="N1:O1"/>
    <mergeCell ref="P1:Q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M47"/>
  <sheetViews>
    <sheetView showGridLines="0" zoomScale="80" zoomScaleNormal="80" workbookViewId="0">
      <selection activeCell="J34" sqref="J34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8.42578125" style="9" customWidth="1"/>
    <col min="4" max="4" width="19.5703125" style="3" customWidth="1"/>
    <col min="5" max="5" width="13.28515625" style="9" customWidth="1"/>
    <col min="6" max="6" width="19.5703125" style="9" customWidth="1"/>
    <col min="7" max="7" width="7.42578125" style="12" customWidth="1"/>
    <col min="8" max="8" width="19.5703125" style="1" customWidth="1"/>
    <col min="9" max="9" width="7.7109375" style="301" customWidth="1"/>
    <col min="10" max="10" width="19.85546875" style="1" customWidth="1"/>
    <col min="11" max="11" width="7.7109375" style="301" customWidth="1"/>
    <col min="12" max="12" width="19.85546875" style="1" customWidth="1"/>
    <col min="13" max="13" width="7.7109375" style="301" customWidth="1"/>
    <col min="14" max="16384" width="11.42578125" style="1"/>
  </cols>
  <sheetData>
    <row r="1" spans="1:13" ht="21.75" customHeight="1"/>
    <row r="2" spans="1:13" s="31" customFormat="1">
      <c r="A2" s="30"/>
      <c r="B2" s="30"/>
      <c r="C2" s="30"/>
      <c r="D2" s="30">
        <v>2013</v>
      </c>
      <c r="E2" s="30"/>
      <c r="F2" s="31">
        <v>2014</v>
      </c>
      <c r="H2" s="31">
        <v>2015</v>
      </c>
      <c r="J2" s="31">
        <v>2016</v>
      </c>
      <c r="L2" s="31">
        <v>2017</v>
      </c>
    </row>
    <row r="3" spans="1:13" s="26" customFormat="1" ht="18.75">
      <c r="A3" s="7"/>
      <c r="B3" s="7"/>
      <c r="C3" s="7"/>
      <c r="D3" s="187"/>
      <c r="E3" s="7"/>
      <c r="F3" s="31"/>
      <c r="G3" s="8"/>
      <c r="H3" s="31"/>
      <c r="I3" s="8"/>
      <c r="J3" s="31"/>
      <c r="K3" s="8"/>
      <c r="L3" s="31"/>
      <c r="M3" s="8"/>
    </row>
    <row r="4" spans="1:13">
      <c r="A4" s="10"/>
      <c r="B4" s="11" t="s">
        <v>91</v>
      </c>
      <c r="C4" s="11"/>
      <c r="D4" s="3">
        <v>720000</v>
      </c>
      <c r="E4" s="301"/>
      <c r="F4" s="3">
        <v>660000</v>
      </c>
      <c r="G4" s="301"/>
      <c r="H4" s="3">
        <v>930000</v>
      </c>
      <c r="J4" s="3">
        <v>1350000</v>
      </c>
      <c r="L4" s="3">
        <v>1750000</v>
      </c>
    </row>
    <row r="5" spans="1:13">
      <c r="A5" s="10"/>
      <c r="B5" s="11"/>
      <c r="C5" s="11" t="s">
        <v>59</v>
      </c>
      <c r="D5" s="3">
        <v>0</v>
      </c>
      <c r="E5" s="12"/>
      <c r="F5" s="3">
        <v>0</v>
      </c>
      <c r="H5" s="3">
        <v>0</v>
      </c>
      <c r="J5" s="3">
        <v>0</v>
      </c>
      <c r="L5" s="3">
        <v>0</v>
      </c>
    </row>
    <row r="6" spans="1:13">
      <c r="A6" s="10"/>
      <c r="B6" s="11"/>
      <c r="C6" s="11" t="s">
        <v>63</v>
      </c>
      <c r="D6" s="3">
        <v>0</v>
      </c>
      <c r="E6" s="12"/>
      <c r="F6" s="3">
        <v>0</v>
      </c>
      <c r="H6" s="3">
        <v>0</v>
      </c>
      <c r="J6" s="3">
        <v>0</v>
      </c>
      <c r="L6" s="3">
        <v>0</v>
      </c>
    </row>
    <row r="7" spans="1:13">
      <c r="A7" s="10"/>
      <c r="B7" s="11" t="s">
        <v>43</v>
      </c>
      <c r="C7" s="11"/>
      <c r="D7" s="3">
        <v>0</v>
      </c>
      <c r="E7" s="11"/>
      <c r="F7" s="3">
        <v>0</v>
      </c>
      <c r="H7" s="3">
        <v>0</v>
      </c>
      <c r="J7" s="3">
        <v>0</v>
      </c>
      <c r="L7" s="3">
        <v>0</v>
      </c>
    </row>
    <row r="8" spans="1:13">
      <c r="A8" s="10"/>
      <c r="B8" s="11"/>
      <c r="C8" s="11"/>
      <c r="E8" s="11"/>
      <c r="F8" s="3"/>
      <c r="H8" s="3"/>
      <c r="J8" s="3"/>
      <c r="L8" s="3"/>
    </row>
    <row r="9" spans="1:13" ht="15.75" thickBot="1">
      <c r="A9" s="24" t="s">
        <v>0</v>
      </c>
      <c r="B9" s="24"/>
      <c r="C9" s="24"/>
      <c r="D9" s="193">
        <f>SUM(D4:D8)</f>
        <v>720000</v>
      </c>
      <c r="E9" s="24"/>
      <c r="F9" s="193">
        <f>SUM(F4:F8)</f>
        <v>660000</v>
      </c>
      <c r="G9" s="25"/>
      <c r="H9" s="193">
        <f>SUM(H4:H8)</f>
        <v>930000</v>
      </c>
      <c r="I9" s="312">
        <v>1</v>
      </c>
      <c r="J9" s="193">
        <f>SUM(J4:J8)</f>
        <v>1350000</v>
      </c>
      <c r="K9" s="312">
        <v>1</v>
      </c>
      <c r="L9" s="193">
        <f>SUM(L4:L8)</f>
        <v>1750000</v>
      </c>
      <c r="M9" s="312">
        <v>1</v>
      </c>
    </row>
    <row r="10" spans="1:13" ht="15.75" thickTop="1">
      <c r="A10" s="10"/>
      <c r="B10" s="11"/>
      <c r="C10" s="11"/>
      <c r="E10" s="11"/>
      <c r="F10" s="3"/>
      <c r="H10" s="3"/>
      <c r="J10" s="3"/>
      <c r="L10" s="3"/>
    </row>
    <row r="11" spans="1:13">
      <c r="A11" s="10"/>
      <c r="B11" s="11" t="s">
        <v>46</v>
      </c>
      <c r="C11" s="11"/>
      <c r="D11" s="3">
        <f>(D4+D5+D6)*E11-D12</f>
        <v>26000</v>
      </c>
      <c r="E11" s="330">
        <v>0.3</v>
      </c>
      <c r="F11" s="3">
        <f>(F4+F5+F6)*G11-F12</f>
        <v>108000</v>
      </c>
      <c r="G11" s="330">
        <v>0.3</v>
      </c>
      <c r="H11" s="3">
        <f>(H4+H5+H6)*I11-H12</f>
        <v>113300</v>
      </c>
      <c r="I11" s="330">
        <v>0.31</v>
      </c>
      <c r="J11" s="3">
        <f>(J4+J5+J6)*K11-J12</f>
        <v>342000</v>
      </c>
      <c r="K11" s="330">
        <v>0.32</v>
      </c>
      <c r="L11" s="3">
        <f>(L4+L5+L6)*M11-L12</f>
        <v>402500</v>
      </c>
      <c r="M11" s="330">
        <v>0.33</v>
      </c>
    </row>
    <row r="12" spans="1:13">
      <c r="A12" s="10"/>
      <c r="B12" s="11" t="s">
        <v>62</v>
      </c>
      <c r="C12" s="11"/>
      <c r="D12" s="192">
        <f>'SIG TECSABOIS'!D8</f>
        <v>190000</v>
      </c>
      <c r="E12" s="331"/>
      <c r="F12" s="192">
        <f>'SIG TECSABOIS'!F8</f>
        <v>90000</v>
      </c>
      <c r="G12" s="329"/>
      <c r="H12" s="192">
        <f>'SIG TECSABOIS'!H8</f>
        <v>175000</v>
      </c>
      <c r="I12" s="331"/>
      <c r="J12" s="192">
        <f>'SIG TECSABOIS'!J8</f>
        <v>90000</v>
      </c>
      <c r="K12" s="331"/>
      <c r="L12" s="192">
        <f>'SIG TECSABOIS'!L8</f>
        <v>175000</v>
      </c>
    </row>
    <row r="13" spans="1:13">
      <c r="A13" s="10"/>
      <c r="B13" s="11" t="s">
        <v>37</v>
      </c>
      <c r="C13" s="11"/>
      <c r="D13" s="3">
        <v>0</v>
      </c>
      <c r="E13" s="301"/>
      <c r="F13" s="3">
        <v>-80000</v>
      </c>
      <c r="G13" s="301"/>
      <c r="H13" s="3">
        <v>0</v>
      </c>
      <c r="J13" s="3">
        <v>0</v>
      </c>
      <c r="L13" s="3">
        <v>0</v>
      </c>
    </row>
    <row r="14" spans="1:13">
      <c r="A14" s="10"/>
      <c r="B14" s="11"/>
      <c r="C14" s="11"/>
      <c r="E14" s="11"/>
      <c r="F14" s="3"/>
      <c r="H14" s="3"/>
      <c r="J14" s="3"/>
      <c r="L14" s="3"/>
    </row>
    <row r="15" spans="1:13" ht="15.75" thickBot="1">
      <c r="A15" s="24" t="s">
        <v>32</v>
      </c>
      <c r="B15" s="24"/>
      <c r="C15" s="24"/>
      <c r="D15" s="193">
        <f>D9-D13-D11-D12</f>
        <v>504000</v>
      </c>
      <c r="E15" s="312">
        <f>D15/D9</f>
        <v>0.7</v>
      </c>
      <c r="F15" s="193">
        <f>F9-F13-F11-F12</f>
        <v>542000</v>
      </c>
      <c r="G15" s="312">
        <f>F15/F9</f>
        <v>0.82121212121212117</v>
      </c>
      <c r="H15" s="193">
        <f>H9-H13-H11-H12</f>
        <v>641700</v>
      </c>
      <c r="I15" s="312">
        <f>H15/H9</f>
        <v>0.69</v>
      </c>
      <c r="J15" s="193">
        <f>J9-J13-J12-J11</f>
        <v>918000</v>
      </c>
      <c r="K15" s="312">
        <f>J15/J9</f>
        <v>0.68</v>
      </c>
      <c r="L15" s="193">
        <f>L9-L13-L12-L11</f>
        <v>1172500</v>
      </c>
      <c r="M15" s="312">
        <f>L15/L9</f>
        <v>0.67</v>
      </c>
    </row>
    <row r="16" spans="1:13" ht="15.75" thickTop="1">
      <c r="A16" s="10"/>
      <c r="B16" s="11"/>
      <c r="C16" s="11"/>
      <c r="E16" s="11"/>
      <c r="F16" s="3"/>
      <c r="H16" s="3"/>
      <c r="J16" s="3"/>
      <c r="L16" s="3"/>
    </row>
    <row r="17" spans="1:13">
      <c r="A17" s="10"/>
      <c r="B17" s="9" t="s">
        <v>38</v>
      </c>
      <c r="D17" s="262"/>
      <c r="F17" s="262"/>
      <c r="H17" s="262"/>
      <c r="J17" s="262"/>
      <c r="L17" s="262"/>
    </row>
    <row r="18" spans="1:13">
      <c r="A18" s="39"/>
      <c r="C18" s="9" t="s">
        <v>57</v>
      </c>
      <c r="D18" s="3">
        <f>D9*E18</f>
        <v>43200</v>
      </c>
      <c r="E18" s="301">
        <v>0.06</v>
      </c>
      <c r="F18" s="3">
        <f>F9*G18</f>
        <v>39600</v>
      </c>
      <c r="G18" s="301">
        <v>0.06</v>
      </c>
      <c r="H18" s="3">
        <f>H9*I18</f>
        <v>55800</v>
      </c>
      <c r="I18" s="301">
        <v>0.06</v>
      </c>
      <c r="J18" s="3">
        <f>J9*K18</f>
        <v>81000</v>
      </c>
      <c r="K18" s="301">
        <v>0.06</v>
      </c>
      <c r="L18" s="3">
        <f>L9*M18</f>
        <v>105000</v>
      </c>
      <c r="M18" s="301">
        <v>0.06</v>
      </c>
    </row>
    <row r="19" spans="1:13">
      <c r="A19" s="39"/>
      <c r="B19" s="52">
        <v>0.03</v>
      </c>
      <c r="C19" s="9" t="s">
        <v>58</v>
      </c>
      <c r="D19" s="3">
        <v>120478</v>
      </c>
      <c r="E19" s="301"/>
      <c r="F19" s="3">
        <f>D19+D19*$B$19</f>
        <v>124092.34</v>
      </c>
      <c r="G19" s="301"/>
      <c r="H19" s="3">
        <f>F19+F19*$B$19</f>
        <v>127815.1102</v>
      </c>
      <c r="J19" s="3">
        <f>H19+H19*$B$19</f>
        <v>131649.56350600001</v>
      </c>
      <c r="L19" s="3">
        <f>J19+J19*$B$19</f>
        <v>135599.05041118001</v>
      </c>
    </row>
    <row r="20" spans="1:13">
      <c r="A20" s="39"/>
      <c r="B20" s="39"/>
      <c r="C20" s="9" t="s">
        <v>80</v>
      </c>
      <c r="D20" s="263">
        <v>24000</v>
      </c>
      <c r="E20" s="329"/>
      <c r="F20" s="263">
        <v>42000</v>
      </c>
      <c r="G20" s="329"/>
      <c r="H20" s="263">
        <v>66000</v>
      </c>
      <c r="I20" s="329"/>
      <c r="J20" s="263">
        <v>84000</v>
      </c>
      <c r="K20" s="329"/>
      <c r="L20" s="263">
        <v>102000</v>
      </c>
    </row>
    <row r="21" spans="1:13">
      <c r="A21" s="39"/>
      <c r="B21" s="39"/>
      <c r="D21" s="3">
        <f t="shared" ref="D21:F21" si="0">SUM(D18:D20)</f>
        <v>187678</v>
      </c>
      <c r="E21" s="3"/>
      <c r="F21" s="3">
        <f t="shared" si="0"/>
        <v>205692.34</v>
      </c>
      <c r="G21" s="3"/>
      <c r="H21" s="3">
        <f>SUM(H18:H20)</f>
        <v>249615.1102</v>
      </c>
      <c r="J21" s="3">
        <f>SUM(J18:J20)</f>
        <v>296649.56350599998</v>
      </c>
      <c r="L21" s="3">
        <f>SUM(L18:L20)</f>
        <v>342599.05041118001</v>
      </c>
    </row>
    <row r="22" spans="1:13">
      <c r="A22" s="40"/>
      <c r="B22" s="11"/>
      <c r="C22" s="11"/>
      <c r="E22" s="11"/>
      <c r="F22" s="3"/>
      <c r="H22" s="3"/>
      <c r="J22" s="3"/>
      <c r="L22" s="3"/>
    </row>
    <row r="23" spans="1:13" ht="15.75" thickBot="1">
      <c r="A23" s="24" t="s">
        <v>1</v>
      </c>
      <c r="B23" s="24"/>
      <c r="C23" s="24"/>
      <c r="D23" s="193">
        <f>+D15-D21</f>
        <v>316322</v>
      </c>
      <c r="E23" s="24"/>
      <c r="F23" s="193">
        <f>+F15-F21</f>
        <v>336307.66000000003</v>
      </c>
      <c r="G23" s="25"/>
      <c r="H23" s="193">
        <f>+H15-H21</f>
        <v>392084.8898</v>
      </c>
      <c r="I23" s="312">
        <f>H23/H9</f>
        <v>0.42159665569892474</v>
      </c>
      <c r="J23" s="193">
        <f>+J15-J21</f>
        <v>621350.43649400002</v>
      </c>
      <c r="K23" s="312">
        <f>J23/J9</f>
        <v>0.46025958258814814</v>
      </c>
      <c r="L23" s="193">
        <f>+L15-L21</f>
        <v>829900.94958881999</v>
      </c>
      <c r="M23" s="312">
        <f>L23/L9</f>
        <v>0.4742291140507543</v>
      </c>
    </row>
    <row r="24" spans="1:13" ht="15.75" thickTop="1">
      <c r="A24" s="10"/>
      <c r="B24" s="11"/>
      <c r="C24" s="11"/>
      <c r="E24" s="11"/>
      <c r="F24" s="3"/>
      <c r="H24" s="3"/>
      <c r="J24" s="3"/>
      <c r="L24" s="3"/>
    </row>
    <row r="25" spans="1:13">
      <c r="A25" s="18" t="s">
        <v>6</v>
      </c>
      <c r="B25" s="9" t="s">
        <v>49</v>
      </c>
      <c r="C25" s="1"/>
      <c r="D25" s="3">
        <v>0</v>
      </c>
      <c r="E25" s="12"/>
      <c r="F25" s="3">
        <v>0</v>
      </c>
      <c r="H25" s="3">
        <v>0</v>
      </c>
      <c r="J25" s="3">
        <v>0</v>
      </c>
      <c r="L25" s="3">
        <v>0</v>
      </c>
    </row>
    <row r="26" spans="1:13" s="5" customFormat="1">
      <c r="A26" s="14" t="s">
        <v>47</v>
      </c>
      <c r="B26" s="15" t="s">
        <v>39</v>
      </c>
      <c r="D26" s="188">
        <f>(+D27+D28)*E26</f>
        <v>16270.1</v>
      </c>
      <c r="E26" s="301">
        <v>0.05</v>
      </c>
      <c r="F26" s="188">
        <f>(+F27+F28)*G26</f>
        <v>17380.650000000001</v>
      </c>
      <c r="G26" s="301">
        <v>0.05</v>
      </c>
      <c r="H26" s="188">
        <f>(+H27+H28)*I26</f>
        <v>17380.650000000001</v>
      </c>
      <c r="I26" s="301">
        <v>0.05</v>
      </c>
      <c r="J26" s="188">
        <f>(+J27+J28)*K26</f>
        <v>25389.279999999999</v>
      </c>
      <c r="K26" s="301">
        <v>0.05</v>
      </c>
      <c r="L26" s="188">
        <f>(+L27+L28)*M26</f>
        <v>29519.279999999999</v>
      </c>
      <c r="M26" s="301">
        <v>0.05</v>
      </c>
    </row>
    <row r="27" spans="1:13">
      <c r="A27" s="17" t="s">
        <v>47</v>
      </c>
      <c r="B27" s="11" t="s">
        <v>50</v>
      </c>
      <c r="C27" s="1"/>
      <c r="D27" s="188">
        <v>232430</v>
      </c>
      <c r="E27" s="301">
        <f>D27/D9</f>
        <v>0.32281944444444444</v>
      </c>
      <c r="F27" s="188">
        <v>248295</v>
      </c>
      <c r="G27" s="301">
        <f>F27/F9</f>
        <v>0.37620454545454546</v>
      </c>
      <c r="H27" s="188">
        <f>248295</f>
        <v>248295</v>
      </c>
      <c r="I27" s="301">
        <f>H27/H9</f>
        <v>0.26698387096774195</v>
      </c>
      <c r="J27" s="188">
        <f>321704+36000+5000</f>
        <v>362704</v>
      </c>
      <c r="K27" s="301">
        <f>J27/J9</f>
        <v>0.26866962962962965</v>
      </c>
      <c r="L27" s="188">
        <f>321704+90000+10000</f>
        <v>421704</v>
      </c>
      <c r="M27" s="301">
        <f>L27/L9</f>
        <v>0.24097371428571429</v>
      </c>
    </row>
    <row r="28" spans="1:13">
      <c r="A28" s="17" t="s">
        <v>47</v>
      </c>
      <c r="B28" s="11" t="s">
        <v>40</v>
      </c>
      <c r="C28" s="1"/>
      <c r="D28" s="188">
        <f>+D27*E28</f>
        <v>92972</v>
      </c>
      <c r="E28" s="301">
        <v>0.4</v>
      </c>
      <c r="F28" s="188">
        <f>+F27*G28</f>
        <v>99318</v>
      </c>
      <c r="G28" s="301">
        <v>0.4</v>
      </c>
      <c r="H28" s="188">
        <f>+H27*I28</f>
        <v>99318</v>
      </c>
      <c r="I28" s="301">
        <v>0.4</v>
      </c>
      <c r="J28" s="188">
        <f>+J27*K28</f>
        <v>145081.60000000001</v>
      </c>
      <c r="K28" s="301">
        <v>0.4</v>
      </c>
      <c r="L28" s="188">
        <f>+L27*M28</f>
        <v>168681.60000000001</v>
      </c>
      <c r="M28" s="301">
        <v>0.4</v>
      </c>
    </row>
    <row r="29" spans="1:13">
      <c r="F29" s="3"/>
      <c r="H29" s="3"/>
      <c r="J29" s="3"/>
      <c r="L29" s="3"/>
    </row>
    <row r="30" spans="1:13" ht="15.75" thickBot="1">
      <c r="A30" s="24" t="s">
        <v>2</v>
      </c>
      <c r="B30" s="24"/>
      <c r="C30" s="24"/>
      <c r="D30" s="193">
        <f>+D23+D25-SUM(D26:D28)</f>
        <v>-25350.099999999977</v>
      </c>
      <c r="E30" s="25"/>
      <c r="F30" s="193">
        <f>+F23+F25-SUM(F26:F28)</f>
        <v>-28685.989999999991</v>
      </c>
      <c r="G30" s="25"/>
      <c r="H30" s="193">
        <f>+H23+H25-SUM(H26:H28)</f>
        <v>27091.239799999981</v>
      </c>
      <c r="I30" s="312">
        <f>+H30/H9</f>
        <v>2.9130365376344065E-2</v>
      </c>
      <c r="J30" s="193">
        <f>+J23+J25-SUM(J26:J28)</f>
        <v>88175.556494000019</v>
      </c>
      <c r="K30" s="312">
        <f>+J30/J9</f>
        <v>6.5315227032592613E-2</v>
      </c>
      <c r="L30" s="193">
        <f>+L23+L25-SUM(L26:L28)</f>
        <v>209996.06958881998</v>
      </c>
      <c r="M30" s="312">
        <f>+L30/L9</f>
        <v>0.11999775405075427</v>
      </c>
    </row>
    <row r="31" spans="1:13" ht="15.75" thickTop="1">
      <c r="F31" s="3"/>
      <c r="H31" s="3"/>
      <c r="J31" s="3"/>
      <c r="L31" s="3"/>
    </row>
    <row r="32" spans="1:13">
      <c r="A32" s="18" t="s">
        <v>6</v>
      </c>
      <c r="B32" s="9" t="s">
        <v>48</v>
      </c>
      <c r="D32" s="3">
        <v>0</v>
      </c>
      <c r="F32" s="264">
        <v>0</v>
      </c>
      <c r="H32" s="264">
        <v>0</v>
      </c>
      <c r="J32" s="264">
        <v>0</v>
      </c>
      <c r="L32" s="264">
        <v>0</v>
      </c>
    </row>
    <row r="33" spans="1:13">
      <c r="A33" s="10" t="s">
        <v>6</v>
      </c>
      <c r="B33" s="11" t="s">
        <v>42</v>
      </c>
      <c r="C33" s="11"/>
      <c r="D33" s="3">
        <v>0</v>
      </c>
      <c r="E33" s="11"/>
      <c r="F33" s="3">
        <v>0</v>
      </c>
      <c r="H33" s="3">
        <v>0</v>
      </c>
      <c r="J33" s="3">
        <v>0</v>
      </c>
      <c r="L33" s="3">
        <v>0</v>
      </c>
    </row>
    <row r="34" spans="1:13">
      <c r="A34" s="18" t="s">
        <v>47</v>
      </c>
      <c r="B34" s="9" t="s">
        <v>3</v>
      </c>
      <c r="D34" s="3">
        <v>38500</v>
      </c>
      <c r="E34" s="3"/>
      <c r="F34" s="3">
        <v>38500</v>
      </c>
      <c r="G34" s="3"/>
      <c r="H34" s="3">
        <v>38500</v>
      </c>
      <c r="J34" s="3">
        <v>38500</v>
      </c>
      <c r="L34" s="3">
        <v>38500</v>
      </c>
    </row>
    <row r="35" spans="1:13">
      <c r="A35" s="17" t="s">
        <v>47</v>
      </c>
      <c r="B35" s="11" t="s">
        <v>41</v>
      </c>
      <c r="C35" s="11"/>
      <c r="D35" s="3">
        <v>0</v>
      </c>
      <c r="E35" s="11"/>
      <c r="F35" s="188">
        <v>0</v>
      </c>
      <c r="G35" s="16"/>
      <c r="H35" s="188">
        <v>0</v>
      </c>
      <c r="J35" s="188">
        <v>0</v>
      </c>
      <c r="L35" s="188">
        <v>0</v>
      </c>
    </row>
    <row r="36" spans="1:13">
      <c r="F36" s="3"/>
      <c r="H36" s="3"/>
      <c r="J36" s="3"/>
      <c r="L36" s="3"/>
    </row>
    <row r="37" spans="1:13" ht="15.75" thickBot="1">
      <c r="A37" s="24" t="s">
        <v>4</v>
      </c>
      <c r="B37" s="24"/>
      <c r="C37" s="24"/>
      <c r="D37" s="193">
        <f>D30+D32+D33-D34-D35</f>
        <v>-63850.099999999977</v>
      </c>
      <c r="E37" s="24"/>
      <c r="F37" s="193">
        <f>F30+F32+F33-F34-F35</f>
        <v>-67185.989999999991</v>
      </c>
      <c r="G37" s="25"/>
      <c r="H37" s="193">
        <f>H30+H32+H33-H34-H35</f>
        <v>-11408.760200000019</v>
      </c>
      <c r="I37" s="312">
        <f>H37/H9</f>
        <v>-1.2267484086021525E-2</v>
      </c>
      <c r="J37" s="193">
        <f>J30+J32+J33-J34-J35</f>
        <v>49675.556494000019</v>
      </c>
      <c r="K37" s="312">
        <f>J37/J9</f>
        <v>3.6796708514074086E-2</v>
      </c>
      <c r="L37" s="193">
        <f>L30+L32+L33-L34-L35</f>
        <v>171496.06958881998</v>
      </c>
      <c r="M37" s="312">
        <f>L37/L9</f>
        <v>9.7997754050754282E-2</v>
      </c>
    </row>
    <row r="38" spans="1:13" ht="15.75" thickTop="1">
      <c r="F38" s="3"/>
      <c r="H38" s="3"/>
      <c r="J38" s="3"/>
      <c r="L38" s="3"/>
    </row>
    <row r="39" spans="1:13">
      <c r="B39" s="9" t="s">
        <v>5</v>
      </c>
      <c r="D39" s="3">
        <f>-$H$9*E39</f>
        <v>-18600</v>
      </c>
      <c r="E39" s="301">
        <v>0.02</v>
      </c>
      <c r="F39" s="3">
        <f>-$J$9*G39</f>
        <v>-13500</v>
      </c>
      <c r="G39" s="301">
        <v>0.01</v>
      </c>
      <c r="H39" s="3">
        <f>-$L$9*I39</f>
        <v>-17500</v>
      </c>
      <c r="I39" s="301">
        <v>0.01</v>
      </c>
      <c r="J39" s="3">
        <f>-$J$9*K39</f>
        <v>-13500</v>
      </c>
      <c r="K39" s="301">
        <v>0.01</v>
      </c>
      <c r="L39" s="3">
        <f>-$L$9*M39</f>
        <v>-17500</v>
      </c>
      <c r="M39" s="301">
        <v>0.01</v>
      </c>
    </row>
    <row r="40" spans="1:13">
      <c r="B40" s="9" t="s">
        <v>29</v>
      </c>
      <c r="D40" s="3">
        <v>0</v>
      </c>
      <c r="F40" s="3"/>
      <c r="H40" s="3">
        <v>0</v>
      </c>
      <c r="I40" s="301">
        <v>0.01</v>
      </c>
      <c r="J40" s="3">
        <v>0</v>
      </c>
      <c r="K40" s="301">
        <v>0.01</v>
      </c>
      <c r="L40" s="3">
        <v>0</v>
      </c>
      <c r="M40" s="301">
        <v>0.01</v>
      </c>
    </row>
    <row r="41" spans="1:13">
      <c r="B41" s="9" t="s">
        <v>9</v>
      </c>
      <c r="D41" s="3">
        <v>0</v>
      </c>
      <c r="F41" s="3">
        <v>0</v>
      </c>
      <c r="H41" s="3">
        <v>0</v>
      </c>
      <c r="J41" s="3">
        <v>0</v>
      </c>
      <c r="L41" s="3">
        <v>0</v>
      </c>
    </row>
    <row r="42" spans="1:13">
      <c r="F42" s="3"/>
      <c r="H42" s="3"/>
      <c r="J42" s="3"/>
      <c r="L42" s="3"/>
    </row>
    <row r="43" spans="1:13" ht="15.75" thickBot="1">
      <c r="A43" s="24" t="s">
        <v>10</v>
      </c>
      <c r="B43" s="24"/>
      <c r="C43" s="24"/>
      <c r="D43" s="193">
        <f>+D37+SUM(D39:D41)</f>
        <v>-82450.099999999977</v>
      </c>
      <c r="E43" s="24"/>
      <c r="F43" s="193">
        <f>SUM(F37:F42)</f>
        <v>-80685.989999999991</v>
      </c>
      <c r="G43" s="25"/>
      <c r="H43" s="193">
        <f>SUM(H37:H42)</f>
        <v>-28908.760200000019</v>
      </c>
      <c r="I43" s="312">
        <f>+H43/H9</f>
        <v>-3.1084688387096795E-2</v>
      </c>
      <c r="J43" s="193">
        <f>SUM(J37:J42)</f>
        <v>36175.556494000019</v>
      </c>
      <c r="K43" s="312">
        <f>+J43/J9</f>
        <v>2.6796708514074088E-2</v>
      </c>
      <c r="L43" s="193">
        <f>SUM(L37:L42)</f>
        <v>153996.06958881998</v>
      </c>
      <c r="M43" s="312">
        <f>+L43/L9</f>
        <v>8.7997754050754273E-2</v>
      </c>
    </row>
    <row r="44" spans="1:13" ht="15.75" thickTop="1">
      <c r="F44" s="3"/>
    </row>
    <row r="45" spans="1:13">
      <c r="F45" s="3"/>
      <c r="H45" s="13"/>
      <c r="J45" s="13"/>
      <c r="L45" s="13"/>
    </row>
    <row r="46" spans="1:13">
      <c r="F46" s="3"/>
      <c r="H46" s="13"/>
      <c r="J46" s="13"/>
      <c r="L46" s="13"/>
    </row>
    <row r="47" spans="1:13">
      <c r="F47" s="3"/>
      <c r="H47" s="13"/>
      <c r="J47" s="13"/>
      <c r="L47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1" orientation="landscape" horizontalDpi="300" verticalDpi="300" r:id="rId1"/>
  <headerFooter scaleWithDoc="0">
    <oddHeader>&amp;LDossier TECSAFINANCE
Annexe B1
&amp;CSolde intermédiaire de gestion
Société TECSABOIS CHARPENTE&amp;RConfidentiel</oddHeader>
    <oddFooter>&amp;L&amp;D&amp;R2/4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25"/>
  <sheetViews>
    <sheetView topLeftCell="A4" zoomScale="90" zoomScaleNormal="90" workbookViewId="0">
      <selection activeCell="A6" sqref="A6:E21"/>
    </sheetView>
  </sheetViews>
  <sheetFormatPr baseColWidth="10" defaultRowHeight="15"/>
  <cols>
    <col min="1" max="1" width="3.140625" style="98" customWidth="1"/>
    <col min="2" max="2" width="47.7109375" style="98" customWidth="1"/>
    <col min="3" max="3" width="14.7109375" style="89" customWidth="1"/>
    <col min="4" max="4" width="16" style="99" customWidth="1"/>
    <col min="5" max="5" width="17.42578125" style="99" customWidth="1"/>
    <col min="6" max="6" width="17.5703125" style="89" bestFit="1" customWidth="1"/>
    <col min="7" max="7" width="3.140625" style="89" customWidth="1"/>
    <col min="8" max="8" width="16.7109375" style="89" customWidth="1"/>
    <col min="9" max="9" width="13.28515625" style="89" bestFit="1" customWidth="1"/>
    <col min="10" max="10" width="3" style="89" customWidth="1"/>
    <col min="11" max="11" width="15.28515625" style="89" bestFit="1" customWidth="1"/>
    <col min="12" max="12" width="13.28515625" style="89" bestFit="1" customWidth="1"/>
    <col min="13" max="13" width="3" style="89" customWidth="1"/>
    <col min="14" max="14" width="15.28515625" style="89" bestFit="1" customWidth="1"/>
    <col min="15" max="15" width="13.28515625" style="89" bestFit="1" customWidth="1"/>
    <col min="16" max="16384" width="11.42578125" style="98"/>
  </cols>
  <sheetData>
    <row r="1" spans="1:15" ht="30">
      <c r="C1" s="89" t="s">
        <v>150</v>
      </c>
      <c r="D1" s="99" t="s">
        <v>151</v>
      </c>
      <c r="F1" s="100" t="s">
        <v>152</v>
      </c>
      <c r="G1" s="100"/>
      <c r="H1" s="100" t="s">
        <v>153</v>
      </c>
      <c r="I1" s="100" t="s">
        <v>154</v>
      </c>
      <c r="J1" s="100"/>
      <c r="K1" s="100" t="s">
        <v>153</v>
      </c>
      <c r="L1" s="100" t="s">
        <v>154</v>
      </c>
      <c r="M1" s="100"/>
      <c r="N1" s="100" t="s">
        <v>153</v>
      </c>
      <c r="O1" s="100" t="s">
        <v>154</v>
      </c>
    </row>
    <row r="2" spans="1:15">
      <c r="F2" s="100"/>
      <c r="G2" s="100"/>
      <c r="H2" s="357">
        <v>42004</v>
      </c>
      <c r="I2" s="357"/>
      <c r="J2" s="100"/>
      <c r="K2" s="357">
        <v>42369</v>
      </c>
      <c r="L2" s="357"/>
      <c r="M2" s="100"/>
      <c r="N2" s="357">
        <v>42735</v>
      </c>
      <c r="O2" s="357"/>
    </row>
    <row r="3" spans="1:15">
      <c r="A3" s="98" t="s">
        <v>155</v>
      </c>
      <c r="B3" s="101"/>
      <c r="C3" s="106"/>
      <c r="D3" s="102"/>
      <c r="E3" s="102"/>
      <c r="F3" s="93"/>
      <c r="G3" s="93"/>
      <c r="H3" s="93">
        <f>SUM(H4:H4)</f>
        <v>0</v>
      </c>
      <c r="I3" s="93">
        <f>SUM(I4:I4)</f>
        <v>0</v>
      </c>
      <c r="J3" s="93"/>
      <c r="K3" s="93">
        <f>SUM(K4:K4)</f>
        <v>0</v>
      </c>
      <c r="L3" s="93">
        <f>SUM(L4:L4)</f>
        <v>0</v>
      </c>
      <c r="M3" s="93"/>
      <c r="N3" s="93">
        <f>SUM(N4:N4)</f>
        <v>0</v>
      </c>
      <c r="O3" s="93">
        <f>SUM(O4:O4)</f>
        <v>0</v>
      </c>
    </row>
    <row r="4" spans="1:15">
      <c r="B4" s="98" t="s">
        <v>164</v>
      </c>
      <c r="C4" s="105"/>
      <c r="D4" s="107">
        <v>41609</v>
      </c>
      <c r="E4" s="107"/>
      <c r="H4" s="89">
        <f>$C$4/(3*365)*(H2-$D$4)</f>
        <v>0</v>
      </c>
      <c r="I4" s="89">
        <f>+$C4-H4</f>
        <v>0</v>
      </c>
      <c r="K4" s="89">
        <f>$C$4/(3*365)*(K2-$D$4)-H4</f>
        <v>0</v>
      </c>
      <c r="L4" s="89">
        <f>+I4-K4</f>
        <v>0</v>
      </c>
      <c r="N4" s="89">
        <f>+L4</f>
        <v>0</v>
      </c>
      <c r="O4" s="89">
        <v>0</v>
      </c>
    </row>
    <row r="6" spans="1:15">
      <c r="A6" s="136" t="s">
        <v>156</v>
      </c>
      <c r="B6" s="137"/>
      <c r="C6" s="138"/>
      <c r="D6" s="139"/>
      <c r="E6" s="139"/>
      <c r="F6" s="93"/>
      <c r="G6" s="93"/>
      <c r="H6" s="93">
        <f>SUM(H11:H18)</f>
        <v>13370.776255707762</v>
      </c>
      <c r="I6" s="93">
        <f>SUM(I11:I18)</f>
        <v>121629.22374429225</v>
      </c>
      <c r="J6" s="93"/>
      <c r="K6" s="93">
        <f>SUM(K11:K18)</f>
        <v>49418.264840182637</v>
      </c>
      <c r="L6" s="93">
        <f>SUM(L11:L18)</f>
        <v>72210.95890410959</v>
      </c>
      <c r="M6" s="93"/>
      <c r="N6" s="93">
        <f>SUM(N11:N18)</f>
        <v>106756.16438356166</v>
      </c>
      <c r="O6" s="93">
        <f>SUM(O11:O18)</f>
        <v>-34545.205479452052</v>
      </c>
    </row>
    <row r="7" spans="1:15">
      <c r="A7" s="136" t="s">
        <v>102</v>
      </c>
      <c r="B7" s="140"/>
      <c r="C7" s="141"/>
      <c r="D7" s="142"/>
      <c r="E7" s="142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>
      <c r="A8" s="136"/>
      <c r="B8" s="340" t="s">
        <v>603</v>
      </c>
      <c r="C8" s="141">
        <v>30000</v>
      </c>
      <c r="D8" s="344">
        <v>41639</v>
      </c>
      <c r="E8" s="345" t="s">
        <v>597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>
      <c r="A9" s="136"/>
      <c r="B9" s="340" t="s">
        <v>604</v>
      </c>
      <c r="C9" s="141">
        <v>25000</v>
      </c>
      <c r="D9" s="344">
        <v>41639</v>
      </c>
      <c r="E9" s="345" t="s">
        <v>597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>
      <c r="A10" s="136"/>
      <c r="B10" s="340"/>
      <c r="C10" s="141"/>
      <c r="D10" s="142"/>
      <c r="E10" s="344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>
      <c r="A11" s="136"/>
      <c r="B11" s="140" t="s">
        <v>165</v>
      </c>
      <c r="C11" s="130">
        <v>100000</v>
      </c>
      <c r="D11" s="342">
        <v>41883</v>
      </c>
      <c r="E11" s="343" t="s">
        <v>596</v>
      </c>
      <c r="F11" s="125" t="s">
        <v>181</v>
      </c>
      <c r="H11" s="89">
        <f>$C$11/(3*365)*(H2-$D$11)</f>
        <v>11050.228310502283</v>
      </c>
      <c r="I11" s="89">
        <f>+$C11-H11</f>
        <v>88949.77168949772</v>
      </c>
      <c r="K11" s="89">
        <f>$C$11/(3*365)*(K$2-$D$11)-H11</f>
        <v>33333.333333333328</v>
      </c>
      <c r="L11" s="89">
        <f>I11-K11</f>
        <v>55616.438356164392</v>
      </c>
      <c r="N11" s="89">
        <f>C11-H11-K11</f>
        <v>55616.438356164392</v>
      </c>
      <c r="O11" s="89">
        <v>0</v>
      </c>
    </row>
    <row r="12" spans="1:15">
      <c r="A12" s="136"/>
      <c r="B12" s="340" t="s">
        <v>601</v>
      </c>
      <c r="C12" s="130">
        <v>35000</v>
      </c>
      <c r="D12" s="342">
        <v>41883</v>
      </c>
      <c r="E12" s="343" t="s">
        <v>596</v>
      </c>
      <c r="F12" s="89" t="s">
        <v>167</v>
      </c>
      <c r="H12" s="89">
        <f>C12/(5*365)*(H$2-$D12)</f>
        <v>2320.5479452054792</v>
      </c>
      <c r="I12" s="89">
        <f>+C12-H12</f>
        <v>32679.452054794521</v>
      </c>
      <c r="K12" s="89">
        <f>C12/(5*365)*(K$2-$D12)-H12</f>
        <v>7000</v>
      </c>
      <c r="L12" s="89">
        <f>I12-K12</f>
        <v>25679.452054794521</v>
      </c>
      <c r="N12" s="89">
        <f>$C12/(5*365)*(N$2-$D12)-H12-K12</f>
        <v>7019.17808219178</v>
      </c>
      <c r="O12" s="89">
        <f>+L12-N12</f>
        <v>18660.273972602743</v>
      </c>
    </row>
    <row r="13" spans="1:15">
      <c r="A13" s="136"/>
      <c r="B13" s="340" t="s">
        <v>602</v>
      </c>
      <c r="C13" s="130">
        <v>50000</v>
      </c>
      <c r="D13" s="342">
        <v>42248</v>
      </c>
      <c r="E13" s="343" t="s">
        <v>596</v>
      </c>
      <c r="K13" s="89">
        <f>C13/(5*365)*(K$2-$D13)-H13</f>
        <v>3315.0684931506848</v>
      </c>
      <c r="L13" s="89">
        <f>I13-K13</f>
        <v>-3315.0684931506848</v>
      </c>
      <c r="N13" s="89">
        <f>$C13/(5*365)*(N$2-$D13)-H13-K13</f>
        <v>10027.397260273974</v>
      </c>
      <c r="O13" s="89">
        <f>+L13-N13</f>
        <v>-13342.465753424658</v>
      </c>
    </row>
    <row r="14" spans="1:15">
      <c r="A14" s="136"/>
      <c r="B14" s="340" t="s">
        <v>598</v>
      </c>
      <c r="C14" s="130">
        <v>120000</v>
      </c>
      <c r="D14" s="342">
        <v>42370</v>
      </c>
      <c r="E14" s="343" t="s">
        <v>597</v>
      </c>
      <c r="K14" s="89">
        <f>C14/(5*365)*(K$2-$D14)-H14</f>
        <v>-65.753424657534254</v>
      </c>
      <c r="L14" s="89">
        <f>I14-K14</f>
        <v>65.753424657534254</v>
      </c>
      <c r="N14" s="89">
        <f>$C14/(5*365)*(N$2-$D14)-H14-K14</f>
        <v>24065.753424657538</v>
      </c>
      <c r="O14" s="89">
        <f>+L14-N14</f>
        <v>-24000.000000000004</v>
      </c>
    </row>
    <row r="15" spans="1:15">
      <c r="A15" s="136"/>
      <c r="B15" s="340" t="s">
        <v>166</v>
      </c>
      <c r="C15" s="130">
        <v>50000</v>
      </c>
      <c r="D15" s="342">
        <v>42371</v>
      </c>
      <c r="E15" s="343" t="s">
        <v>597</v>
      </c>
    </row>
    <row r="16" spans="1:15">
      <c r="A16" s="136"/>
      <c r="B16" s="140"/>
      <c r="C16" s="130"/>
      <c r="D16" s="342"/>
      <c r="E16" s="343"/>
    </row>
    <row r="17" spans="1:15">
      <c r="A17" s="136" t="s">
        <v>45</v>
      </c>
      <c r="B17" s="140"/>
      <c r="C17" s="130"/>
      <c r="D17" s="342"/>
      <c r="E17" s="342"/>
    </row>
    <row r="18" spans="1:15">
      <c r="A18" s="136"/>
      <c r="B18" s="347" t="s">
        <v>168</v>
      </c>
      <c r="C18" s="130">
        <v>50000</v>
      </c>
      <c r="D18" s="342">
        <v>42156</v>
      </c>
      <c r="E18" s="343" t="s">
        <v>596</v>
      </c>
      <c r="K18" s="89">
        <f>C18/(5*365)*(K$2-$D18)-H18</f>
        <v>5835.6164383561645</v>
      </c>
      <c r="L18" s="89">
        <f>I18-K18</f>
        <v>-5835.6164383561645</v>
      </c>
      <c r="N18" s="89">
        <f>$C18/(5*365)*(N$2-$D18)-H18-K18</f>
        <v>10027.397260273972</v>
      </c>
      <c r="O18" s="89">
        <f>+L18-N18</f>
        <v>-15863.013698630137</v>
      </c>
    </row>
    <row r="19" spans="1:15">
      <c r="A19" s="136"/>
      <c r="B19" s="341" t="s">
        <v>599</v>
      </c>
      <c r="C19" s="130">
        <v>100000</v>
      </c>
      <c r="D19" s="342">
        <v>42156</v>
      </c>
      <c r="E19" s="343" t="s">
        <v>597</v>
      </c>
    </row>
    <row r="20" spans="1:15">
      <c r="A20" s="136"/>
      <c r="B20" s="346" t="s">
        <v>600</v>
      </c>
      <c r="C20" s="130">
        <v>250000</v>
      </c>
      <c r="D20" s="342">
        <v>42156</v>
      </c>
      <c r="E20" s="343" t="s">
        <v>597</v>
      </c>
    </row>
    <row r="21" spans="1:15">
      <c r="A21" s="136"/>
      <c r="B21" s="143" t="s">
        <v>182</v>
      </c>
      <c r="C21" s="130">
        <f>SUM(C11:C20)</f>
        <v>755000</v>
      </c>
      <c r="D21" s="135"/>
      <c r="E21" s="135"/>
    </row>
    <row r="22" spans="1:15">
      <c r="A22" s="98" t="s">
        <v>157</v>
      </c>
      <c r="B22" s="101"/>
      <c r="C22" s="93"/>
      <c r="D22" s="102"/>
      <c r="E22" s="102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5">
      <c r="B23" s="98" t="s">
        <v>158</v>
      </c>
      <c r="C23" s="105"/>
      <c r="D23" s="107"/>
      <c r="E23" s="107"/>
      <c r="H23" s="89">
        <v>0</v>
      </c>
      <c r="I23" s="89">
        <f>+$C$23-H23</f>
        <v>0</v>
      </c>
      <c r="K23" s="89">
        <v>0</v>
      </c>
      <c r="L23" s="89">
        <f>+$C$23-K23</f>
        <v>0</v>
      </c>
      <c r="N23" s="89">
        <v>0</v>
      </c>
      <c r="O23" s="89">
        <f>+$C$23-N23</f>
        <v>0</v>
      </c>
    </row>
    <row r="24" spans="1:15">
      <c r="C24" s="93"/>
      <c r="F24" s="103"/>
    </row>
    <row r="25" spans="1:15">
      <c r="C25" s="104">
        <f>C3+C6</f>
        <v>0</v>
      </c>
      <c r="F25" s="103"/>
      <c r="H25" s="104">
        <f>H3+H6</f>
        <v>13370.776255707762</v>
      </c>
      <c r="I25" s="104">
        <f>I3+I6</f>
        <v>121629.22374429225</v>
      </c>
      <c r="K25" s="104">
        <f>K3+K6</f>
        <v>49418.264840182637</v>
      </c>
      <c r="L25" s="104">
        <f>L3+L6</f>
        <v>72210.95890410959</v>
      </c>
      <c r="N25" s="104">
        <f>N3+N6</f>
        <v>106756.16438356166</v>
      </c>
      <c r="O25" s="104">
        <f>O3+O6</f>
        <v>-34545.205479452052</v>
      </c>
    </row>
  </sheetData>
  <mergeCells count="3">
    <mergeCell ref="H2:I2"/>
    <mergeCell ref="K2:L2"/>
    <mergeCell ref="N2:O2"/>
  </mergeCells>
  <phoneticPr fontId="8" type="noConversion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landscape" r:id="rId1"/>
  <headerFooter>
    <oddHeader>&amp;LC.V.M.&amp;CTableau des immobilisations</oddHeader>
    <oddFooter>&amp;L&amp;D&amp;R&amp;P/&amp;N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D12" sqref="D12"/>
    </sheetView>
  </sheetViews>
  <sheetFormatPr baseColWidth="10" defaultRowHeight="15"/>
  <cols>
    <col min="1" max="1" width="29.42578125" customWidth="1"/>
    <col min="2" max="2" width="13" style="49" bestFit="1" customWidth="1"/>
    <col min="3" max="3" width="14.7109375" bestFit="1" customWidth="1"/>
    <col min="4" max="4" width="13" bestFit="1" customWidth="1"/>
  </cols>
  <sheetData>
    <row r="1" spans="1:4">
      <c r="B1" s="49" t="s">
        <v>65</v>
      </c>
      <c r="C1" t="s">
        <v>83</v>
      </c>
      <c r="D1" t="s">
        <v>84</v>
      </c>
    </row>
    <row r="2" spans="1:4">
      <c r="B2" s="49" t="s">
        <v>81</v>
      </c>
      <c r="C2" t="s">
        <v>82</v>
      </c>
    </row>
    <row r="4" spans="1:4">
      <c r="A4" t="s">
        <v>64</v>
      </c>
      <c r="B4" s="49">
        <v>20000</v>
      </c>
      <c r="C4" s="49">
        <v>20000</v>
      </c>
      <c r="D4" s="51">
        <f>SUM(B4:C4)</f>
        <v>40000</v>
      </c>
    </row>
    <row r="5" spans="1:4">
      <c r="A5" t="s">
        <v>66</v>
      </c>
      <c r="B5" s="49">
        <v>488</v>
      </c>
      <c r="C5" s="49">
        <v>488</v>
      </c>
      <c r="D5" s="51">
        <f t="shared" ref="D5:D18" si="0">SUM(B5:C5)</f>
        <v>976</v>
      </c>
    </row>
    <row r="6" spans="1:4">
      <c r="A6" t="s">
        <v>67</v>
      </c>
      <c r="B6" s="49">
        <v>12500</v>
      </c>
      <c r="C6" s="49">
        <v>12500</v>
      </c>
      <c r="D6" s="51">
        <f t="shared" si="0"/>
        <v>25000</v>
      </c>
    </row>
    <row r="7" spans="1:4">
      <c r="A7" t="s">
        <v>68</v>
      </c>
      <c r="B7" s="49">
        <v>5215</v>
      </c>
      <c r="C7" s="49">
        <v>5215</v>
      </c>
      <c r="D7" s="51">
        <f t="shared" si="0"/>
        <v>10430</v>
      </c>
    </row>
    <row r="8" spans="1:4">
      <c r="A8" t="s">
        <v>69</v>
      </c>
      <c r="B8" s="49">
        <v>5154</v>
      </c>
      <c r="C8" s="49">
        <v>5154</v>
      </c>
      <c r="D8" s="51">
        <f t="shared" si="0"/>
        <v>10308</v>
      </c>
    </row>
    <row r="9" spans="1:4">
      <c r="A9" t="s">
        <v>70</v>
      </c>
      <c r="B9" s="49">
        <v>14031</v>
      </c>
      <c r="C9" s="49">
        <v>14031</v>
      </c>
      <c r="D9" s="51">
        <f t="shared" si="0"/>
        <v>28062</v>
      </c>
    </row>
    <row r="10" spans="1:4">
      <c r="A10" t="s">
        <v>71</v>
      </c>
      <c r="B10" s="49">
        <v>5000</v>
      </c>
      <c r="C10" s="49">
        <v>5000</v>
      </c>
      <c r="D10" s="51">
        <f t="shared" si="0"/>
        <v>10000</v>
      </c>
    </row>
    <row r="11" spans="1:4">
      <c r="A11" t="s">
        <v>72</v>
      </c>
      <c r="B11" s="49">
        <v>1705</v>
      </c>
      <c r="C11" s="49">
        <v>1705</v>
      </c>
      <c r="D11" s="51">
        <f t="shared" si="0"/>
        <v>3410</v>
      </c>
    </row>
    <row r="12" spans="1:4">
      <c r="A12" t="s">
        <v>73</v>
      </c>
      <c r="B12" s="49">
        <v>0</v>
      </c>
      <c r="C12" s="49">
        <v>25000</v>
      </c>
      <c r="D12" s="51">
        <f t="shared" si="0"/>
        <v>25000</v>
      </c>
    </row>
    <row r="13" spans="1:4">
      <c r="A13" t="s">
        <v>74</v>
      </c>
      <c r="B13" s="49">
        <v>12824</v>
      </c>
      <c r="C13" s="49">
        <v>12824</v>
      </c>
      <c r="D13" s="51">
        <f t="shared" si="0"/>
        <v>25648</v>
      </c>
    </row>
    <row r="14" spans="1:4">
      <c r="A14" t="s">
        <v>75</v>
      </c>
      <c r="B14" s="49">
        <v>6495</v>
      </c>
      <c r="C14" s="49">
        <v>6495</v>
      </c>
      <c r="D14" s="51">
        <f t="shared" si="0"/>
        <v>12990</v>
      </c>
    </row>
    <row r="15" spans="1:4">
      <c r="A15" t="s">
        <v>76</v>
      </c>
      <c r="B15" s="49">
        <v>2982</v>
      </c>
      <c r="C15" s="49">
        <v>2982</v>
      </c>
      <c r="D15" s="51">
        <f t="shared" si="0"/>
        <v>5964</v>
      </c>
    </row>
    <row r="16" spans="1:4">
      <c r="A16" t="s">
        <v>77</v>
      </c>
      <c r="B16" s="49">
        <v>4345</v>
      </c>
      <c r="C16" s="49">
        <v>4345</v>
      </c>
      <c r="D16" s="51">
        <f t="shared" si="0"/>
        <v>8690</v>
      </c>
    </row>
    <row r="17" spans="1:4">
      <c r="B17" s="50"/>
      <c r="C17" s="50"/>
      <c r="D17" s="51">
        <f t="shared" si="0"/>
        <v>0</v>
      </c>
    </row>
    <row r="18" spans="1:4">
      <c r="B18" s="49">
        <f>SUM(B4:B17)</f>
        <v>90739</v>
      </c>
      <c r="C18" s="49">
        <f>SUM(C4:C17)</f>
        <v>115739</v>
      </c>
      <c r="D18" s="51">
        <f t="shared" si="0"/>
        <v>206478</v>
      </c>
    </row>
    <row r="20" spans="1:4">
      <c r="A20" t="s">
        <v>79</v>
      </c>
      <c r="C20">
        <v>4</v>
      </c>
    </row>
    <row r="21" spans="1:4">
      <c r="A21" t="s">
        <v>78</v>
      </c>
      <c r="C21">
        <v>5</v>
      </c>
    </row>
  </sheetData>
  <phoneticPr fontId="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67"/>
  <sheetViews>
    <sheetView topLeftCell="A4" workbookViewId="0">
      <selection activeCell="E21" sqref="E21"/>
    </sheetView>
  </sheetViews>
  <sheetFormatPr baseColWidth="10" defaultRowHeight="15"/>
  <sheetData>
    <row r="1" spans="1:8" ht="71.25">
      <c r="A1" s="160" t="s">
        <v>375</v>
      </c>
      <c r="B1" s="160" t="s">
        <v>374</v>
      </c>
      <c r="C1" s="160" t="s">
        <v>373</v>
      </c>
      <c r="D1" s="160" t="s">
        <v>372</v>
      </c>
      <c r="E1" s="160" t="s">
        <v>371</v>
      </c>
      <c r="F1" s="160" t="s">
        <v>370</v>
      </c>
      <c r="G1" s="160" t="s">
        <v>369</v>
      </c>
      <c r="H1" s="160" t="s">
        <v>368</v>
      </c>
    </row>
    <row r="2" spans="1:8">
      <c r="A2" s="159">
        <v>1</v>
      </c>
      <c r="B2" s="158">
        <v>41791</v>
      </c>
      <c r="C2" s="157" t="s">
        <v>367</v>
      </c>
      <c r="D2" s="157" t="s">
        <v>207</v>
      </c>
      <c r="E2" s="157">
        <v>2088.27</v>
      </c>
      <c r="F2" s="157" t="s">
        <v>366</v>
      </c>
      <c r="G2" s="157" t="s">
        <v>204</v>
      </c>
      <c r="H2" s="157" t="s">
        <v>203</v>
      </c>
    </row>
    <row r="3" spans="1:8">
      <c r="A3" s="159">
        <v>2</v>
      </c>
      <c r="B3" s="158">
        <v>41821</v>
      </c>
      <c r="C3" s="157" t="s">
        <v>365</v>
      </c>
      <c r="D3" s="157" t="s">
        <v>207</v>
      </c>
      <c r="E3" s="157">
        <v>2093.4899999999998</v>
      </c>
      <c r="F3" s="157" t="s">
        <v>364</v>
      </c>
      <c r="G3" s="157" t="s">
        <v>204</v>
      </c>
      <c r="H3" s="157" t="s">
        <v>203</v>
      </c>
    </row>
    <row r="4" spans="1:8">
      <c r="A4" s="159">
        <v>3</v>
      </c>
      <c r="B4" s="158">
        <v>41852</v>
      </c>
      <c r="C4" s="157" t="s">
        <v>363</v>
      </c>
      <c r="D4" s="157" t="s">
        <v>207</v>
      </c>
      <c r="E4" s="157">
        <v>2098.73</v>
      </c>
      <c r="F4" s="157" t="s">
        <v>362</v>
      </c>
      <c r="G4" s="157" t="s">
        <v>204</v>
      </c>
      <c r="H4" s="157" t="s">
        <v>203</v>
      </c>
    </row>
    <row r="5" spans="1:8">
      <c r="A5" s="159">
        <v>4</v>
      </c>
      <c r="B5" s="158">
        <v>41883</v>
      </c>
      <c r="C5" s="157" t="s">
        <v>361</v>
      </c>
      <c r="D5" s="157" t="s">
        <v>207</v>
      </c>
      <c r="E5" s="157">
        <v>2103.9699999999998</v>
      </c>
      <c r="F5" s="157" t="s">
        <v>360</v>
      </c>
      <c r="G5" s="157" t="s">
        <v>204</v>
      </c>
      <c r="H5" s="157" t="s">
        <v>203</v>
      </c>
    </row>
    <row r="6" spans="1:8">
      <c r="A6" s="159">
        <v>5</v>
      </c>
      <c r="B6" s="158">
        <v>41913</v>
      </c>
      <c r="C6" s="157" t="s">
        <v>359</v>
      </c>
      <c r="D6" s="157" t="s">
        <v>207</v>
      </c>
      <c r="E6" s="157">
        <v>2109.23</v>
      </c>
      <c r="F6" s="157" t="s">
        <v>358</v>
      </c>
      <c r="G6" s="157" t="s">
        <v>204</v>
      </c>
      <c r="H6" s="157" t="s">
        <v>203</v>
      </c>
    </row>
    <row r="7" spans="1:8">
      <c r="A7" s="159">
        <v>6</v>
      </c>
      <c r="B7" s="158">
        <v>41944</v>
      </c>
      <c r="C7" s="157" t="s">
        <v>357</v>
      </c>
      <c r="D7" s="157" t="s">
        <v>207</v>
      </c>
      <c r="E7" s="157">
        <v>2114.5100000000002</v>
      </c>
      <c r="F7" s="157" t="s">
        <v>356</v>
      </c>
      <c r="G7" s="157" t="s">
        <v>204</v>
      </c>
      <c r="H7" s="157" t="s">
        <v>203</v>
      </c>
    </row>
    <row r="8" spans="1:8">
      <c r="A8" s="159">
        <v>7</v>
      </c>
      <c r="B8" s="158">
        <v>41974</v>
      </c>
      <c r="C8" s="157" t="s">
        <v>355</v>
      </c>
      <c r="D8" s="157" t="s">
        <v>207</v>
      </c>
      <c r="E8" s="157" t="s">
        <v>354</v>
      </c>
      <c r="F8" s="157" t="s">
        <v>353</v>
      </c>
      <c r="G8" s="157" t="s">
        <v>204</v>
      </c>
      <c r="H8" s="157" t="s">
        <v>203</v>
      </c>
    </row>
    <row r="9" spans="1:8">
      <c r="A9" s="159"/>
      <c r="B9" s="158"/>
      <c r="C9" s="157"/>
      <c r="D9" s="157"/>
      <c r="E9" s="157">
        <f>SUM(E2:E8)</f>
        <v>12608.199999999999</v>
      </c>
      <c r="F9" s="157"/>
      <c r="G9" s="157"/>
      <c r="H9" s="157"/>
    </row>
    <row r="10" spans="1:8">
      <c r="A10" s="159">
        <v>8</v>
      </c>
      <c r="B10" s="158">
        <v>42005</v>
      </c>
      <c r="C10" s="157" t="s">
        <v>352</v>
      </c>
      <c r="D10" s="157" t="s">
        <v>207</v>
      </c>
      <c r="E10" s="157">
        <v>2125.09</v>
      </c>
      <c r="F10" s="157" t="s">
        <v>351</v>
      </c>
      <c r="G10" s="157" t="s">
        <v>204</v>
      </c>
      <c r="H10" s="157" t="s">
        <v>203</v>
      </c>
    </row>
    <row r="11" spans="1:8">
      <c r="A11" s="159">
        <v>9</v>
      </c>
      <c r="B11" s="158">
        <v>42036</v>
      </c>
      <c r="C11" s="157" t="s">
        <v>350</v>
      </c>
      <c r="D11" s="157" t="s">
        <v>207</v>
      </c>
      <c r="E11" s="157">
        <v>2130.41</v>
      </c>
      <c r="F11" s="157" t="s">
        <v>349</v>
      </c>
      <c r="G11" s="157" t="s">
        <v>204</v>
      </c>
      <c r="H11" s="157" t="s">
        <v>203</v>
      </c>
    </row>
    <row r="12" spans="1:8">
      <c r="A12" s="159">
        <v>10</v>
      </c>
      <c r="B12" s="158">
        <v>42064</v>
      </c>
      <c r="C12" s="157" t="s">
        <v>348</v>
      </c>
      <c r="D12" s="157" t="s">
        <v>207</v>
      </c>
      <c r="E12" s="157">
        <v>2135.73</v>
      </c>
      <c r="F12" s="157" t="s">
        <v>347</v>
      </c>
      <c r="G12" s="157" t="s">
        <v>204</v>
      </c>
      <c r="H12" s="157" t="s">
        <v>203</v>
      </c>
    </row>
    <row r="13" spans="1:8">
      <c r="A13" s="159">
        <v>11</v>
      </c>
      <c r="B13" s="158">
        <v>42095</v>
      </c>
      <c r="C13" s="157" t="s">
        <v>346</v>
      </c>
      <c r="D13" s="157" t="s">
        <v>207</v>
      </c>
      <c r="E13" s="157">
        <v>2141.0700000000002</v>
      </c>
      <c r="F13" s="157" t="s">
        <v>345</v>
      </c>
      <c r="G13" s="157" t="s">
        <v>204</v>
      </c>
      <c r="H13" s="157" t="s">
        <v>203</v>
      </c>
    </row>
    <row r="14" spans="1:8">
      <c r="A14" s="159">
        <v>12</v>
      </c>
      <c r="B14" s="158">
        <v>42125</v>
      </c>
      <c r="C14" s="157" t="s">
        <v>344</v>
      </c>
      <c r="D14" s="157" t="s">
        <v>207</v>
      </c>
      <c r="E14" s="157">
        <v>2146.42</v>
      </c>
      <c r="F14" s="157" t="s">
        <v>343</v>
      </c>
      <c r="G14" s="157" t="s">
        <v>204</v>
      </c>
      <c r="H14" s="157" t="s">
        <v>203</v>
      </c>
    </row>
    <row r="15" spans="1:8">
      <c r="A15" s="159">
        <v>13</v>
      </c>
      <c r="B15" s="158">
        <v>42156</v>
      </c>
      <c r="C15" s="157" t="s">
        <v>342</v>
      </c>
      <c r="D15" s="157" t="s">
        <v>207</v>
      </c>
      <c r="E15" s="157">
        <v>2151.79</v>
      </c>
      <c r="F15" s="157" t="s">
        <v>341</v>
      </c>
      <c r="G15" s="157" t="s">
        <v>204</v>
      </c>
      <c r="H15" s="157" t="s">
        <v>203</v>
      </c>
    </row>
    <row r="16" spans="1:8">
      <c r="A16" s="159">
        <v>14</v>
      </c>
      <c r="B16" s="158">
        <v>42186</v>
      </c>
      <c r="C16" s="157" t="s">
        <v>340</v>
      </c>
      <c r="D16" s="157" t="s">
        <v>207</v>
      </c>
      <c r="E16" s="157">
        <v>2157.17</v>
      </c>
      <c r="F16" s="157" t="s">
        <v>339</v>
      </c>
      <c r="G16" s="157" t="s">
        <v>204</v>
      </c>
      <c r="H16" s="157" t="s">
        <v>203</v>
      </c>
    </row>
    <row r="17" spans="1:8">
      <c r="A17" s="159">
        <v>15</v>
      </c>
      <c r="B17" s="158">
        <v>42217</v>
      </c>
      <c r="C17" s="157" t="s">
        <v>338</v>
      </c>
      <c r="D17" s="157" t="s">
        <v>207</v>
      </c>
      <c r="E17" s="157">
        <v>2162.56</v>
      </c>
      <c r="F17" s="157" t="s">
        <v>337</v>
      </c>
      <c r="G17" s="157" t="s">
        <v>204</v>
      </c>
      <c r="H17" s="157" t="s">
        <v>203</v>
      </c>
    </row>
    <row r="18" spans="1:8">
      <c r="A18" s="159">
        <v>16</v>
      </c>
      <c r="B18" s="158">
        <v>42248</v>
      </c>
      <c r="C18" s="157" t="s">
        <v>336</v>
      </c>
      <c r="D18" s="157" t="s">
        <v>207</v>
      </c>
      <c r="E18" s="157">
        <v>2167.9699999999998</v>
      </c>
      <c r="F18" s="157" t="s">
        <v>335</v>
      </c>
      <c r="G18" s="157" t="s">
        <v>204</v>
      </c>
      <c r="H18" s="157" t="s">
        <v>203</v>
      </c>
    </row>
    <row r="19" spans="1:8">
      <c r="A19" s="159">
        <v>17</v>
      </c>
      <c r="B19" s="158">
        <v>42278</v>
      </c>
      <c r="C19" s="157" t="s">
        <v>334</v>
      </c>
      <c r="D19" s="157" t="s">
        <v>207</v>
      </c>
      <c r="E19" s="157">
        <v>2173.39</v>
      </c>
      <c r="F19" s="157" t="s">
        <v>333</v>
      </c>
      <c r="G19" s="157" t="s">
        <v>204</v>
      </c>
      <c r="H19" s="157" t="s">
        <v>203</v>
      </c>
    </row>
    <row r="20" spans="1:8">
      <c r="A20" s="159">
        <v>18</v>
      </c>
      <c r="B20" s="158">
        <v>42309</v>
      </c>
      <c r="C20" s="157" t="s">
        <v>332</v>
      </c>
      <c r="D20" s="157" t="s">
        <v>207</v>
      </c>
      <c r="E20" s="157">
        <v>2178.8200000000002</v>
      </c>
      <c r="F20" s="157" t="s">
        <v>331</v>
      </c>
      <c r="G20" s="157" t="s">
        <v>204</v>
      </c>
      <c r="H20" s="157" t="s">
        <v>203</v>
      </c>
    </row>
    <row r="21" spans="1:8">
      <c r="A21" s="159"/>
      <c r="B21" s="158"/>
      <c r="C21" s="157"/>
      <c r="D21" s="157"/>
      <c r="E21" s="157">
        <f>SUM(E10:E20)</f>
        <v>23670.42</v>
      </c>
      <c r="F21" s="157"/>
      <c r="G21" s="157"/>
      <c r="H21" s="157"/>
    </row>
    <row r="22" spans="1:8">
      <c r="A22" s="159">
        <v>19</v>
      </c>
      <c r="B22" s="158">
        <v>42339</v>
      </c>
      <c r="C22" s="157" t="s">
        <v>330</v>
      </c>
      <c r="D22" s="157" t="s">
        <v>207</v>
      </c>
      <c r="E22" s="157" t="s">
        <v>329</v>
      </c>
      <c r="F22" s="157" t="s">
        <v>328</v>
      </c>
      <c r="G22" s="157" t="s">
        <v>204</v>
      </c>
      <c r="H22" s="157" t="s">
        <v>203</v>
      </c>
    </row>
    <row r="23" spans="1:8">
      <c r="A23" s="159">
        <v>20</v>
      </c>
      <c r="B23" s="158">
        <v>42370</v>
      </c>
      <c r="C23" s="157" t="s">
        <v>327</v>
      </c>
      <c r="D23" s="157" t="s">
        <v>207</v>
      </c>
      <c r="E23" s="157" t="s">
        <v>326</v>
      </c>
      <c r="F23" s="157" t="s">
        <v>325</v>
      </c>
      <c r="G23" s="157" t="s">
        <v>204</v>
      </c>
      <c r="H23" s="157" t="s">
        <v>203</v>
      </c>
    </row>
    <row r="24" spans="1:8">
      <c r="A24" s="159">
        <v>21</v>
      </c>
      <c r="B24" s="158">
        <v>42401</v>
      </c>
      <c r="C24" s="157" t="s">
        <v>324</v>
      </c>
      <c r="D24" s="157" t="s">
        <v>207</v>
      </c>
      <c r="E24" s="157" t="s">
        <v>323</v>
      </c>
      <c r="F24" s="157" t="s">
        <v>322</v>
      </c>
      <c r="G24" s="157" t="s">
        <v>204</v>
      </c>
      <c r="H24" s="157" t="s">
        <v>203</v>
      </c>
    </row>
    <row r="25" spans="1:8">
      <c r="A25" s="159">
        <v>22</v>
      </c>
      <c r="B25" s="158">
        <v>42430</v>
      </c>
      <c r="C25" s="157" t="s">
        <v>321</v>
      </c>
      <c r="D25" s="157" t="s">
        <v>207</v>
      </c>
      <c r="E25" s="157" t="s">
        <v>320</v>
      </c>
      <c r="F25" s="157" t="s">
        <v>319</v>
      </c>
      <c r="G25" s="157" t="s">
        <v>204</v>
      </c>
      <c r="H25" s="157" t="s">
        <v>203</v>
      </c>
    </row>
    <row r="26" spans="1:8">
      <c r="A26" s="159">
        <v>23</v>
      </c>
      <c r="B26" s="158">
        <v>42461</v>
      </c>
      <c r="C26" s="157" t="s">
        <v>318</v>
      </c>
      <c r="D26" s="157" t="s">
        <v>207</v>
      </c>
      <c r="E26" s="157" t="s">
        <v>317</v>
      </c>
      <c r="F26" s="157" t="s">
        <v>316</v>
      </c>
      <c r="G26" s="157" t="s">
        <v>204</v>
      </c>
      <c r="H26" s="157" t="s">
        <v>203</v>
      </c>
    </row>
    <row r="27" spans="1:8">
      <c r="A27" s="159">
        <v>24</v>
      </c>
      <c r="B27" s="158">
        <v>42491</v>
      </c>
      <c r="C27" s="157" t="s">
        <v>315</v>
      </c>
      <c r="D27" s="157" t="s">
        <v>207</v>
      </c>
      <c r="E27" s="157" t="s">
        <v>314</v>
      </c>
      <c r="F27" s="157" t="s">
        <v>313</v>
      </c>
      <c r="G27" s="157" t="s">
        <v>204</v>
      </c>
      <c r="H27" s="157" t="s">
        <v>203</v>
      </c>
    </row>
    <row r="28" spans="1:8">
      <c r="A28" s="159">
        <v>25</v>
      </c>
      <c r="B28" s="158">
        <v>42522</v>
      </c>
      <c r="C28" s="157" t="s">
        <v>312</v>
      </c>
      <c r="D28" s="157" t="s">
        <v>207</v>
      </c>
      <c r="E28" s="157" t="s">
        <v>311</v>
      </c>
      <c r="F28" s="157" t="s">
        <v>310</v>
      </c>
      <c r="G28" s="157" t="s">
        <v>204</v>
      </c>
      <c r="H28" s="157" t="s">
        <v>203</v>
      </c>
    </row>
    <row r="29" spans="1:8">
      <c r="A29" s="159">
        <v>26</v>
      </c>
      <c r="B29" s="158">
        <v>42552</v>
      </c>
      <c r="C29" s="157" t="s">
        <v>309</v>
      </c>
      <c r="D29" s="157" t="s">
        <v>207</v>
      </c>
      <c r="E29" s="157" t="s">
        <v>308</v>
      </c>
      <c r="F29" s="157" t="s">
        <v>307</v>
      </c>
      <c r="G29" s="157" t="s">
        <v>204</v>
      </c>
      <c r="H29" s="157" t="s">
        <v>203</v>
      </c>
    </row>
    <row r="30" spans="1:8">
      <c r="A30" s="159">
        <v>27</v>
      </c>
      <c r="B30" s="158">
        <v>42583</v>
      </c>
      <c r="C30" s="157" t="s">
        <v>306</v>
      </c>
      <c r="D30" s="157" t="s">
        <v>207</v>
      </c>
      <c r="E30" s="157" t="s">
        <v>305</v>
      </c>
      <c r="F30" s="157" t="s">
        <v>304</v>
      </c>
      <c r="G30" s="157" t="s">
        <v>204</v>
      </c>
      <c r="H30" s="157" t="s">
        <v>203</v>
      </c>
    </row>
    <row r="31" spans="1:8">
      <c r="A31" s="159">
        <v>28</v>
      </c>
      <c r="B31" s="158">
        <v>42614</v>
      </c>
      <c r="C31" s="157" t="s">
        <v>303</v>
      </c>
      <c r="D31" s="157" t="s">
        <v>207</v>
      </c>
      <c r="E31" s="157" t="s">
        <v>302</v>
      </c>
      <c r="F31" s="157" t="s">
        <v>301</v>
      </c>
      <c r="G31" s="157" t="s">
        <v>204</v>
      </c>
      <c r="H31" s="157" t="s">
        <v>203</v>
      </c>
    </row>
    <row r="32" spans="1:8">
      <c r="A32" s="159">
        <v>29</v>
      </c>
      <c r="B32" s="158">
        <v>42644</v>
      </c>
      <c r="C32" s="157" t="s">
        <v>300</v>
      </c>
      <c r="D32" s="157" t="s">
        <v>207</v>
      </c>
      <c r="E32" s="157" t="s">
        <v>299</v>
      </c>
      <c r="F32" s="157" t="s">
        <v>298</v>
      </c>
      <c r="G32" s="157" t="s">
        <v>204</v>
      </c>
      <c r="H32" s="157" t="s">
        <v>203</v>
      </c>
    </row>
    <row r="33" spans="1:8">
      <c r="A33" s="159">
        <v>30</v>
      </c>
      <c r="B33" s="158">
        <v>42675</v>
      </c>
      <c r="C33" s="157" t="s">
        <v>297</v>
      </c>
      <c r="D33" s="157" t="s">
        <v>207</v>
      </c>
      <c r="E33" s="157" t="s">
        <v>296</v>
      </c>
      <c r="F33" s="157" t="s">
        <v>295</v>
      </c>
      <c r="G33" s="157" t="s">
        <v>204</v>
      </c>
      <c r="H33" s="157" t="s">
        <v>203</v>
      </c>
    </row>
    <row r="34" spans="1:8">
      <c r="A34" s="159">
        <v>31</v>
      </c>
      <c r="B34" s="158">
        <v>42705</v>
      </c>
      <c r="C34" s="157" t="s">
        <v>294</v>
      </c>
      <c r="D34" s="157" t="s">
        <v>207</v>
      </c>
      <c r="E34" s="157" t="s">
        <v>293</v>
      </c>
      <c r="F34" s="157" t="s">
        <v>292</v>
      </c>
      <c r="G34" s="157" t="s">
        <v>204</v>
      </c>
      <c r="H34" s="157" t="s">
        <v>203</v>
      </c>
    </row>
    <row r="35" spans="1:8">
      <c r="A35" s="159">
        <v>32</v>
      </c>
      <c r="B35" s="158">
        <v>42736</v>
      </c>
      <c r="C35" s="157" t="s">
        <v>291</v>
      </c>
      <c r="D35" s="157" t="s">
        <v>207</v>
      </c>
      <c r="E35" s="157" t="s">
        <v>290</v>
      </c>
      <c r="F35" s="157" t="s">
        <v>289</v>
      </c>
      <c r="G35" s="157" t="s">
        <v>204</v>
      </c>
      <c r="H35" s="157" t="s">
        <v>203</v>
      </c>
    </row>
    <row r="36" spans="1:8">
      <c r="A36" s="159">
        <v>33</v>
      </c>
      <c r="B36" s="158">
        <v>42767</v>
      </c>
      <c r="C36" s="157" t="s">
        <v>288</v>
      </c>
      <c r="D36" s="157" t="s">
        <v>207</v>
      </c>
      <c r="E36" s="157" t="s">
        <v>287</v>
      </c>
      <c r="F36" s="157" t="s">
        <v>286</v>
      </c>
      <c r="G36" s="157" t="s">
        <v>204</v>
      </c>
      <c r="H36" s="157" t="s">
        <v>203</v>
      </c>
    </row>
    <row r="37" spans="1:8">
      <c r="A37" s="159">
        <v>34</v>
      </c>
      <c r="B37" s="158">
        <v>42795</v>
      </c>
      <c r="C37" s="157" t="s">
        <v>285</v>
      </c>
      <c r="D37" s="157" t="s">
        <v>207</v>
      </c>
      <c r="E37" s="157" t="s">
        <v>284</v>
      </c>
      <c r="F37" s="157" t="s">
        <v>283</v>
      </c>
      <c r="G37" s="157" t="s">
        <v>204</v>
      </c>
      <c r="H37" s="157" t="s">
        <v>203</v>
      </c>
    </row>
    <row r="38" spans="1:8">
      <c r="A38" s="159">
        <v>35</v>
      </c>
      <c r="B38" s="158">
        <v>42826</v>
      </c>
      <c r="C38" s="157" t="s">
        <v>282</v>
      </c>
      <c r="D38" s="157" t="s">
        <v>207</v>
      </c>
      <c r="E38" s="157" t="s">
        <v>281</v>
      </c>
      <c r="F38" s="157" t="s">
        <v>280</v>
      </c>
      <c r="G38" s="157" t="s">
        <v>204</v>
      </c>
      <c r="H38" s="157" t="s">
        <v>203</v>
      </c>
    </row>
    <row r="39" spans="1:8">
      <c r="A39" s="159">
        <v>36</v>
      </c>
      <c r="B39" s="158">
        <v>42856</v>
      </c>
      <c r="C39" s="157" t="s">
        <v>279</v>
      </c>
      <c r="D39" s="157" t="s">
        <v>207</v>
      </c>
      <c r="E39" s="157" t="s">
        <v>278</v>
      </c>
      <c r="F39" s="157" t="s">
        <v>277</v>
      </c>
      <c r="G39" s="157" t="s">
        <v>204</v>
      </c>
      <c r="H39" s="157" t="s">
        <v>203</v>
      </c>
    </row>
    <row r="40" spans="1:8">
      <c r="A40" s="159">
        <v>37</v>
      </c>
      <c r="B40" s="158">
        <v>42887</v>
      </c>
      <c r="C40" s="157" t="s">
        <v>276</v>
      </c>
      <c r="D40" s="157" t="s">
        <v>207</v>
      </c>
      <c r="E40" s="157" t="s">
        <v>275</v>
      </c>
      <c r="F40" s="157" t="s">
        <v>274</v>
      </c>
      <c r="G40" s="157" t="s">
        <v>204</v>
      </c>
      <c r="H40" s="157" t="s">
        <v>203</v>
      </c>
    </row>
    <row r="41" spans="1:8">
      <c r="A41" s="159">
        <v>38</v>
      </c>
      <c r="B41" s="158">
        <v>42917</v>
      </c>
      <c r="C41" s="157" t="s">
        <v>273</v>
      </c>
      <c r="D41" s="157" t="s">
        <v>207</v>
      </c>
      <c r="E41" s="157" t="s">
        <v>272</v>
      </c>
      <c r="F41" s="157" t="s">
        <v>271</v>
      </c>
      <c r="G41" s="157" t="s">
        <v>204</v>
      </c>
      <c r="H41" s="157" t="s">
        <v>203</v>
      </c>
    </row>
    <row r="42" spans="1:8">
      <c r="A42" s="159">
        <v>39</v>
      </c>
      <c r="B42" s="158">
        <v>42948</v>
      </c>
      <c r="C42" s="157" t="s">
        <v>270</v>
      </c>
      <c r="D42" s="157" t="s">
        <v>207</v>
      </c>
      <c r="E42" s="157" t="s">
        <v>269</v>
      </c>
      <c r="F42" s="157" t="s">
        <v>268</v>
      </c>
      <c r="G42" s="157" t="s">
        <v>204</v>
      </c>
      <c r="H42" s="157" t="s">
        <v>203</v>
      </c>
    </row>
    <row r="43" spans="1:8">
      <c r="A43" s="159">
        <v>40</v>
      </c>
      <c r="B43" s="158">
        <v>42979</v>
      </c>
      <c r="C43" s="157" t="s">
        <v>267</v>
      </c>
      <c r="D43" s="157" t="s">
        <v>207</v>
      </c>
      <c r="E43" s="157" t="s">
        <v>266</v>
      </c>
      <c r="F43" s="157" t="s">
        <v>265</v>
      </c>
      <c r="G43" s="157" t="s">
        <v>204</v>
      </c>
      <c r="H43" s="157" t="s">
        <v>203</v>
      </c>
    </row>
    <row r="44" spans="1:8">
      <c r="A44" s="159">
        <v>41</v>
      </c>
      <c r="B44" s="158">
        <v>43009</v>
      </c>
      <c r="C44" s="157" t="s">
        <v>264</v>
      </c>
      <c r="D44" s="157" t="s">
        <v>207</v>
      </c>
      <c r="E44" s="157" t="s">
        <v>263</v>
      </c>
      <c r="F44" s="157" t="s">
        <v>262</v>
      </c>
      <c r="G44" s="157" t="s">
        <v>204</v>
      </c>
      <c r="H44" s="157" t="s">
        <v>203</v>
      </c>
    </row>
    <row r="45" spans="1:8">
      <c r="A45" s="159">
        <v>42</v>
      </c>
      <c r="B45" s="158">
        <v>43040</v>
      </c>
      <c r="C45" s="157" t="s">
        <v>261</v>
      </c>
      <c r="D45" s="157" t="s">
        <v>207</v>
      </c>
      <c r="E45" s="157" t="s">
        <v>260</v>
      </c>
      <c r="F45" s="157" t="s">
        <v>259</v>
      </c>
      <c r="G45" s="157" t="s">
        <v>204</v>
      </c>
      <c r="H45" s="157" t="s">
        <v>203</v>
      </c>
    </row>
    <row r="46" spans="1:8">
      <c r="A46" s="159">
        <v>43</v>
      </c>
      <c r="B46" s="158">
        <v>43070</v>
      </c>
      <c r="C46" s="157" t="s">
        <v>258</v>
      </c>
      <c r="D46" s="157" t="s">
        <v>207</v>
      </c>
      <c r="E46" s="157" t="s">
        <v>257</v>
      </c>
      <c r="F46" s="157" t="s">
        <v>256</v>
      </c>
      <c r="G46" s="157" t="s">
        <v>204</v>
      </c>
      <c r="H46" s="157" t="s">
        <v>203</v>
      </c>
    </row>
    <row r="47" spans="1:8">
      <c r="A47" s="159">
        <v>44</v>
      </c>
      <c r="B47" s="158">
        <v>43101</v>
      </c>
      <c r="C47" s="157" t="s">
        <v>255</v>
      </c>
      <c r="D47" s="157" t="s">
        <v>207</v>
      </c>
      <c r="E47" s="157" t="s">
        <v>254</v>
      </c>
      <c r="F47" s="157" t="s">
        <v>253</v>
      </c>
      <c r="G47" s="157" t="s">
        <v>204</v>
      </c>
      <c r="H47" s="157" t="s">
        <v>203</v>
      </c>
    </row>
    <row r="48" spans="1:8">
      <c r="A48" s="159">
        <v>45</v>
      </c>
      <c r="B48" s="158">
        <v>43132</v>
      </c>
      <c r="C48" s="157" t="s">
        <v>252</v>
      </c>
      <c r="D48" s="157" t="s">
        <v>207</v>
      </c>
      <c r="E48" s="157" t="s">
        <v>251</v>
      </c>
      <c r="F48" s="157" t="s">
        <v>250</v>
      </c>
      <c r="G48" s="157" t="s">
        <v>204</v>
      </c>
      <c r="H48" s="157" t="s">
        <v>203</v>
      </c>
    </row>
    <row r="49" spans="1:8">
      <c r="A49" s="159">
        <v>46</v>
      </c>
      <c r="B49" s="158">
        <v>43160</v>
      </c>
      <c r="C49" s="157" t="s">
        <v>249</v>
      </c>
      <c r="D49" s="157" t="s">
        <v>207</v>
      </c>
      <c r="E49" s="157" t="s">
        <v>248</v>
      </c>
      <c r="F49" s="157" t="s">
        <v>247</v>
      </c>
      <c r="G49" s="157" t="s">
        <v>204</v>
      </c>
      <c r="H49" s="157" t="s">
        <v>203</v>
      </c>
    </row>
    <row r="50" spans="1:8">
      <c r="A50" s="159">
        <v>47</v>
      </c>
      <c r="B50" s="158">
        <v>43191</v>
      </c>
      <c r="C50" s="157" t="s">
        <v>246</v>
      </c>
      <c r="D50" s="157" t="s">
        <v>207</v>
      </c>
      <c r="E50" s="157" t="s">
        <v>245</v>
      </c>
      <c r="F50" s="157" t="s">
        <v>244</v>
      </c>
      <c r="G50" s="157" t="s">
        <v>204</v>
      </c>
      <c r="H50" s="157" t="s">
        <v>203</v>
      </c>
    </row>
    <row r="51" spans="1:8">
      <c r="A51" s="159">
        <v>48</v>
      </c>
      <c r="B51" s="158">
        <v>43221</v>
      </c>
      <c r="C51" s="157" t="s">
        <v>243</v>
      </c>
      <c r="D51" s="157" t="s">
        <v>207</v>
      </c>
      <c r="E51" s="157" t="s">
        <v>242</v>
      </c>
      <c r="F51" s="157" t="s">
        <v>241</v>
      </c>
      <c r="G51" s="157" t="s">
        <v>204</v>
      </c>
      <c r="H51" s="157" t="s">
        <v>203</v>
      </c>
    </row>
    <row r="52" spans="1:8">
      <c r="A52" s="159">
        <v>49</v>
      </c>
      <c r="B52" s="158">
        <v>43252</v>
      </c>
      <c r="C52" s="157" t="s">
        <v>240</v>
      </c>
      <c r="D52" s="157" t="s">
        <v>207</v>
      </c>
      <c r="E52" s="157" t="s">
        <v>239</v>
      </c>
      <c r="F52" s="157" t="s">
        <v>238</v>
      </c>
      <c r="G52" s="157" t="s">
        <v>204</v>
      </c>
      <c r="H52" s="157" t="s">
        <v>203</v>
      </c>
    </row>
    <row r="53" spans="1:8">
      <c r="A53" s="159">
        <v>50</v>
      </c>
      <c r="B53" s="158">
        <v>43282</v>
      </c>
      <c r="C53" s="157" t="s">
        <v>237</v>
      </c>
      <c r="D53" s="157" t="s">
        <v>207</v>
      </c>
      <c r="E53" s="157" t="s">
        <v>236</v>
      </c>
      <c r="F53" s="157" t="s">
        <v>235</v>
      </c>
      <c r="G53" s="157" t="s">
        <v>204</v>
      </c>
      <c r="H53" s="157" t="s">
        <v>203</v>
      </c>
    </row>
    <row r="54" spans="1:8">
      <c r="A54" s="159">
        <v>51</v>
      </c>
      <c r="B54" s="158">
        <v>43313</v>
      </c>
      <c r="C54" s="157" t="s">
        <v>234</v>
      </c>
      <c r="D54" s="157" t="s">
        <v>207</v>
      </c>
      <c r="E54" s="157" t="s">
        <v>233</v>
      </c>
      <c r="F54" s="157" t="s">
        <v>232</v>
      </c>
      <c r="G54" s="157" t="s">
        <v>204</v>
      </c>
      <c r="H54" s="157" t="s">
        <v>203</v>
      </c>
    </row>
    <row r="55" spans="1:8">
      <c r="A55" s="159">
        <v>52</v>
      </c>
      <c r="B55" s="158">
        <v>43344</v>
      </c>
      <c r="C55" s="157" t="s">
        <v>231</v>
      </c>
      <c r="D55" s="157" t="s">
        <v>207</v>
      </c>
      <c r="E55" s="157" t="s">
        <v>230</v>
      </c>
      <c r="F55" s="157" t="s">
        <v>229</v>
      </c>
      <c r="G55" s="157" t="s">
        <v>204</v>
      </c>
      <c r="H55" s="157" t="s">
        <v>203</v>
      </c>
    </row>
    <row r="56" spans="1:8">
      <c r="A56" s="159">
        <v>53</v>
      </c>
      <c r="B56" s="158">
        <v>43374</v>
      </c>
      <c r="C56" s="157" t="s">
        <v>228</v>
      </c>
      <c r="D56" s="157" t="s">
        <v>207</v>
      </c>
      <c r="E56" s="157" t="s">
        <v>227</v>
      </c>
      <c r="F56" s="157" t="s">
        <v>226</v>
      </c>
      <c r="G56" s="157" t="s">
        <v>204</v>
      </c>
      <c r="H56" s="157" t="s">
        <v>203</v>
      </c>
    </row>
    <row r="57" spans="1:8">
      <c r="A57" s="159">
        <v>54</v>
      </c>
      <c r="B57" s="158">
        <v>43405</v>
      </c>
      <c r="C57" s="157" t="s">
        <v>225</v>
      </c>
      <c r="D57" s="157" t="s">
        <v>207</v>
      </c>
      <c r="E57" s="157" t="s">
        <v>224</v>
      </c>
      <c r="F57" s="157" t="s">
        <v>223</v>
      </c>
      <c r="G57" s="157" t="s">
        <v>204</v>
      </c>
      <c r="H57" s="157" t="s">
        <v>203</v>
      </c>
    </row>
    <row r="58" spans="1:8">
      <c r="A58" s="159">
        <v>55</v>
      </c>
      <c r="B58" s="158">
        <v>43435</v>
      </c>
      <c r="C58" s="157" t="s">
        <v>222</v>
      </c>
      <c r="D58" s="157" t="s">
        <v>207</v>
      </c>
      <c r="E58" s="157" t="s">
        <v>221</v>
      </c>
      <c r="F58" s="157" t="s">
        <v>220</v>
      </c>
      <c r="G58" s="157" t="s">
        <v>204</v>
      </c>
      <c r="H58" s="157" t="s">
        <v>203</v>
      </c>
    </row>
    <row r="59" spans="1:8">
      <c r="A59" s="159">
        <v>56</v>
      </c>
      <c r="B59" s="158">
        <v>43466</v>
      </c>
      <c r="C59" s="157" t="s">
        <v>219</v>
      </c>
      <c r="D59" s="157" t="s">
        <v>207</v>
      </c>
      <c r="E59" s="157" t="s">
        <v>218</v>
      </c>
      <c r="F59" s="157" t="s">
        <v>217</v>
      </c>
      <c r="G59" s="157" t="s">
        <v>204</v>
      </c>
      <c r="H59" s="157" t="s">
        <v>203</v>
      </c>
    </row>
    <row r="60" spans="1:8">
      <c r="A60" s="159">
        <v>57</v>
      </c>
      <c r="B60" s="158">
        <v>43497</v>
      </c>
      <c r="C60" s="157" t="s">
        <v>216</v>
      </c>
      <c r="D60" s="157" t="s">
        <v>207</v>
      </c>
      <c r="E60" s="157" t="s">
        <v>215</v>
      </c>
      <c r="F60" s="157" t="s">
        <v>214</v>
      </c>
      <c r="G60" s="157" t="s">
        <v>204</v>
      </c>
      <c r="H60" s="157" t="s">
        <v>203</v>
      </c>
    </row>
    <row r="61" spans="1:8">
      <c r="A61" s="159">
        <v>58</v>
      </c>
      <c r="B61" s="158">
        <v>43525</v>
      </c>
      <c r="C61" s="157" t="s">
        <v>213</v>
      </c>
      <c r="D61" s="157" t="s">
        <v>207</v>
      </c>
      <c r="E61" s="157" t="s">
        <v>212</v>
      </c>
      <c r="F61" s="157" t="s">
        <v>211</v>
      </c>
      <c r="G61" s="157" t="s">
        <v>204</v>
      </c>
      <c r="H61" s="157" t="s">
        <v>203</v>
      </c>
    </row>
    <row r="62" spans="1:8">
      <c r="A62" s="159">
        <v>59</v>
      </c>
      <c r="B62" s="158">
        <v>43556</v>
      </c>
      <c r="C62" s="157" t="s">
        <v>206</v>
      </c>
      <c r="D62" s="157" t="s">
        <v>207</v>
      </c>
      <c r="E62" s="157" t="s">
        <v>210</v>
      </c>
      <c r="F62" s="157" t="s">
        <v>209</v>
      </c>
      <c r="G62" s="157" t="s">
        <v>204</v>
      </c>
      <c r="H62" s="157" t="s">
        <v>203</v>
      </c>
    </row>
    <row r="63" spans="1:8">
      <c r="A63" s="159">
        <v>60</v>
      </c>
      <c r="B63" s="158">
        <v>43586</v>
      </c>
      <c r="C63" s="157" t="s">
        <v>208</v>
      </c>
      <c r="D63" s="157" t="s">
        <v>207</v>
      </c>
      <c r="E63" s="157" t="s">
        <v>206</v>
      </c>
      <c r="F63" s="157" t="s">
        <v>205</v>
      </c>
      <c r="G63" s="157" t="s">
        <v>204</v>
      </c>
      <c r="H63" s="157" t="s">
        <v>203</v>
      </c>
    </row>
    <row r="65" spans="1:1" ht="18">
      <c r="A65" s="156" t="s">
        <v>202</v>
      </c>
    </row>
    <row r="66" spans="1:1" ht="18">
      <c r="A66" s="156" t="s">
        <v>201</v>
      </c>
    </row>
    <row r="67" spans="1:1" ht="18">
      <c r="A67" s="156" t="s">
        <v>200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E3" sqref="E3"/>
    </sheetView>
  </sheetViews>
  <sheetFormatPr baseColWidth="10" defaultRowHeight="15"/>
  <cols>
    <col min="1" max="1" width="20.5703125" customWidth="1"/>
    <col min="2" max="2" width="16.140625" customWidth="1"/>
    <col min="5" max="5" width="13" bestFit="1" customWidth="1"/>
  </cols>
  <sheetData>
    <row r="2" spans="1:5">
      <c r="B2" t="s">
        <v>183</v>
      </c>
      <c r="C2" s="145" t="s">
        <v>184</v>
      </c>
      <c r="D2" s="145" t="s">
        <v>185</v>
      </c>
      <c r="E2" s="145" t="s">
        <v>186</v>
      </c>
    </row>
    <row r="3" spans="1:5">
      <c r="A3" t="str">
        <f>'SIG 2015'!D2</f>
        <v>TECSAFINANCE</v>
      </c>
      <c r="B3" s="144">
        <f>'SIG 2015'!D32</f>
        <v>0</v>
      </c>
      <c r="C3" s="146">
        <v>2</v>
      </c>
      <c r="D3" s="147">
        <f>B3/C3</f>
        <v>0</v>
      </c>
      <c r="E3" s="49">
        <f>'SIG 2015'!D11/Feuil1!C3</f>
        <v>204000</v>
      </c>
    </row>
    <row r="4" spans="1:5">
      <c r="A4" t="str">
        <f>'SIG 2015'!J2</f>
        <v>CHENE DECORS</v>
      </c>
      <c r="B4" s="144">
        <f>'SIG 2015'!J32</f>
        <v>0</v>
      </c>
      <c r="C4" s="146">
        <v>21</v>
      </c>
      <c r="D4" s="147">
        <f>B4/C4</f>
        <v>0</v>
      </c>
    </row>
    <row r="5" spans="1:5">
      <c r="A5" t="str">
        <f>'SIG 2015'!H2</f>
        <v>TECSABOIS CHARPENTE</v>
      </c>
      <c r="B5" s="144">
        <f>'SIG 2015'!H32</f>
        <v>0</v>
      </c>
      <c r="C5" s="146">
        <v>10</v>
      </c>
      <c r="D5" s="147">
        <f>B5/C5</f>
        <v>0</v>
      </c>
    </row>
    <row r="6" spans="1:5">
      <c r="A6" t="str">
        <f>'SIG 2015'!F2</f>
        <v>TECSABOIS</v>
      </c>
      <c r="B6" s="144">
        <f>'SIG 2015'!F32</f>
        <v>0</v>
      </c>
      <c r="C6" s="146">
        <v>21</v>
      </c>
      <c r="D6" s="147">
        <f>B6/C6</f>
        <v>0</v>
      </c>
    </row>
  </sheetData>
  <phoneticPr fontId="8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J16" sqref="J16"/>
    </sheetView>
  </sheetViews>
  <sheetFormatPr baseColWidth="10" defaultRowHeight="15"/>
  <sheetData>
    <row r="1" spans="1:8" ht="71.25">
      <c r="A1" s="160" t="s">
        <v>375</v>
      </c>
      <c r="B1" s="160" t="s">
        <v>374</v>
      </c>
      <c r="C1" s="160" t="s">
        <v>373</v>
      </c>
      <c r="D1" s="160" t="s">
        <v>372</v>
      </c>
      <c r="E1" s="160" t="s">
        <v>371</v>
      </c>
      <c r="F1" s="160" t="s">
        <v>370</v>
      </c>
      <c r="G1" s="160" t="s">
        <v>369</v>
      </c>
      <c r="H1" s="160" t="s">
        <v>368</v>
      </c>
    </row>
    <row r="2" spans="1:8">
      <c r="A2" s="159">
        <v>1</v>
      </c>
      <c r="B2" s="158">
        <v>42156</v>
      </c>
      <c r="C2" s="157" t="s">
        <v>376</v>
      </c>
      <c r="D2" s="157" t="s">
        <v>377</v>
      </c>
      <c r="E2" s="157">
        <v>773.43</v>
      </c>
      <c r="F2" s="157" t="s">
        <v>378</v>
      </c>
      <c r="G2" s="157" t="s">
        <v>379</v>
      </c>
      <c r="H2" s="157" t="s">
        <v>380</v>
      </c>
    </row>
    <row r="3" spans="1:8">
      <c r="A3" s="159">
        <v>2</v>
      </c>
      <c r="B3" s="158">
        <v>42186</v>
      </c>
      <c r="C3" s="157" t="s">
        <v>381</v>
      </c>
      <c r="D3" s="157" t="s">
        <v>377</v>
      </c>
      <c r="E3" s="157">
        <v>775.37</v>
      </c>
      <c r="F3" s="157" t="s">
        <v>382</v>
      </c>
      <c r="G3" s="157" t="s">
        <v>379</v>
      </c>
      <c r="H3" s="157" t="s">
        <v>380</v>
      </c>
    </row>
    <row r="4" spans="1:8">
      <c r="A4" s="159">
        <v>3</v>
      </c>
      <c r="B4" s="158">
        <v>42217</v>
      </c>
      <c r="C4" s="157" t="s">
        <v>383</v>
      </c>
      <c r="D4" s="157" t="s">
        <v>377</v>
      </c>
      <c r="E4" s="157">
        <v>777.31</v>
      </c>
      <c r="F4" s="157" t="s">
        <v>384</v>
      </c>
      <c r="G4" s="157" t="s">
        <v>379</v>
      </c>
      <c r="H4" s="157" t="s">
        <v>380</v>
      </c>
    </row>
    <row r="5" spans="1:8">
      <c r="A5" s="159">
        <v>4</v>
      </c>
      <c r="B5" s="158">
        <v>42248</v>
      </c>
      <c r="C5" s="157" t="s">
        <v>385</v>
      </c>
      <c r="D5" s="157" t="s">
        <v>377</v>
      </c>
      <c r="E5" s="157">
        <v>779.25</v>
      </c>
      <c r="F5" s="157" t="s">
        <v>386</v>
      </c>
      <c r="G5" s="157" t="s">
        <v>379</v>
      </c>
      <c r="H5" s="157" t="s">
        <v>380</v>
      </c>
    </row>
    <row r="6" spans="1:8">
      <c r="A6" s="159">
        <v>5</v>
      </c>
      <c r="B6" s="158">
        <v>42278</v>
      </c>
      <c r="C6" s="157" t="s">
        <v>387</v>
      </c>
      <c r="D6" s="157" t="s">
        <v>377</v>
      </c>
      <c r="E6" s="157">
        <v>781.2</v>
      </c>
      <c r="F6" s="157" t="s">
        <v>388</v>
      </c>
      <c r="G6" s="157" t="s">
        <v>379</v>
      </c>
      <c r="H6" s="157" t="s">
        <v>380</v>
      </c>
    </row>
    <row r="7" spans="1:8">
      <c r="A7" s="159">
        <v>6</v>
      </c>
      <c r="B7" s="158">
        <v>42309</v>
      </c>
      <c r="C7" s="157" t="s">
        <v>389</v>
      </c>
      <c r="D7" s="157" t="s">
        <v>377</v>
      </c>
      <c r="E7" s="157">
        <v>783.15</v>
      </c>
      <c r="F7" s="157" t="s">
        <v>390</v>
      </c>
      <c r="G7" s="157" t="s">
        <v>379</v>
      </c>
      <c r="H7" s="157" t="s">
        <v>380</v>
      </c>
    </row>
    <row r="8" spans="1:8">
      <c r="A8" s="159">
        <v>7</v>
      </c>
      <c r="B8" s="158">
        <v>42339</v>
      </c>
      <c r="C8" s="157" t="s">
        <v>391</v>
      </c>
      <c r="D8" s="157" t="s">
        <v>377</v>
      </c>
      <c r="E8" s="157">
        <v>785.11</v>
      </c>
      <c r="F8" s="157" t="s">
        <v>392</v>
      </c>
      <c r="G8" s="157" t="s">
        <v>379</v>
      </c>
      <c r="H8" s="157" t="s">
        <v>380</v>
      </c>
    </row>
    <row r="9" spans="1:8">
      <c r="A9" s="159"/>
      <c r="B9" s="158"/>
      <c r="C9" s="157"/>
      <c r="D9" s="157"/>
      <c r="E9" s="157">
        <f>SUM(E2:E8)</f>
        <v>5454.8199999999988</v>
      </c>
      <c r="F9" s="157"/>
      <c r="G9" s="157"/>
      <c r="H9" s="157"/>
    </row>
    <row r="10" spans="1:8">
      <c r="A10" s="159">
        <v>8</v>
      </c>
      <c r="B10" s="158">
        <v>42370</v>
      </c>
      <c r="C10" s="157" t="s">
        <v>393</v>
      </c>
      <c r="D10" s="157" t="s">
        <v>377</v>
      </c>
      <c r="E10" s="157" t="s">
        <v>394</v>
      </c>
      <c r="F10" s="157" t="s">
        <v>395</v>
      </c>
      <c r="G10" s="157" t="s">
        <v>379</v>
      </c>
      <c r="H10" s="157" t="s">
        <v>380</v>
      </c>
    </row>
    <row r="11" spans="1:8">
      <c r="A11" s="159">
        <v>9</v>
      </c>
      <c r="B11" s="158">
        <v>42401</v>
      </c>
      <c r="C11" s="157" t="s">
        <v>396</v>
      </c>
      <c r="D11" s="157" t="s">
        <v>377</v>
      </c>
      <c r="E11" s="157" t="s">
        <v>397</v>
      </c>
      <c r="F11" s="157" t="s">
        <v>398</v>
      </c>
      <c r="G11" s="157" t="s">
        <v>379</v>
      </c>
      <c r="H11" s="157" t="s">
        <v>380</v>
      </c>
    </row>
    <row r="12" spans="1:8">
      <c r="A12" s="159">
        <v>10</v>
      </c>
      <c r="B12" s="158">
        <v>42430</v>
      </c>
      <c r="C12" s="157" t="s">
        <v>399</v>
      </c>
      <c r="D12" s="157" t="s">
        <v>377</v>
      </c>
      <c r="E12" s="157" t="s">
        <v>400</v>
      </c>
      <c r="F12" s="157" t="s">
        <v>401</v>
      </c>
      <c r="G12" s="157" t="s">
        <v>379</v>
      </c>
      <c r="H12" s="157" t="s">
        <v>380</v>
      </c>
    </row>
    <row r="13" spans="1:8">
      <c r="A13" s="159">
        <v>11</v>
      </c>
      <c r="B13" s="158">
        <v>42461</v>
      </c>
      <c r="C13" s="157" t="s">
        <v>402</v>
      </c>
      <c r="D13" s="157" t="s">
        <v>377</v>
      </c>
      <c r="E13" s="157" t="s">
        <v>403</v>
      </c>
      <c r="F13" s="157" t="s">
        <v>404</v>
      </c>
      <c r="G13" s="157" t="s">
        <v>379</v>
      </c>
      <c r="H13" s="157" t="s">
        <v>380</v>
      </c>
    </row>
    <row r="14" spans="1:8">
      <c r="A14" s="159">
        <v>12</v>
      </c>
      <c r="B14" s="158">
        <v>42491</v>
      </c>
      <c r="C14" s="157" t="s">
        <v>405</v>
      </c>
      <c r="D14" s="157" t="s">
        <v>377</v>
      </c>
      <c r="E14" s="157" t="s">
        <v>406</v>
      </c>
      <c r="F14" s="157" t="s">
        <v>407</v>
      </c>
      <c r="G14" s="157" t="s">
        <v>379</v>
      </c>
      <c r="H14" s="157" t="s">
        <v>380</v>
      </c>
    </row>
    <row r="15" spans="1:8">
      <c r="A15" s="159">
        <v>13</v>
      </c>
      <c r="B15" s="158">
        <v>42522</v>
      </c>
      <c r="C15" s="157" t="s">
        <v>408</v>
      </c>
      <c r="D15" s="157" t="s">
        <v>377</v>
      </c>
      <c r="E15" s="157" t="s">
        <v>409</v>
      </c>
      <c r="F15" s="157" t="s">
        <v>410</v>
      </c>
      <c r="G15" s="157" t="s">
        <v>379</v>
      </c>
      <c r="H15" s="157" t="s">
        <v>380</v>
      </c>
    </row>
    <row r="16" spans="1:8">
      <c r="A16" s="159">
        <v>14</v>
      </c>
      <c r="B16" s="158">
        <v>42552</v>
      </c>
      <c r="C16" s="157" t="s">
        <v>411</v>
      </c>
      <c r="D16" s="157" t="s">
        <v>377</v>
      </c>
      <c r="E16" s="157" t="s">
        <v>412</v>
      </c>
      <c r="F16" s="157" t="s">
        <v>413</v>
      </c>
      <c r="G16" s="157" t="s">
        <v>379</v>
      </c>
      <c r="H16" s="157" t="s">
        <v>380</v>
      </c>
    </row>
    <row r="17" spans="1:8">
      <c r="A17" s="159">
        <v>15</v>
      </c>
      <c r="B17" s="158">
        <v>42583</v>
      </c>
      <c r="C17" s="157" t="s">
        <v>414</v>
      </c>
      <c r="D17" s="157" t="s">
        <v>377</v>
      </c>
      <c r="E17" s="157" t="s">
        <v>415</v>
      </c>
      <c r="F17" s="157" t="s">
        <v>416</v>
      </c>
      <c r="G17" s="157" t="s">
        <v>379</v>
      </c>
      <c r="H17" s="157" t="s">
        <v>380</v>
      </c>
    </row>
    <row r="18" spans="1:8">
      <c r="A18" s="159">
        <v>16</v>
      </c>
      <c r="B18" s="158">
        <v>42614</v>
      </c>
      <c r="C18" s="157" t="s">
        <v>417</v>
      </c>
      <c r="D18" s="157" t="s">
        <v>377</v>
      </c>
      <c r="E18" s="157" t="s">
        <v>418</v>
      </c>
      <c r="F18" s="157" t="s">
        <v>419</v>
      </c>
      <c r="G18" s="157" t="s">
        <v>379</v>
      </c>
      <c r="H18" s="157" t="s">
        <v>380</v>
      </c>
    </row>
    <row r="19" spans="1:8">
      <c r="A19" s="159">
        <v>17</v>
      </c>
      <c r="B19" s="158">
        <v>42644</v>
      </c>
      <c r="C19" s="157" t="s">
        <v>420</v>
      </c>
      <c r="D19" s="157" t="s">
        <v>377</v>
      </c>
      <c r="E19" s="157" t="s">
        <v>421</v>
      </c>
      <c r="F19" s="157" t="s">
        <v>422</v>
      </c>
      <c r="G19" s="157" t="s">
        <v>379</v>
      </c>
      <c r="H19" s="157" t="s">
        <v>380</v>
      </c>
    </row>
    <row r="20" spans="1:8">
      <c r="A20" s="159">
        <v>18</v>
      </c>
      <c r="B20" s="158">
        <v>42675</v>
      </c>
      <c r="C20" s="157" t="s">
        <v>423</v>
      </c>
      <c r="D20" s="157" t="s">
        <v>377</v>
      </c>
      <c r="E20" s="157" t="s">
        <v>424</v>
      </c>
      <c r="F20" s="157" t="s">
        <v>425</v>
      </c>
      <c r="G20" s="157" t="s">
        <v>379</v>
      </c>
      <c r="H20" s="157" t="s">
        <v>380</v>
      </c>
    </row>
    <row r="21" spans="1:8">
      <c r="A21" s="159">
        <v>19</v>
      </c>
      <c r="B21" s="158">
        <v>42705</v>
      </c>
      <c r="C21" s="157" t="s">
        <v>426</v>
      </c>
      <c r="D21" s="157" t="s">
        <v>377</v>
      </c>
      <c r="E21" s="157" t="s">
        <v>427</v>
      </c>
      <c r="F21" s="157" t="s">
        <v>428</v>
      </c>
      <c r="G21" s="157" t="s">
        <v>379</v>
      </c>
      <c r="H21" s="157" t="s">
        <v>380</v>
      </c>
    </row>
    <row r="22" spans="1:8">
      <c r="A22" s="159">
        <v>20</v>
      </c>
      <c r="B22" s="158">
        <v>42736</v>
      </c>
      <c r="C22" s="157" t="s">
        <v>429</v>
      </c>
      <c r="D22" s="157" t="s">
        <v>377</v>
      </c>
      <c r="E22" s="157" t="s">
        <v>430</v>
      </c>
      <c r="F22" s="157" t="s">
        <v>431</v>
      </c>
      <c r="G22" s="157" t="s">
        <v>379</v>
      </c>
      <c r="H22" s="157" t="s">
        <v>380</v>
      </c>
    </row>
    <row r="23" spans="1:8">
      <c r="A23" s="159">
        <v>21</v>
      </c>
      <c r="B23" s="158">
        <v>42767</v>
      </c>
      <c r="C23" s="157" t="s">
        <v>432</v>
      </c>
      <c r="D23" s="157" t="s">
        <v>377</v>
      </c>
      <c r="E23" s="157" t="s">
        <v>433</v>
      </c>
      <c r="F23" s="157" t="s">
        <v>434</v>
      </c>
      <c r="G23" s="157" t="s">
        <v>379</v>
      </c>
      <c r="H23" s="157" t="s">
        <v>380</v>
      </c>
    </row>
    <row r="24" spans="1:8">
      <c r="A24" s="159">
        <v>22</v>
      </c>
      <c r="B24" s="158">
        <v>42795</v>
      </c>
      <c r="C24" s="157" t="s">
        <v>435</v>
      </c>
      <c r="D24" s="157" t="s">
        <v>377</v>
      </c>
      <c r="E24" s="157" t="s">
        <v>436</v>
      </c>
      <c r="F24" s="157" t="s">
        <v>437</v>
      </c>
      <c r="G24" s="157" t="s">
        <v>379</v>
      </c>
      <c r="H24" s="157" t="s">
        <v>380</v>
      </c>
    </row>
    <row r="25" spans="1:8">
      <c r="A25" s="159">
        <v>23</v>
      </c>
      <c r="B25" s="158">
        <v>42826</v>
      </c>
      <c r="C25" s="157" t="s">
        <v>438</v>
      </c>
      <c r="D25" s="157" t="s">
        <v>377</v>
      </c>
      <c r="E25" s="157" t="s">
        <v>439</v>
      </c>
      <c r="F25" s="157" t="s">
        <v>440</v>
      </c>
      <c r="G25" s="157" t="s">
        <v>379</v>
      </c>
      <c r="H25" s="157" t="s">
        <v>380</v>
      </c>
    </row>
    <row r="26" spans="1:8">
      <c r="A26" s="159">
        <v>24</v>
      </c>
      <c r="B26" s="158">
        <v>42856</v>
      </c>
      <c r="C26" s="157" t="s">
        <v>441</v>
      </c>
      <c r="D26" s="157" t="s">
        <v>377</v>
      </c>
      <c r="E26" s="157" t="s">
        <v>442</v>
      </c>
      <c r="F26" s="157" t="s">
        <v>443</v>
      </c>
      <c r="G26" s="157" t="s">
        <v>379</v>
      </c>
      <c r="H26" s="157" t="s">
        <v>380</v>
      </c>
    </row>
    <row r="27" spans="1:8">
      <c r="A27" s="159">
        <v>25</v>
      </c>
      <c r="B27" s="158">
        <v>42887</v>
      </c>
      <c r="C27" s="157" t="s">
        <v>444</v>
      </c>
      <c r="D27" s="157" t="s">
        <v>377</v>
      </c>
      <c r="E27" s="157" t="s">
        <v>445</v>
      </c>
      <c r="F27" s="157" t="s">
        <v>446</v>
      </c>
      <c r="G27" s="157" t="s">
        <v>379</v>
      </c>
      <c r="H27" s="157" t="s">
        <v>380</v>
      </c>
    </row>
    <row r="28" spans="1:8">
      <c r="A28" s="159">
        <v>26</v>
      </c>
      <c r="B28" s="158">
        <v>42917</v>
      </c>
      <c r="C28" s="157" t="s">
        <v>447</v>
      </c>
      <c r="D28" s="157" t="s">
        <v>377</v>
      </c>
      <c r="E28" s="157" t="s">
        <v>448</v>
      </c>
      <c r="F28" s="157" t="s">
        <v>449</v>
      </c>
      <c r="G28" s="157" t="s">
        <v>379</v>
      </c>
      <c r="H28" s="157" t="s">
        <v>380</v>
      </c>
    </row>
    <row r="29" spans="1:8">
      <c r="A29" s="159">
        <v>27</v>
      </c>
      <c r="B29" s="158">
        <v>42948</v>
      </c>
      <c r="C29" s="157" t="s">
        <v>450</v>
      </c>
      <c r="D29" s="157" t="s">
        <v>377</v>
      </c>
      <c r="E29" s="157" t="s">
        <v>451</v>
      </c>
      <c r="F29" s="157" t="s">
        <v>452</v>
      </c>
      <c r="G29" s="157" t="s">
        <v>379</v>
      </c>
      <c r="H29" s="157" t="s">
        <v>380</v>
      </c>
    </row>
    <row r="30" spans="1:8">
      <c r="A30" s="159">
        <v>28</v>
      </c>
      <c r="B30" s="158">
        <v>42979</v>
      </c>
      <c r="C30" s="157" t="s">
        <v>453</v>
      </c>
      <c r="D30" s="157" t="s">
        <v>377</v>
      </c>
      <c r="E30" s="157" t="s">
        <v>454</v>
      </c>
      <c r="F30" s="157" t="s">
        <v>455</v>
      </c>
      <c r="G30" s="157" t="s">
        <v>379</v>
      </c>
      <c r="H30" s="157" t="s">
        <v>380</v>
      </c>
    </row>
    <row r="31" spans="1:8">
      <c r="A31" s="159">
        <v>29</v>
      </c>
      <c r="B31" s="158">
        <v>43009</v>
      </c>
      <c r="C31" s="157" t="s">
        <v>456</v>
      </c>
      <c r="D31" s="157" t="s">
        <v>377</v>
      </c>
      <c r="E31" s="157" t="s">
        <v>457</v>
      </c>
      <c r="F31" s="157" t="s">
        <v>458</v>
      </c>
      <c r="G31" s="157" t="s">
        <v>379</v>
      </c>
      <c r="H31" s="157" t="s">
        <v>380</v>
      </c>
    </row>
    <row r="32" spans="1:8">
      <c r="A32" s="159">
        <v>30</v>
      </c>
      <c r="B32" s="158">
        <v>43040</v>
      </c>
      <c r="C32" s="157" t="s">
        <v>459</v>
      </c>
      <c r="D32" s="157" t="s">
        <v>377</v>
      </c>
      <c r="E32" s="157" t="s">
        <v>460</v>
      </c>
      <c r="F32" s="157" t="s">
        <v>461</v>
      </c>
      <c r="G32" s="157" t="s">
        <v>379</v>
      </c>
      <c r="H32" s="157" t="s">
        <v>380</v>
      </c>
    </row>
    <row r="33" spans="1:8">
      <c r="A33" s="159">
        <v>31</v>
      </c>
      <c r="B33" s="158">
        <v>43070</v>
      </c>
      <c r="C33" s="157" t="s">
        <v>462</v>
      </c>
      <c r="D33" s="157" t="s">
        <v>377</v>
      </c>
      <c r="E33" s="157" t="s">
        <v>463</v>
      </c>
      <c r="F33" s="157" t="s">
        <v>464</v>
      </c>
      <c r="G33" s="157" t="s">
        <v>379</v>
      </c>
      <c r="H33" s="157" t="s">
        <v>380</v>
      </c>
    </row>
    <row r="34" spans="1:8">
      <c r="A34" s="159">
        <v>32</v>
      </c>
      <c r="B34" s="158">
        <v>43101</v>
      </c>
      <c r="C34" s="157" t="s">
        <v>465</v>
      </c>
      <c r="D34" s="157" t="s">
        <v>377</v>
      </c>
      <c r="E34" s="157" t="s">
        <v>466</v>
      </c>
      <c r="F34" s="157" t="s">
        <v>467</v>
      </c>
      <c r="G34" s="157" t="s">
        <v>379</v>
      </c>
      <c r="H34" s="157" t="s">
        <v>380</v>
      </c>
    </row>
    <row r="35" spans="1:8">
      <c r="A35" s="159">
        <v>33</v>
      </c>
      <c r="B35" s="158">
        <v>43132</v>
      </c>
      <c r="C35" s="157" t="s">
        <v>468</v>
      </c>
      <c r="D35" s="157" t="s">
        <v>377</v>
      </c>
      <c r="E35" s="157" t="s">
        <v>469</v>
      </c>
      <c r="F35" s="157" t="s">
        <v>470</v>
      </c>
      <c r="G35" s="157" t="s">
        <v>379</v>
      </c>
      <c r="H35" s="157" t="s">
        <v>380</v>
      </c>
    </row>
    <row r="36" spans="1:8">
      <c r="A36" s="159">
        <v>34</v>
      </c>
      <c r="B36" s="158">
        <v>43160</v>
      </c>
      <c r="C36" s="157" t="s">
        <v>471</v>
      </c>
      <c r="D36" s="157" t="s">
        <v>377</v>
      </c>
      <c r="E36" s="157" t="s">
        <v>472</v>
      </c>
      <c r="F36" s="157" t="s">
        <v>473</v>
      </c>
      <c r="G36" s="157" t="s">
        <v>379</v>
      </c>
      <c r="H36" s="157" t="s">
        <v>380</v>
      </c>
    </row>
    <row r="37" spans="1:8">
      <c r="A37" s="159">
        <v>35</v>
      </c>
      <c r="B37" s="158">
        <v>43191</v>
      </c>
      <c r="C37" s="157" t="s">
        <v>474</v>
      </c>
      <c r="D37" s="157" t="s">
        <v>377</v>
      </c>
      <c r="E37" s="157" t="s">
        <v>475</v>
      </c>
      <c r="F37" s="157" t="s">
        <v>476</v>
      </c>
      <c r="G37" s="157" t="s">
        <v>379</v>
      </c>
      <c r="H37" s="157" t="s">
        <v>380</v>
      </c>
    </row>
    <row r="38" spans="1:8">
      <c r="A38" s="159">
        <v>36</v>
      </c>
      <c r="B38" s="158">
        <v>43221</v>
      </c>
      <c r="C38" s="157" t="s">
        <v>477</v>
      </c>
      <c r="D38" s="157" t="s">
        <v>377</v>
      </c>
      <c r="E38" s="157" t="s">
        <v>478</v>
      </c>
      <c r="F38" s="157" t="s">
        <v>479</v>
      </c>
      <c r="G38" s="157" t="s">
        <v>379</v>
      </c>
      <c r="H38" s="157" t="s">
        <v>380</v>
      </c>
    </row>
    <row r="39" spans="1:8">
      <c r="A39" s="159">
        <v>37</v>
      </c>
      <c r="B39" s="158">
        <v>43252</v>
      </c>
      <c r="C39" s="157" t="s">
        <v>480</v>
      </c>
      <c r="D39" s="157" t="s">
        <v>377</v>
      </c>
      <c r="E39" s="157" t="s">
        <v>481</v>
      </c>
      <c r="F39" s="157" t="s">
        <v>482</v>
      </c>
      <c r="G39" s="157" t="s">
        <v>379</v>
      </c>
      <c r="H39" s="157" t="s">
        <v>380</v>
      </c>
    </row>
    <row r="40" spans="1:8">
      <c r="A40" s="159">
        <v>38</v>
      </c>
      <c r="B40" s="158">
        <v>43282</v>
      </c>
      <c r="C40" s="157" t="s">
        <v>483</v>
      </c>
      <c r="D40" s="157" t="s">
        <v>377</v>
      </c>
      <c r="E40" s="157" t="s">
        <v>484</v>
      </c>
      <c r="F40" s="157" t="s">
        <v>485</v>
      </c>
      <c r="G40" s="157" t="s">
        <v>379</v>
      </c>
      <c r="H40" s="157" t="s">
        <v>380</v>
      </c>
    </row>
    <row r="41" spans="1:8">
      <c r="A41" s="159">
        <v>39</v>
      </c>
      <c r="B41" s="158">
        <v>43313</v>
      </c>
      <c r="C41" s="157" t="s">
        <v>486</v>
      </c>
      <c r="D41" s="157" t="s">
        <v>377</v>
      </c>
      <c r="E41" s="157" t="s">
        <v>487</v>
      </c>
      <c r="F41" s="157" t="s">
        <v>488</v>
      </c>
      <c r="G41" s="157" t="s">
        <v>379</v>
      </c>
      <c r="H41" s="157" t="s">
        <v>380</v>
      </c>
    </row>
    <row r="42" spans="1:8">
      <c r="A42" s="159">
        <v>40</v>
      </c>
      <c r="B42" s="158">
        <v>43344</v>
      </c>
      <c r="C42" s="157" t="s">
        <v>489</v>
      </c>
      <c r="D42" s="157" t="s">
        <v>377</v>
      </c>
      <c r="E42" s="157" t="s">
        <v>490</v>
      </c>
      <c r="F42" s="157" t="s">
        <v>491</v>
      </c>
      <c r="G42" s="157" t="s">
        <v>379</v>
      </c>
      <c r="H42" s="157" t="s">
        <v>380</v>
      </c>
    </row>
    <row r="43" spans="1:8">
      <c r="A43" s="159">
        <v>41</v>
      </c>
      <c r="B43" s="158">
        <v>43374</v>
      </c>
      <c r="C43" s="157" t="s">
        <v>492</v>
      </c>
      <c r="D43" s="157" t="s">
        <v>377</v>
      </c>
      <c r="E43" s="157" t="s">
        <v>493</v>
      </c>
      <c r="F43" s="157" t="s">
        <v>494</v>
      </c>
      <c r="G43" s="157" t="s">
        <v>379</v>
      </c>
      <c r="H43" s="157" t="s">
        <v>380</v>
      </c>
    </row>
    <row r="44" spans="1:8">
      <c r="A44" s="159">
        <v>42</v>
      </c>
      <c r="B44" s="158">
        <v>43405</v>
      </c>
      <c r="C44" s="157" t="s">
        <v>495</v>
      </c>
      <c r="D44" s="157" t="s">
        <v>377</v>
      </c>
      <c r="E44" s="157" t="s">
        <v>496</v>
      </c>
      <c r="F44" s="157" t="s">
        <v>497</v>
      </c>
      <c r="G44" s="157" t="s">
        <v>379</v>
      </c>
      <c r="H44" s="157" t="s">
        <v>380</v>
      </c>
    </row>
    <row r="45" spans="1:8">
      <c r="A45" s="159">
        <v>43</v>
      </c>
      <c r="B45" s="158">
        <v>43435</v>
      </c>
      <c r="C45" s="157" t="s">
        <v>498</v>
      </c>
      <c r="D45" s="157" t="s">
        <v>377</v>
      </c>
      <c r="E45" s="157" t="s">
        <v>499</v>
      </c>
      <c r="F45" s="157" t="s">
        <v>500</v>
      </c>
      <c r="G45" s="157" t="s">
        <v>379</v>
      </c>
      <c r="H45" s="157" t="s">
        <v>380</v>
      </c>
    </row>
    <row r="46" spans="1:8">
      <c r="A46" s="159">
        <v>44</v>
      </c>
      <c r="B46" s="158">
        <v>43466</v>
      </c>
      <c r="C46" s="157" t="s">
        <v>501</v>
      </c>
      <c r="D46" s="157" t="s">
        <v>377</v>
      </c>
      <c r="E46" s="157" t="s">
        <v>502</v>
      </c>
      <c r="F46" s="157" t="s">
        <v>503</v>
      </c>
      <c r="G46" s="157" t="s">
        <v>379</v>
      </c>
      <c r="H46" s="157" t="s">
        <v>380</v>
      </c>
    </row>
    <row r="47" spans="1:8">
      <c r="A47" s="159">
        <v>45</v>
      </c>
      <c r="B47" s="158">
        <v>43497</v>
      </c>
      <c r="C47" s="157" t="s">
        <v>504</v>
      </c>
      <c r="D47" s="157" t="s">
        <v>377</v>
      </c>
      <c r="E47" s="157" t="s">
        <v>505</v>
      </c>
      <c r="F47" s="157" t="s">
        <v>506</v>
      </c>
      <c r="G47" s="157" t="s">
        <v>379</v>
      </c>
      <c r="H47" s="157" t="s">
        <v>380</v>
      </c>
    </row>
    <row r="48" spans="1:8">
      <c r="A48" s="159">
        <v>46</v>
      </c>
      <c r="B48" s="158">
        <v>43525</v>
      </c>
      <c r="C48" s="157" t="s">
        <v>507</v>
      </c>
      <c r="D48" s="157" t="s">
        <v>377</v>
      </c>
      <c r="E48" s="157" t="s">
        <v>508</v>
      </c>
      <c r="F48" s="157" t="s">
        <v>509</v>
      </c>
      <c r="G48" s="157" t="s">
        <v>379</v>
      </c>
      <c r="H48" s="157" t="s">
        <v>380</v>
      </c>
    </row>
    <row r="49" spans="1:8">
      <c r="A49" s="159">
        <v>47</v>
      </c>
      <c r="B49" s="158">
        <v>43556</v>
      </c>
      <c r="C49" s="157" t="s">
        <v>510</v>
      </c>
      <c r="D49" s="157" t="s">
        <v>377</v>
      </c>
      <c r="E49" s="157" t="s">
        <v>511</v>
      </c>
      <c r="F49" s="157" t="s">
        <v>512</v>
      </c>
      <c r="G49" s="157" t="s">
        <v>379</v>
      </c>
      <c r="H49" s="157" t="s">
        <v>380</v>
      </c>
    </row>
    <row r="50" spans="1:8">
      <c r="A50" s="159">
        <v>48</v>
      </c>
      <c r="B50" s="158">
        <v>43586</v>
      </c>
      <c r="C50" s="157" t="s">
        <v>513</v>
      </c>
      <c r="D50" s="157" t="s">
        <v>377</v>
      </c>
      <c r="E50" s="157" t="s">
        <v>514</v>
      </c>
      <c r="F50" s="157" t="s">
        <v>515</v>
      </c>
      <c r="G50" s="157" t="s">
        <v>379</v>
      </c>
      <c r="H50" s="157" t="s">
        <v>380</v>
      </c>
    </row>
    <row r="51" spans="1:8">
      <c r="A51" s="159">
        <v>49</v>
      </c>
      <c r="B51" s="158">
        <v>43617</v>
      </c>
      <c r="C51" s="157" t="s">
        <v>516</v>
      </c>
      <c r="D51" s="157" t="s">
        <v>377</v>
      </c>
      <c r="E51" s="157" t="s">
        <v>517</v>
      </c>
      <c r="F51" s="157" t="s">
        <v>518</v>
      </c>
      <c r="G51" s="157" t="s">
        <v>379</v>
      </c>
      <c r="H51" s="157" t="s">
        <v>380</v>
      </c>
    </row>
    <row r="52" spans="1:8">
      <c r="A52" s="159">
        <v>50</v>
      </c>
      <c r="B52" s="158">
        <v>43647</v>
      </c>
      <c r="C52" s="157" t="s">
        <v>519</v>
      </c>
      <c r="D52" s="157" t="s">
        <v>377</v>
      </c>
      <c r="E52" s="157" t="s">
        <v>520</v>
      </c>
      <c r="F52" s="157" t="s">
        <v>521</v>
      </c>
      <c r="G52" s="157" t="s">
        <v>379</v>
      </c>
      <c r="H52" s="157" t="s">
        <v>380</v>
      </c>
    </row>
    <row r="53" spans="1:8">
      <c r="A53" s="159">
        <v>51</v>
      </c>
      <c r="B53" s="158">
        <v>43678</v>
      </c>
      <c r="C53" s="157" t="s">
        <v>522</v>
      </c>
      <c r="D53" s="157" t="s">
        <v>377</v>
      </c>
      <c r="E53" s="157" t="s">
        <v>523</v>
      </c>
      <c r="F53" s="157" t="s">
        <v>524</v>
      </c>
      <c r="G53" s="157" t="s">
        <v>379</v>
      </c>
      <c r="H53" s="157" t="s">
        <v>380</v>
      </c>
    </row>
    <row r="54" spans="1:8">
      <c r="A54" s="159">
        <v>52</v>
      </c>
      <c r="B54" s="158">
        <v>43709</v>
      </c>
      <c r="C54" s="157" t="s">
        <v>525</v>
      </c>
      <c r="D54" s="157" t="s">
        <v>377</v>
      </c>
      <c r="E54" s="157" t="s">
        <v>526</v>
      </c>
      <c r="F54" s="157" t="s">
        <v>527</v>
      </c>
      <c r="G54" s="157" t="s">
        <v>379</v>
      </c>
      <c r="H54" s="157" t="s">
        <v>380</v>
      </c>
    </row>
    <row r="55" spans="1:8">
      <c r="A55" s="159">
        <v>53</v>
      </c>
      <c r="B55" s="158">
        <v>43739</v>
      </c>
      <c r="C55" s="157" t="s">
        <v>528</v>
      </c>
      <c r="D55" s="157" t="s">
        <v>377</v>
      </c>
      <c r="E55" s="157" t="s">
        <v>529</v>
      </c>
      <c r="F55" s="157" t="s">
        <v>530</v>
      </c>
      <c r="G55" s="157" t="s">
        <v>379</v>
      </c>
      <c r="H55" s="157" t="s">
        <v>380</v>
      </c>
    </row>
    <row r="56" spans="1:8">
      <c r="A56" s="159">
        <v>54</v>
      </c>
      <c r="B56" s="158">
        <v>43770</v>
      </c>
      <c r="C56" s="157" t="s">
        <v>531</v>
      </c>
      <c r="D56" s="157" t="s">
        <v>377</v>
      </c>
      <c r="E56" s="157" t="s">
        <v>532</v>
      </c>
      <c r="F56" s="157" t="s">
        <v>533</v>
      </c>
      <c r="G56" s="157" t="s">
        <v>379</v>
      </c>
      <c r="H56" s="157" t="s">
        <v>380</v>
      </c>
    </row>
    <row r="57" spans="1:8">
      <c r="A57" s="159">
        <v>55</v>
      </c>
      <c r="B57" s="158">
        <v>43800</v>
      </c>
      <c r="C57" s="157" t="s">
        <v>534</v>
      </c>
      <c r="D57" s="157" t="s">
        <v>377</v>
      </c>
      <c r="E57" s="157" t="s">
        <v>535</v>
      </c>
      <c r="F57" s="157" t="s">
        <v>536</v>
      </c>
      <c r="G57" s="157" t="s">
        <v>379</v>
      </c>
      <c r="H57" s="157" t="s">
        <v>380</v>
      </c>
    </row>
    <row r="58" spans="1:8">
      <c r="A58" s="159">
        <v>56</v>
      </c>
      <c r="B58" s="158">
        <v>43831</v>
      </c>
      <c r="C58" s="157" t="s">
        <v>537</v>
      </c>
      <c r="D58" s="157" t="s">
        <v>377</v>
      </c>
      <c r="E58" s="157" t="s">
        <v>538</v>
      </c>
      <c r="F58" s="157" t="s">
        <v>539</v>
      </c>
      <c r="G58" s="157" t="s">
        <v>379</v>
      </c>
      <c r="H58" s="157" t="s">
        <v>380</v>
      </c>
    </row>
    <row r="59" spans="1:8">
      <c r="A59" s="159">
        <v>57</v>
      </c>
      <c r="B59" s="158">
        <v>43862</v>
      </c>
      <c r="C59" s="157" t="s">
        <v>540</v>
      </c>
      <c r="D59" s="157" t="s">
        <v>377</v>
      </c>
      <c r="E59" s="157" t="s">
        <v>541</v>
      </c>
      <c r="F59" s="157" t="s">
        <v>542</v>
      </c>
      <c r="G59" s="157" t="s">
        <v>379</v>
      </c>
      <c r="H59" s="157" t="s">
        <v>380</v>
      </c>
    </row>
    <row r="60" spans="1:8">
      <c r="A60" s="159">
        <v>58</v>
      </c>
      <c r="B60" s="158">
        <v>43891</v>
      </c>
      <c r="C60" s="157" t="s">
        <v>543</v>
      </c>
      <c r="D60" s="157" t="s">
        <v>377</v>
      </c>
      <c r="E60" s="157" t="s">
        <v>544</v>
      </c>
      <c r="F60" s="157" t="s">
        <v>545</v>
      </c>
      <c r="G60" s="157" t="s">
        <v>379</v>
      </c>
      <c r="H60" s="157" t="s">
        <v>380</v>
      </c>
    </row>
    <row r="61" spans="1:8">
      <c r="A61" s="159">
        <v>59</v>
      </c>
      <c r="B61" s="158">
        <v>43922</v>
      </c>
      <c r="C61" s="157" t="s">
        <v>546</v>
      </c>
      <c r="D61" s="157" t="s">
        <v>377</v>
      </c>
      <c r="E61" s="157" t="s">
        <v>547</v>
      </c>
      <c r="F61" s="157" t="s">
        <v>548</v>
      </c>
      <c r="G61" s="157" t="s">
        <v>379</v>
      </c>
      <c r="H61" s="157" t="s">
        <v>380</v>
      </c>
    </row>
    <row r="62" spans="1:8">
      <c r="A62" s="159">
        <v>60</v>
      </c>
      <c r="B62" s="158">
        <v>43952</v>
      </c>
      <c r="C62" s="157" t="s">
        <v>208</v>
      </c>
      <c r="D62" s="157" t="s">
        <v>377</v>
      </c>
      <c r="E62" s="157" t="s">
        <v>546</v>
      </c>
      <c r="F62" s="157" t="s">
        <v>549</v>
      </c>
      <c r="G62" s="157" t="s">
        <v>379</v>
      </c>
      <c r="H62" s="157" t="s">
        <v>380</v>
      </c>
    </row>
    <row r="64" spans="1:8" ht="18">
      <c r="A64" s="156" t="s">
        <v>550</v>
      </c>
    </row>
    <row r="65" spans="1:1" ht="18">
      <c r="A65" s="156" t="s">
        <v>551</v>
      </c>
    </row>
    <row r="66" spans="1:1" ht="18">
      <c r="A66" s="156" t="s">
        <v>552</v>
      </c>
    </row>
    <row r="68" spans="1:1" ht="195">
      <c r="A68" s="162" t="s">
        <v>553</v>
      </c>
    </row>
    <row r="70" spans="1:1" ht="306">
      <c r="A70" s="161" t="s">
        <v>554</v>
      </c>
    </row>
    <row r="72" spans="1:1" ht="18">
      <c r="A72" s="161"/>
    </row>
  </sheetData>
  <phoneticPr fontId="8" type="noConversion"/>
  <hyperlinks>
    <hyperlink ref="A68" r:id="rId1" tooltip="tableau amortissement" display="http://www.tableau-amortissement.org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V48"/>
  <sheetViews>
    <sheetView showGridLines="0" zoomScale="80" zoomScaleNormal="80" workbookViewId="0">
      <selection activeCell="B24" sqref="B24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9.140625" style="9" customWidth="1"/>
    <col min="4" max="4" width="19.85546875" style="3" customWidth="1"/>
    <col min="5" max="5" width="7.7109375" style="299" customWidth="1"/>
    <col min="6" max="6" width="19.85546875" style="9" customWidth="1"/>
    <col min="7" max="7" width="7.7109375" style="301" customWidth="1"/>
    <col min="8" max="8" width="19.85546875" style="1" customWidth="1"/>
    <col min="9" max="9" width="7.7109375" style="301" customWidth="1"/>
    <col min="10" max="10" width="19.85546875" style="1" customWidth="1"/>
    <col min="11" max="11" width="7.7109375" style="301" customWidth="1"/>
    <col min="12" max="12" width="19.85546875" style="1" customWidth="1"/>
    <col min="13" max="13" width="7.7109375" style="301" customWidth="1"/>
    <col min="14" max="16384" width="11.42578125" style="1"/>
  </cols>
  <sheetData>
    <row r="1" spans="1:22" ht="21">
      <c r="A1" s="352" t="s">
        <v>585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03"/>
      <c r="O1" s="303"/>
      <c r="P1" s="303"/>
      <c r="Q1" s="303"/>
      <c r="R1" s="303"/>
      <c r="S1" s="303"/>
      <c r="T1" s="303"/>
      <c r="U1" s="303"/>
      <c r="V1" s="303"/>
    </row>
    <row r="3" spans="1:22" s="31" customFormat="1">
      <c r="A3" s="30"/>
      <c r="B3" s="30"/>
      <c r="C3" s="30"/>
      <c r="D3" s="30">
        <v>2013</v>
      </c>
      <c r="E3" s="30"/>
      <c r="F3" s="31">
        <v>2014</v>
      </c>
      <c r="H3" s="31">
        <v>2015</v>
      </c>
      <c r="J3" s="31">
        <v>2016</v>
      </c>
      <c r="L3" s="31">
        <v>2017</v>
      </c>
    </row>
    <row r="4" spans="1:22" s="26" customFormat="1" ht="18.75">
      <c r="A4" s="7"/>
      <c r="B4" s="7"/>
      <c r="C4" s="7"/>
      <c r="D4" s="187"/>
      <c r="E4" s="311"/>
      <c r="F4" s="31"/>
      <c r="G4" s="8"/>
      <c r="H4" s="31"/>
      <c r="I4" s="8"/>
      <c r="J4" s="31"/>
      <c r="K4" s="8"/>
      <c r="L4" s="31"/>
      <c r="M4" s="8"/>
    </row>
    <row r="5" spans="1:22">
      <c r="A5" s="10"/>
      <c r="B5" s="11" t="s">
        <v>91</v>
      </c>
      <c r="C5" s="11"/>
      <c r="D5" s="3">
        <f>1800000-SUM(D6:D8)</f>
        <v>1240000</v>
      </c>
      <c r="E5" s="301"/>
      <c r="F5" s="3">
        <f>1928000-SUM(F6:F8)</f>
        <v>1368000</v>
      </c>
      <c r="H5" s="3">
        <f>2366166-SUM(H6:H8)</f>
        <v>1621166</v>
      </c>
      <c r="J5" s="3">
        <f>2608431-SUM(J6:J8)</f>
        <v>1948431</v>
      </c>
      <c r="L5" s="3">
        <f>3017594-SUM(L6:L8)</f>
        <v>2272594</v>
      </c>
    </row>
    <row r="6" spans="1:22">
      <c r="A6" s="10"/>
      <c r="B6" s="11"/>
      <c r="C6" s="11" t="s">
        <v>59</v>
      </c>
      <c r="D6" s="192">
        <v>350000</v>
      </c>
      <c r="E6" s="329"/>
      <c r="F6" s="192">
        <f>(H6+D6)/2</f>
        <v>415000</v>
      </c>
      <c r="G6" s="329"/>
      <c r="H6" s="192">
        <v>480000</v>
      </c>
      <c r="I6" s="329"/>
      <c r="J6" s="192">
        <f>(L6+H6)/2</f>
        <v>480000</v>
      </c>
      <c r="K6" s="329"/>
      <c r="L6" s="192">
        <v>480000</v>
      </c>
    </row>
    <row r="7" spans="1:22">
      <c r="A7" s="10"/>
      <c r="B7" s="11"/>
      <c r="C7" s="11" t="s">
        <v>61</v>
      </c>
      <c r="D7" s="192">
        <v>20000</v>
      </c>
      <c r="E7" s="329"/>
      <c r="F7" s="192">
        <f>(H7+D7)/2</f>
        <v>55000</v>
      </c>
      <c r="G7" s="329"/>
      <c r="H7" s="192">
        <v>90000</v>
      </c>
      <c r="I7" s="329"/>
      <c r="J7" s="192">
        <f>(L7+H7)/2</f>
        <v>90000</v>
      </c>
      <c r="K7" s="329"/>
      <c r="L7" s="192">
        <v>90000</v>
      </c>
    </row>
    <row r="8" spans="1:22">
      <c r="A8" s="10"/>
      <c r="B8" s="11"/>
      <c r="C8" s="11" t="s">
        <v>60</v>
      </c>
      <c r="D8" s="192">
        <v>190000</v>
      </c>
      <c r="E8" s="329"/>
      <c r="F8" s="192">
        <f>90000</f>
        <v>90000</v>
      </c>
      <c r="G8" s="329"/>
      <c r="H8" s="192">
        <v>175000</v>
      </c>
      <c r="I8" s="329"/>
      <c r="J8" s="192">
        <f>90000</f>
        <v>90000</v>
      </c>
      <c r="K8" s="329"/>
      <c r="L8" s="192">
        <v>175000</v>
      </c>
    </row>
    <row r="9" spans="1:22">
      <c r="A9" s="10"/>
      <c r="B9" s="11" t="s">
        <v>43</v>
      </c>
      <c r="C9" s="11"/>
      <c r="D9" s="3">
        <v>0</v>
      </c>
      <c r="E9" s="19"/>
      <c r="F9" s="3">
        <v>0</v>
      </c>
      <c r="H9" s="3">
        <v>0</v>
      </c>
      <c r="J9" s="3">
        <v>0</v>
      </c>
      <c r="L9" s="3">
        <v>0</v>
      </c>
    </row>
    <row r="10" spans="1:22">
      <c r="A10" s="10"/>
      <c r="B10" s="11"/>
      <c r="C10" s="11"/>
      <c r="E10" s="19"/>
      <c r="F10" s="3"/>
      <c r="H10" s="3"/>
      <c r="J10" s="3"/>
      <c r="L10" s="3"/>
    </row>
    <row r="11" spans="1:22" ht="15.75" thickBot="1">
      <c r="A11" s="24" t="s">
        <v>0</v>
      </c>
      <c r="B11" s="24"/>
      <c r="C11" s="24"/>
      <c r="D11" s="193">
        <f>SUM(D5:D10)</f>
        <v>1800000</v>
      </c>
      <c r="E11" s="312">
        <v>1</v>
      </c>
      <c r="F11" s="193">
        <f>SUM(F5:F10)</f>
        <v>1928000</v>
      </c>
      <c r="G11" s="312">
        <v>1</v>
      </c>
      <c r="H11" s="193">
        <f>SUM(H5:H10)</f>
        <v>2366166</v>
      </c>
      <c r="I11" s="312">
        <v>1</v>
      </c>
      <c r="J11" s="193">
        <f>SUM(J5:J10)</f>
        <v>2608431</v>
      </c>
      <c r="K11" s="312">
        <v>1</v>
      </c>
      <c r="L11" s="193">
        <f>SUM(L5:L10)</f>
        <v>3017594</v>
      </c>
      <c r="M11" s="312">
        <v>1</v>
      </c>
    </row>
    <row r="12" spans="1:22" ht="15.75" thickTop="1">
      <c r="A12" s="10"/>
      <c r="B12" s="11"/>
      <c r="C12" s="11"/>
      <c r="E12" s="19"/>
      <c r="F12" s="3"/>
      <c r="H12" s="3"/>
      <c r="J12" s="3"/>
      <c r="L12" s="3"/>
    </row>
    <row r="13" spans="1:22">
      <c r="A13" s="10"/>
      <c r="B13" s="11" t="s">
        <v>46</v>
      </c>
      <c r="C13" s="11"/>
      <c r="D13" s="3">
        <f>(D5+D6+D8)*E13</f>
        <v>890000</v>
      </c>
      <c r="E13" s="330">
        <v>0.5</v>
      </c>
      <c r="F13" s="3">
        <f>(F5+F6+F8)*G13</f>
        <v>880310</v>
      </c>
      <c r="G13" s="330">
        <v>0.47</v>
      </c>
      <c r="H13" s="3">
        <f>(H5+H6+H8)*I13</f>
        <v>1047036.3600000001</v>
      </c>
      <c r="I13" s="330">
        <v>0.46</v>
      </c>
      <c r="J13" s="3">
        <f>(J5+J6+J8)*K13</f>
        <v>1145886.105</v>
      </c>
      <c r="K13" s="330">
        <v>0.45500000000000002</v>
      </c>
      <c r="L13" s="3">
        <f>(L5+L6+L8)*M13</f>
        <v>1317417.3</v>
      </c>
      <c r="M13" s="301">
        <v>0.45</v>
      </c>
    </row>
    <row r="14" spans="1:22">
      <c r="A14" s="10"/>
      <c r="B14" s="11" t="s">
        <v>37</v>
      </c>
      <c r="C14" s="11"/>
      <c r="D14" s="3">
        <v>0</v>
      </c>
      <c r="E14" s="302"/>
      <c r="F14" s="3">
        <v>0</v>
      </c>
      <c r="H14" s="3">
        <v>0</v>
      </c>
      <c r="J14" s="3">
        <v>0</v>
      </c>
      <c r="L14" s="3">
        <v>0</v>
      </c>
    </row>
    <row r="15" spans="1:22">
      <c r="A15" s="10"/>
      <c r="B15" s="11"/>
      <c r="C15" s="11"/>
      <c r="E15" s="19"/>
      <c r="F15" s="3"/>
      <c r="H15" s="3"/>
      <c r="J15" s="3"/>
      <c r="L15" s="3"/>
    </row>
    <row r="16" spans="1:22" ht="15.75" thickBot="1">
      <c r="A16" s="24" t="s">
        <v>32</v>
      </c>
      <c r="B16" s="24"/>
      <c r="C16" s="24"/>
      <c r="D16" s="193">
        <f>D11-D14-D13</f>
        <v>910000</v>
      </c>
      <c r="E16" s="312">
        <f>D16/D11</f>
        <v>0.50555555555555554</v>
      </c>
      <c r="F16" s="193">
        <f>F11-F14-F13</f>
        <v>1047690</v>
      </c>
      <c r="G16" s="312">
        <f>F16/F11</f>
        <v>0.5434076763485477</v>
      </c>
      <c r="H16" s="193">
        <f>H11-H14-H13</f>
        <v>1319129.6399999999</v>
      </c>
      <c r="I16" s="312">
        <f>H16/H11</f>
        <v>0.55749665915240088</v>
      </c>
      <c r="J16" s="193">
        <f>J11-J14-J13</f>
        <v>1462544.895</v>
      </c>
      <c r="K16" s="312">
        <f>J16/J11</f>
        <v>0.5606990926729517</v>
      </c>
      <c r="L16" s="193">
        <f>L11-L14-L13</f>
        <v>1700176.7</v>
      </c>
      <c r="M16" s="312">
        <f>L16/L11</f>
        <v>0.5634212886160298</v>
      </c>
    </row>
    <row r="17" spans="1:13" ht="15.75" thickTop="1">
      <c r="A17" s="10"/>
      <c r="B17" s="11"/>
      <c r="C17" s="11"/>
      <c r="E17" s="19"/>
      <c r="F17" s="3"/>
      <c r="H17" s="3"/>
      <c r="J17" s="3"/>
      <c r="L17" s="3"/>
    </row>
    <row r="18" spans="1:13">
      <c r="A18" s="10"/>
      <c r="B18" s="9" t="s">
        <v>38</v>
      </c>
      <c r="D18" s="3">
        <v>426000</v>
      </c>
      <c r="E18" s="328"/>
      <c r="F18" s="3">
        <v>483914</v>
      </c>
      <c r="G18" s="300"/>
      <c r="H18" s="3">
        <v>541010</v>
      </c>
      <c r="I18" s="328"/>
      <c r="J18" s="3">
        <v>605600</v>
      </c>
      <c r="K18" s="300"/>
      <c r="L18" s="3">
        <v>673648</v>
      </c>
    </row>
    <row r="19" spans="1:13">
      <c r="A19" s="39"/>
      <c r="C19" s="9" t="s">
        <v>57</v>
      </c>
      <c r="D19" s="3">
        <f>D11*E19</f>
        <v>99000</v>
      </c>
      <c r="E19" s="301">
        <v>5.5E-2</v>
      </c>
      <c r="F19" s="3">
        <f>F11*G19</f>
        <v>106040</v>
      </c>
      <c r="G19" s="301">
        <f>E19</f>
        <v>5.5E-2</v>
      </c>
      <c r="H19" s="3">
        <f>H11*I19</f>
        <v>130139.13</v>
      </c>
      <c r="I19" s="301">
        <v>5.5E-2</v>
      </c>
      <c r="J19" s="3">
        <f>J11*K19</f>
        <v>143463.70499999999</v>
      </c>
      <c r="K19" s="301">
        <f>I19</f>
        <v>5.5E-2</v>
      </c>
      <c r="L19" s="3">
        <f>L11*M19</f>
        <v>165967.67000000001</v>
      </c>
      <c r="M19" s="301">
        <f>K19</f>
        <v>5.5E-2</v>
      </c>
    </row>
    <row r="20" spans="1:13">
      <c r="A20" s="39"/>
      <c r="B20" s="39">
        <v>0.03</v>
      </c>
      <c r="C20" s="9" t="s">
        <v>58</v>
      </c>
      <c r="D20" s="3">
        <f>D18-D19-D21</f>
        <v>291140</v>
      </c>
      <c r="E20" s="301"/>
      <c r="F20" s="3">
        <f>+D20+D20*$B$20</f>
        <v>299874.2</v>
      </c>
      <c r="H20" s="3">
        <f>+F20+F20*$B$20</f>
        <v>308870.42600000004</v>
      </c>
      <c r="J20" s="3">
        <f>+H20+H20*$B$20</f>
        <v>318136.53878000006</v>
      </c>
      <c r="L20" s="3">
        <f>+J20+J20*$B$20</f>
        <v>327680.63494340004</v>
      </c>
    </row>
    <row r="21" spans="1:13">
      <c r="A21" s="39"/>
      <c r="B21" s="39"/>
      <c r="C21" s="9" t="s">
        <v>80</v>
      </c>
      <c r="D21" s="263">
        <v>35860</v>
      </c>
      <c r="E21" s="329"/>
      <c r="F21" s="263">
        <v>78000</v>
      </c>
      <c r="G21" s="329"/>
      <c r="H21" s="263">
        <v>102000</v>
      </c>
      <c r="I21" s="329"/>
      <c r="J21" s="263">
        <v>144000</v>
      </c>
      <c r="K21" s="329"/>
      <c r="L21" s="263">
        <v>180000</v>
      </c>
    </row>
    <row r="22" spans="1:13">
      <c r="A22" s="265"/>
      <c r="B22" s="265"/>
      <c r="D22" s="3">
        <f>SUM(D19:D21)</f>
        <v>426000</v>
      </c>
      <c r="E22" s="328"/>
      <c r="F22" s="3">
        <f>SUM(F19:F21)</f>
        <v>483914.2</v>
      </c>
      <c r="G22" s="328"/>
      <c r="H22" s="3">
        <f>SUM(H19:H21)</f>
        <v>541009.5560000001</v>
      </c>
      <c r="I22" s="328"/>
      <c r="J22" s="3">
        <f>SUM(J19:J21)</f>
        <v>605600.24378000002</v>
      </c>
      <c r="K22" s="328"/>
      <c r="L22" s="3">
        <f>SUM(L19:L21)</f>
        <v>673648.30494340009</v>
      </c>
      <c r="M22" s="328"/>
    </row>
    <row r="23" spans="1:13">
      <c r="A23" s="40"/>
      <c r="B23" s="11"/>
      <c r="C23" s="11"/>
      <c r="E23" s="19"/>
      <c r="F23" s="3"/>
      <c r="H23" s="3"/>
      <c r="J23" s="3"/>
      <c r="L23" s="3"/>
    </row>
    <row r="24" spans="1:13" ht="15.75" thickBot="1">
      <c r="A24" s="24" t="s">
        <v>1</v>
      </c>
      <c r="B24" s="24"/>
      <c r="C24" s="24"/>
      <c r="D24" s="193">
        <f>+D16-D22</f>
        <v>484000</v>
      </c>
      <c r="E24" s="312">
        <f>D24/D11</f>
        <v>0.2688888888888889</v>
      </c>
      <c r="F24" s="193">
        <f>+F16-F22</f>
        <v>563775.80000000005</v>
      </c>
      <c r="G24" s="312">
        <f>F24/F11</f>
        <v>0.29241483402489626</v>
      </c>
      <c r="H24" s="193">
        <f>+H16-H22</f>
        <v>778120.0839999998</v>
      </c>
      <c r="I24" s="312">
        <f>H24/H11</f>
        <v>0.32885270264216448</v>
      </c>
      <c r="J24" s="193">
        <f>+J16-J22</f>
        <v>856944.65122</v>
      </c>
      <c r="K24" s="312">
        <f>J24/J11</f>
        <v>0.3285287788789506</v>
      </c>
      <c r="L24" s="193">
        <f>+L16-L22</f>
        <v>1026528.3950565999</v>
      </c>
      <c r="M24" s="312">
        <f>L24/L11</f>
        <v>0.34018108302727268</v>
      </c>
    </row>
    <row r="25" spans="1:13" ht="15.75" thickTop="1">
      <c r="A25" s="10"/>
      <c r="B25" s="11"/>
      <c r="C25" s="11"/>
      <c r="E25" s="19"/>
      <c r="F25" s="3"/>
      <c r="H25" s="3"/>
      <c r="J25" s="3"/>
      <c r="L25" s="3"/>
    </row>
    <row r="26" spans="1:13">
      <c r="A26" s="18" t="s">
        <v>6</v>
      </c>
      <c r="C26" s="9" t="s">
        <v>49</v>
      </c>
      <c r="D26" s="3">
        <v>0</v>
      </c>
      <c r="E26" s="301"/>
      <c r="F26" s="3">
        <v>0</v>
      </c>
      <c r="H26" s="3">
        <v>0</v>
      </c>
      <c r="J26" s="3">
        <v>0</v>
      </c>
      <c r="L26" s="3">
        <v>0</v>
      </c>
    </row>
    <row r="27" spans="1:13" s="5" customFormat="1">
      <c r="A27" s="14" t="s">
        <v>47</v>
      </c>
      <c r="C27" s="15" t="s">
        <v>39</v>
      </c>
      <c r="D27" s="188">
        <f>(+D28+D29)*E27</f>
        <v>34650</v>
      </c>
      <c r="E27" s="301">
        <v>0.05</v>
      </c>
      <c r="F27" s="188">
        <f>(+F28+F29)*G27</f>
        <v>22050</v>
      </c>
      <c r="G27" s="301">
        <v>0.05</v>
      </c>
      <c r="H27" s="188">
        <f>(+H28+H29)*I27</f>
        <v>25970</v>
      </c>
      <c r="I27" s="301">
        <v>0.05</v>
      </c>
      <c r="J27" s="188">
        <f>(+J28+J29)*K27</f>
        <v>28490</v>
      </c>
      <c r="K27" s="301">
        <v>0.05</v>
      </c>
      <c r="L27" s="188">
        <f>(+L28+L29)*M27</f>
        <v>32410</v>
      </c>
      <c r="M27" s="301">
        <v>0.05</v>
      </c>
    </row>
    <row r="28" spans="1:13">
      <c r="A28" s="17" t="s">
        <v>47</v>
      </c>
      <c r="B28" s="39"/>
      <c r="C28" s="11" t="s">
        <v>50</v>
      </c>
      <c r="D28" s="188">
        <f>330000/8*12</f>
        <v>495000</v>
      </c>
      <c r="E28" s="301">
        <f>D28/D11</f>
        <v>0.27500000000000002</v>
      </c>
      <c r="F28" s="188">
        <f>(D28*$B$28+D28)-288000+27000+54000+27000</f>
        <v>315000</v>
      </c>
      <c r="G28" s="301">
        <f>F28/F11</f>
        <v>0.16338174273858921</v>
      </c>
      <c r="H28" s="188">
        <f>(F28*$B$28+F28)+20000+36000</f>
        <v>371000</v>
      </c>
      <c r="I28" s="301">
        <f>H28/H11</f>
        <v>0.15679373298407634</v>
      </c>
      <c r="J28" s="188">
        <f>(H28*$B$28+H28)+36000</f>
        <v>407000</v>
      </c>
      <c r="K28" s="301">
        <f>J28/J11</f>
        <v>0.15603249616340245</v>
      </c>
      <c r="L28" s="188">
        <f>(J28*$B$28+J28)+20000+36000</f>
        <v>463000</v>
      </c>
      <c r="M28" s="301">
        <f>L28/L11</f>
        <v>0.1534334970178228</v>
      </c>
    </row>
    <row r="29" spans="1:13">
      <c r="A29" s="17" t="s">
        <v>47</v>
      </c>
      <c r="C29" s="11" t="s">
        <v>40</v>
      </c>
      <c r="D29" s="188">
        <f>+D28*E29</f>
        <v>198000</v>
      </c>
      <c r="E29" s="301">
        <v>0.4</v>
      </c>
      <c r="F29" s="188">
        <f>+F28*G29</f>
        <v>126000</v>
      </c>
      <c r="G29" s="301">
        <v>0.4</v>
      </c>
      <c r="H29" s="188">
        <f>+H28*I29</f>
        <v>148400</v>
      </c>
      <c r="I29" s="301">
        <v>0.4</v>
      </c>
      <c r="J29" s="188">
        <f>+J28*K29</f>
        <v>162800</v>
      </c>
      <c r="K29" s="301">
        <v>0.4</v>
      </c>
      <c r="L29" s="188">
        <f>+L28*M29</f>
        <v>185200</v>
      </c>
      <c r="M29" s="301">
        <v>0.4</v>
      </c>
    </row>
    <row r="30" spans="1:13">
      <c r="F30" s="3"/>
      <c r="H30" s="3"/>
      <c r="J30" s="3"/>
      <c r="L30" s="3"/>
    </row>
    <row r="31" spans="1:13" ht="15.75" thickBot="1">
      <c r="A31" s="24" t="s">
        <v>2</v>
      </c>
      <c r="B31" s="24"/>
      <c r="C31" s="24"/>
      <c r="D31" s="193">
        <f>+D24+D26-SUM(D27:D29)</f>
        <v>-243650</v>
      </c>
      <c r="E31" s="312">
        <f>+D31/D11</f>
        <v>-0.1353611111111111</v>
      </c>
      <c r="F31" s="193">
        <f>+F24+F26-SUM(F27:F29)</f>
        <v>100725.80000000005</v>
      </c>
      <c r="G31" s="312">
        <f>+F31/F11</f>
        <v>5.2243672199170151E-2</v>
      </c>
      <c r="H31" s="193">
        <f>+H24+H26-SUM(H27:H29)</f>
        <v>232750.0839999998</v>
      </c>
      <c r="I31" s="312">
        <f>+H31/H11</f>
        <v>9.8365915155572262E-2</v>
      </c>
      <c r="J31" s="193">
        <f>+J24+J26-SUM(J27:J29)</f>
        <v>258654.65122</v>
      </c>
      <c r="K31" s="312">
        <f>+J31/J11</f>
        <v>9.916100951874901E-2</v>
      </c>
      <c r="L31" s="193">
        <f>+L24+L26-SUM(L27:L29)</f>
        <v>345918.39505659987</v>
      </c>
      <c r="M31" s="312">
        <f>+L31/L11</f>
        <v>0.11463384241107315</v>
      </c>
    </row>
    <row r="32" spans="1:13" ht="15.75" thickTop="1">
      <c r="F32" s="3"/>
      <c r="H32" s="3"/>
      <c r="J32" s="3"/>
      <c r="L32" s="3"/>
    </row>
    <row r="33" spans="1:13">
      <c r="A33" s="18" t="s">
        <v>6</v>
      </c>
      <c r="B33" s="9" t="s">
        <v>48</v>
      </c>
      <c r="D33" s="264">
        <v>0</v>
      </c>
      <c r="E33" s="301"/>
      <c r="F33" s="264">
        <v>0</v>
      </c>
      <c r="H33" s="264">
        <v>0</v>
      </c>
      <c r="J33" s="264">
        <v>0</v>
      </c>
      <c r="L33" s="264">
        <v>0</v>
      </c>
    </row>
    <row r="34" spans="1:13">
      <c r="A34" s="10" t="s">
        <v>6</v>
      </c>
      <c r="B34" s="11" t="s">
        <v>42</v>
      </c>
      <c r="C34" s="11"/>
      <c r="D34" s="3">
        <v>0</v>
      </c>
      <c r="E34" s="301"/>
      <c r="F34" s="3">
        <v>0</v>
      </c>
      <c r="H34" s="3"/>
      <c r="J34" s="3">
        <v>0</v>
      </c>
      <c r="L34" s="3"/>
    </row>
    <row r="35" spans="1:13">
      <c r="A35" s="18" t="s">
        <v>47</v>
      </c>
      <c r="B35" s="9" t="s">
        <v>3</v>
      </c>
      <c r="D35" s="3">
        <v>130000</v>
      </c>
      <c r="E35" s="301"/>
      <c r="F35" s="3">
        <v>127412</v>
      </c>
      <c r="H35" s="3">
        <v>119121</v>
      </c>
      <c r="J35" s="3">
        <v>129121</v>
      </c>
      <c r="L35" s="3">
        <v>159121</v>
      </c>
    </row>
    <row r="36" spans="1:13">
      <c r="A36" s="17" t="s">
        <v>47</v>
      </c>
      <c r="B36" s="11" t="s">
        <v>41</v>
      </c>
      <c r="C36" s="11"/>
      <c r="D36" s="188">
        <v>0</v>
      </c>
      <c r="E36" s="301"/>
      <c r="F36" s="188">
        <v>0</v>
      </c>
      <c r="H36" s="188">
        <v>0</v>
      </c>
      <c r="J36" s="188">
        <v>0</v>
      </c>
      <c r="L36" s="188">
        <v>0</v>
      </c>
    </row>
    <row r="37" spans="1:13">
      <c r="F37" s="3"/>
      <c r="H37" s="3"/>
      <c r="J37" s="3"/>
      <c r="L37" s="3"/>
    </row>
    <row r="38" spans="1:13" ht="15.75" thickBot="1">
      <c r="A38" s="24" t="s">
        <v>4</v>
      </c>
      <c r="B38" s="24"/>
      <c r="C38" s="24"/>
      <c r="D38" s="193">
        <f>D31+D33+D34-D35-D36</f>
        <v>-373650</v>
      </c>
      <c r="E38" s="312">
        <f>D38/D11</f>
        <v>-0.20758333333333334</v>
      </c>
      <c r="F38" s="193">
        <f>F31+F33+F34-F35-F36</f>
        <v>-26686.199999999953</v>
      </c>
      <c r="G38" s="312">
        <f>F38/F11</f>
        <v>-1.3841390041493751E-2</v>
      </c>
      <c r="H38" s="193">
        <f>H31+H33+H34-H35-H36</f>
        <v>113629.0839999998</v>
      </c>
      <c r="I38" s="312">
        <f>H38/H11</f>
        <v>4.8022448129167519E-2</v>
      </c>
      <c r="J38" s="193">
        <f>J31+J33+J34-J35-J36</f>
        <v>129533.65122</v>
      </c>
      <c r="K38" s="312">
        <f>J38/J11</f>
        <v>4.9659604267852972E-2</v>
      </c>
      <c r="L38" s="193">
        <f>L31+L33+L34-L35-L36</f>
        <v>186797.39505659987</v>
      </c>
      <c r="M38" s="312">
        <f>L38/L11</f>
        <v>6.190275930314014E-2</v>
      </c>
    </row>
    <row r="39" spans="1:13" ht="15.75" thickTop="1">
      <c r="F39" s="3"/>
      <c r="H39" s="3"/>
      <c r="J39" s="3"/>
      <c r="L39" s="3"/>
    </row>
    <row r="40" spans="1:13">
      <c r="B40" s="9" t="s">
        <v>5</v>
      </c>
      <c r="D40" s="3">
        <f>-$H$11*E40</f>
        <v>-40224.822</v>
      </c>
      <c r="E40" s="301">
        <f>1.7%</f>
        <v>1.7000000000000001E-2</v>
      </c>
      <c r="F40" s="3">
        <f>-F11*G40</f>
        <v>-42416</v>
      </c>
      <c r="G40" s="301">
        <v>2.1999999999999999E-2</v>
      </c>
      <c r="H40" s="3">
        <f>-H11*I40</f>
        <v>-23661.66</v>
      </c>
      <c r="I40" s="301">
        <v>0.01</v>
      </c>
      <c r="J40" s="3">
        <f>-J11*K40</f>
        <v>-26084.31</v>
      </c>
      <c r="K40" s="301">
        <v>0.01</v>
      </c>
      <c r="L40" s="3">
        <f>-L11*M40</f>
        <v>-30175.940000000002</v>
      </c>
      <c r="M40" s="301">
        <v>0.01</v>
      </c>
    </row>
    <row r="41" spans="1:13">
      <c r="B41" s="9" t="s">
        <v>29</v>
      </c>
      <c r="D41" s="3">
        <f>-$H$11*E41</f>
        <v>-23661.66</v>
      </c>
      <c r="E41" s="301">
        <v>0.01</v>
      </c>
      <c r="F41" s="3">
        <f>-$J$11*G41</f>
        <v>0</v>
      </c>
      <c r="G41" s="301">
        <v>0</v>
      </c>
      <c r="H41" s="3">
        <f>-$L$11*I41</f>
        <v>0</v>
      </c>
      <c r="I41" s="301">
        <v>0</v>
      </c>
      <c r="J41" s="3">
        <f>-$J$11*K41</f>
        <v>0</v>
      </c>
      <c r="K41" s="301">
        <v>0</v>
      </c>
      <c r="L41" s="3">
        <f>-$L$11*M41</f>
        <v>0</v>
      </c>
      <c r="M41" s="301">
        <v>0</v>
      </c>
    </row>
    <row r="42" spans="1:13">
      <c r="B42" s="9" t="s">
        <v>9</v>
      </c>
      <c r="D42" s="3">
        <v>0</v>
      </c>
      <c r="F42" s="3">
        <v>0</v>
      </c>
      <c r="H42" s="3">
        <v>0</v>
      </c>
      <c r="J42" s="3">
        <v>0</v>
      </c>
      <c r="L42" s="3">
        <v>0</v>
      </c>
    </row>
    <row r="43" spans="1:13">
      <c r="F43" s="3"/>
      <c r="H43" s="3"/>
      <c r="J43" s="3"/>
      <c r="L43" s="3"/>
    </row>
    <row r="44" spans="1:13" ht="15.75" thickBot="1">
      <c r="A44" s="24" t="s">
        <v>10</v>
      </c>
      <c r="B44" s="24"/>
      <c r="C44" s="24"/>
      <c r="D44" s="193">
        <f>+D38+SUM(D40:D42)</f>
        <v>-437536.48200000002</v>
      </c>
      <c r="E44" s="312">
        <f>+D44/D11</f>
        <v>-0.24307582333333333</v>
      </c>
      <c r="F44" s="193">
        <f>+F38+SUM(F40:F42)</f>
        <v>-69102.199999999953</v>
      </c>
      <c r="G44" s="312">
        <f>+F44/F11</f>
        <v>-3.5841390041493754E-2</v>
      </c>
      <c r="H44" s="193">
        <f>+H38+SUM(H40:H42)</f>
        <v>89967.423999999795</v>
      </c>
      <c r="I44" s="312">
        <f>+H44/H11</f>
        <v>3.8022448129167517E-2</v>
      </c>
      <c r="J44" s="193">
        <f>+J38+SUM(J40:J42)</f>
        <v>103449.34122</v>
      </c>
      <c r="K44" s="312">
        <f>+J44/J11</f>
        <v>3.9659604267852977E-2</v>
      </c>
      <c r="L44" s="193">
        <f>+L38+SUM(L40:L42)</f>
        <v>156621.45505659987</v>
      </c>
      <c r="M44" s="312">
        <f>+L44/L11</f>
        <v>5.1902759303140138E-2</v>
      </c>
    </row>
    <row r="45" spans="1:13" ht="15.75" thickTop="1">
      <c r="F45" s="3"/>
    </row>
    <row r="46" spans="1:13">
      <c r="F46" s="3"/>
      <c r="H46" s="13"/>
      <c r="J46" s="13"/>
      <c r="L46" s="13"/>
    </row>
    <row r="47" spans="1:13">
      <c r="F47" s="3"/>
      <c r="H47" s="13"/>
      <c r="J47" s="13"/>
      <c r="L47" s="13"/>
    </row>
    <row r="48" spans="1:13">
      <c r="F48" s="3"/>
      <c r="H48" s="13"/>
      <c r="J48" s="13"/>
      <c r="L48" s="13"/>
    </row>
  </sheetData>
  <mergeCells count="1">
    <mergeCell ref="A1:M1"/>
  </mergeCells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2" orientation="landscape" horizontalDpi="300" verticalDpi="300" r:id="rId1"/>
  <headerFooter scaleWithDoc="0">
    <oddHeader>&amp;LDossier TECSAFINANCE
Annexe B1
&amp;CSolde intermédiaire de gestion
Société TECSABOIS &amp;RConfidentiel</oddHeader>
    <oddFooter>&amp;L&amp;D&amp;R3/4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M44"/>
  <sheetViews>
    <sheetView showGridLines="0" zoomScale="80" zoomScaleNormal="80" workbookViewId="0">
      <selection activeCell="J25" sqref="J25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9.140625" style="9" customWidth="1"/>
    <col min="4" max="4" width="19.85546875" style="3" customWidth="1"/>
    <col min="5" max="5" width="8" style="299" customWidth="1"/>
    <col min="6" max="6" width="19.85546875" style="9" customWidth="1"/>
    <col min="7" max="7" width="7.42578125" style="301" customWidth="1"/>
    <col min="8" max="8" width="19.85546875" style="1" customWidth="1"/>
    <col min="9" max="9" width="7.42578125" style="301" bestFit="1" customWidth="1"/>
    <col min="10" max="10" width="19.85546875" style="1" customWidth="1"/>
    <col min="11" max="11" width="7.42578125" style="301" bestFit="1" customWidth="1"/>
    <col min="12" max="12" width="19.85546875" style="1" customWidth="1"/>
    <col min="13" max="13" width="7.42578125" style="301" bestFit="1" customWidth="1"/>
    <col min="14" max="16384" width="11.42578125" style="1"/>
  </cols>
  <sheetData>
    <row r="1" spans="1:13" ht="18.75" customHeight="1"/>
    <row r="2" spans="1:13" s="31" customFormat="1">
      <c r="A2" s="30"/>
      <c r="B2" s="30"/>
      <c r="C2" s="30"/>
      <c r="D2" s="30">
        <v>2013</v>
      </c>
      <c r="E2" s="30"/>
      <c r="F2" s="31">
        <v>2014</v>
      </c>
      <c r="H2" s="31">
        <v>2015</v>
      </c>
      <c r="J2" s="31">
        <v>2016</v>
      </c>
      <c r="L2" s="31">
        <v>2017</v>
      </c>
      <c r="M2" s="82"/>
    </row>
    <row r="3" spans="1:13" s="26" customFormat="1" ht="18.75">
      <c r="A3" s="7"/>
      <c r="B3" s="7"/>
      <c r="C3" s="7"/>
      <c r="D3" s="187"/>
      <c r="E3" s="311"/>
      <c r="F3" s="82"/>
      <c r="G3" s="83"/>
      <c r="H3" s="82"/>
      <c r="I3" s="83"/>
      <c r="J3" s="82"/>
      <c r="K3" s="83"/>
      <c r="L3" s="82"/>
      <c r="M3" s="83"/>
    </row>
    <row r="4" spans="1:13">
      <c r="A4" s="194"/>
      <c r="B4" s="269" t="s">
        <v>91</v>
      </c>
      <c r="C4" s="269"/>
      <c r="D4" s="188"/>
      <c r="E4" s="314"/>
      <c r="F4" s="188"/>
      <c r="G4" s="326"/>
      <c r="H4" s="188"/>
      <c r="I4" s="314"/>
      <c r="J4" s="188"/>
      <c r="K4" s="314"/>
      <c r="L4" s="188"/>
      <c r="M4" s="314"/>
    </row>
    <row r="5" spans="1:13">
      <c r="A5" s="194"/>
      <c r="B5" s="269"/>
      <c r="C5" s="269" t="s">
        <v>63</v>
      </c>
      <c r="D5" s="306">
        <f>'SIG TECSABOIS'!D21</f>
        <v>35860</v>
      </c>
      <c r="E5" s="324"/>
      <c r="F5" s="306">
        <f>'SIG TECSABOIS'!F21</f>
        <v>78000</v>
      </c>
      <c r="G5" s="324"/>
      <c r="H5" s="306">
        <f>'SIG TECSABOIS'!H21</f>
        <v>102000</v>
      </c>
      <c r="I5" s="324"/>
      <c r="J5" s="306">
        <f>'SIG TECSABOIS'!J21</f>
        <v>144000</v>
      </c>
      <c r="K5" s="324"/>
      <c r="L5" s="306">
        <f>'SIG TECSABOIS'!L21</f>
        <v>180000</v>
      </c>
      <c r="M5" s="314"/>
    </row>
    <row r="6" spans="1:13">
      <c r="A6" s="194"/>
      <c r="B6" s="269"/>
      <c r="C6" s="269" t="s">
        <v>60</v>
      </c>
      <c r="D6" s="306">
        <f>'SIG TECSABOIS Charpente'!D20</f>
        <v>24000</v>
      </c>
      <c r="E6" s="324"/>
      <c r="F6" s="306">
        <f>'SIG TECSABOIS Charpente'!F20</f>
        <v>42000</v>
      </c>
      <c r="G6" s="324"/>
      <c r="H6" s="306">
        <f>'SIG TECSABOIS Charpente'!H20</f>
        <v>66000</v>
      </c>
      <c r="I6" s="324"/>
      <c r="J6" s="306">
        <f>'SIG TECSABOIS Charpente'!J20</f>
        <v>84000</v>
      </c>
      <c r="K6" s="324"/>
      <c r="L6" s="306">
        <f>'SIG TECSABOIS Charpente'!L20</f>
        <v>102000</v>
      </c>
      <c r="M6" s="314"/>
    </row>
    <row r="7" spans="1:13">
      <c r="A7" s="194"/>
      <c r="B7" s="269"/>
      <c r="C7" s="269" t="s">
        <v>59</v>
      </c>
      <c r="D7" s="306">
        <f>'SIG CHENE DECORS'!D21</f>
        <v>102000</v>
      </c>
      <c r="E7" s="324"/>
      <c r="F7" s="306">
        <f>'SIG CHENE DECORS'!F21</f>
        <v>192000</v>
      </c>
      <c r="G7" s="324"/>
      <c r="H7" s="306">
        <f>'SIG CHENE DECORS'!H21</f>
        <v>240000</v>
      </c>
      <c r="I7" s="306"/>
      <c r="J7" s="306">
        <f>'SIG CHENE DECORS'!J21</f>
        <v>300000</v>
      </c>
      <c r="K7" s="324"/>
      <c r="L7" s="306">
        <v>300000</v>
      </c>
      <c r="M7" s="314"/>
    </row>
    <row r="8" spans="1:13">
      <c r="A8" s="194"/>
      <c r="B8" s="269" t="s">
        <v>43</v>
      </c>
      <c r="C8" s="269"/>
      <c r="D8" s="188">
        <v>0</v>
      </c>
      <c r="E8" s="325"/>
      <c r="F8" s="188">
        <v>0</v>
      </c>
      <c r="G8" s="314"/>
      <c r="H8" s="188">
        <v>0</v>
      </c>
      <c r="I8" s="314"/>
      <c r="J8" s="188">
        <v>0</v>
      </c>
      <c r="K8" s="314"/>
      <c r="L8" s="188">
        <v>0</v>
      </c>
      <c r="M8" s="314"/>
    </row>
    <row r="9" spans="1:13">
      <c r="A9" s="194"/>
      <c r="B9" s="269"/>
      <c r="C9" s="269"/>
      <c r="D9" s="188"/>
      <c r="E9" s="325"/>
      <c r="F9" s="188"/>
      <c r="G9" s="314"/>
      <c r="H9" s="188"/>
      <c r="I9" s="314"/>
      <c r="J9" s="188"/>
      <c r="K9" s="314"/>
      <c r="L9" s="188"/>
      <c r="M9" s="314"/>
    </row>
    <row r="10" spans="1:13" ht="15.75" thickBot="1">
      <c r="A10" s="308" t="s">
        <v>0</v>
      </c>
      <c r="B10" s="308"/>
      <c r="C10" s="308"/>
      <c r="D10" s="309">
        <f>SUM(D4:D9)</f>
        <v>161860</v>
      </c>
      <c r="E10" s="284">
        <v>1</v>
      </c>
      <c r="F10" s="309">
        <f>SUM(F5:F9)</f>
        <v>312000</v>
      </c>
      <c r="G10" s="284">
        <v>1</v>
      </c>
      <c r="H10" s="309">
        <f>SUM(H5:H9)</f>
        <v>408000</v>
      </c>
      <c r="I10" s="284">
        <v>1</v>
      </c>
      <c r="J10" s="309">
        <f>SUM(J5:J9)</f>
        <v>528000</v>
      </c>
      <c r="K10" s="284">
        <v>1</v>
      </c>
      <c r="L10" s="309">
        <f>SUM(L5:L9)</f>
        <v>582000</v>
      </c>
      <c r="M10" s="284">
        <v>1</v>
      </c>
    </row>
    <row r="11" spans="1:13">
      <c r="A11" s="194"/>
      <c r="B11" s="269"/>
      <c r="C11" s="269"/>
      <c r="D11" s="188"/>
      <c r="E11" s="325"/>
      <c r="F11" s="188"/>
      <c r="G11" s="314"/>
      <c r="H11" s="188"/>
      <c r="I11" s="314"/>
      <c r="J11" s="188"/>
      <c r="K11" s="314"/>
      <c r="L11" s="188"/>
      <c r="M11" s="314"/>
    </row>
    <row r="12" spans="1:13">
      <c r="A12" s="194"/>
      <c r="B12" s="269" t="s">
        <v>46</v>
      </c>
      <c r="C12" s="269"/>
      <c r="D12" s="188">
        <v>0</v>
      </c>
      <c r="E12" s="304"/>
      <c r="F12" s="188">
        <v>0</v>
      </c>
      <c r="G12" s="314"/>
      <c r="H12" s="188">
        <v>0</v>
      </c>
      <c r="I12" s="327"/>
      <c r="J12" s="188">
        <v>0</v>
      </c>
      <c r="K12" s="327"/>
      <c r="L12" s="188">
        <v>0</v>
      </c>
      <c r="M12" s="327"/>
    </row>
    <row r="13" spans="1:13">
      <c r="A13" s="194"/>
      <c r="B13" s="269" t="s">
        <v>37</v>
      </c>
      <c r="C13" s="269"/>
      <c r="D13" s="188">
        <v>0</v>
      </c>
      <c r="E13" s="304"/>
      <c r="F13" s="188">
        <v>0</v>
      </c>
      <c r="G13" s="314"/>
      <c r="H13" s="188">
        <v>0</v>
      </c>
      <c r="I13" s="314"/>
      <c r="J13" s="188">
        <v>0</v>
      </c>
      <c r="K13" s="314"/>
      <c r="L13" s="188">
        <v>0</v>
      </c>
      <c r="M13" s="314"/>
    </row>
    <row r="14" spans="1:13">
      <c r="A14" s="194"/>
      <c r="B14" s="269"/>
      <c r="C14" s="269"/>
      <c r="D14" s="188"/>
      <c r="E14" s="325"/>
      <c r="F14" s="188"/>
      <c r="G14" s="314"/>
      <c r="H14" s="188"/>
      <c r="I14" s="314"/>
      <c r="J14" s="188"/>
      <c r="K14" s="314"/>
      <c r="L14" s="188"/>
      <c r="M14" s="314"/>
    </row>
    <row r="15" spans="1:13" ht="15.75" thickBot="1">
      <c r="A15" s="308" t="s">
        <v>32</v>
      </c>
      <c r="B15" s="308"/>
      <c r="C15" s="308"/>
      <c r="D15" s="309">
        <f>D10-D13-D12</f>
        <v>161860</v>
      </c>
      <c r="E15" s="284">
        <f>+D15/D10</f>
        <v>1</v>
      </c>
      <c r="F15" s="309">
        <f>F10-F13-F12</f>
        <v>312000</v>
      </c>
      <c r="G15" s="284">
        <f>+F15/F10</f>
        <v>1</v>
      </c>
      <c r="H15" s="309">
        <f>H10-H13-H12</f>
        <v>408000</v>
      </c>
      <c r="I15" s="284">
        <f>+H15/H10</f>
        <v>1</v>
      </c>
      <c r="J15" s="309">
        <f>J10-J13-J12</f>
        <v>528000</v>
      </c>
      <c r="K15" s="284">
        <f>+J15/J10</f>
        <v>1</v>
      </c>
      <c r="L15" s="309">
        <f>L10-L13-L12</f>
        <v>582000</v>
      </c>
      <c r="M15" s="284">
        <f>+L15/L10</f>
        <v>1</v>
      </c>
    </row>
    <row r="16" spans="1:13">
      <c r="A16" s="194"/>
      <c r="B16" s="269"/>
      <c r="C16" s="269"/>
      <c r="D16" s="188"/>
      <c r="E16" s="325"/>
      <c r="F16" s="188"/>
      <c r="G16" s="314"/>
      <c r="H16" s="188"/>
      <c r="I16" s="314"/>
      <c r="J16" s="188"/>
      <c r="K16" s="314"/>
      <c r="L16" s="188"/>
      <c r="M16" s="314"/>
    </row>
    <row r="17" spans="1:13">
      <c r="A17" s="52">
        <v>0.03</v>
      </c>
      <c r="B17" s="15" t="s">
        <v>38</v>
      </c>
      <c r="C17" s="15"/>
      <c r="D17" s="3">
        <v>39360</v>
      </c>
      <c r="E17" s="301"/>
      <c r="F17" s="3">
        <f>D17+D17*$A$17</f>
        <v>40540.800000000003</v>
      </c>
      <c r="H17" s="3">
        <f>F17+F17*$A$17</f>
        <v>41757.024000000005</v>
      </c>
      <c r="J17" s="3">
        <f>H17+H17*$A$17</f>
        <v>43009.734720000008</v>
      </c>
      <c r="L17" s="3">
        <f>J17+J17*$A$17</f>
        <v>44300.026761600006</v>
      </c>
      <c r="M17" s="314"/>
    </row>
    <row r="18" spans="1:13">
      <c r="A18" s="195"/>
      <c r="B18" s="269"/>
      <c r="C18" s="269"/>
      <c r="D18" s="188"/>
      <c r="E18" s="325"/>
      <c r="F18" s="188"/>
      <c r="G18" s="314"/>
      <c r="H18" s="188"/>
      <c r="I18" s="314"/>
      <c r="J18" s="188"/>
      <c r="K18" s="314"/>
      <c r="L18" s="188"/>
      <c r="M18" s="314"/>
    </row>
    <row r="19" spans="1:13" ht="15.75" thickBot="1">
      <c r="A19" s="308" t="s">
        <v>1</v>
      </c>
      <c r="B19" s="308"/>
      <c r="C19" s="308"/>
      <c r="D19" s="309">
        <f>D15-D17</f>
        <v>122500</v>
      </c>
      <c r="E19" s="284">
        <f>D19/D10</f>
        <v>0.75682688743358462</v>
      </c>
      <c r="F19" s="309">
        <f>F15-F17</f>
        <v>271459.20000000001</v>
      </c>
      <c r="G19" s="284">
        <f>F19/F10</f>
        <v>0.87006153846153855</v>
      </c>
      <c r="H19" s="309">
        <f>H15-H17</f>
        <v>366242.97600000002</v>
      </c>
      <c r="I19" s="284">
        <f>H19/H10</f>
        <v>0.89765435294117657</v>
      </c>
      <c r="J19" s="309">
        <f>J15-J17</f>
        <v>484990.26527999999</v>
      </c>
      <c r="K19" s="284">
        <f>J19/J10</f>
        <v>0.91854216909090902</v>
      </c>
      <c r="L19" s="309">
        <f>L15-L17</f>
        <v>537699.97323839995</v>
      </c>
      <c r="M19" s="284">
        <f>L19/L10</f>
        <v>0.92388311552989677</v>
      </c>
    </row>
    <row r="20" spans="1:13">
      <c r="A20" s="194"/>
      <c r="B20" s="269"/>
      <c r="C20" s="269"/>
      <c r="D20" s="188"/>
      <c r="E20" s="325"/>
      <c r="F20" s="188"/>
      <c r="G20" s="314"/>
      <c r="H20" s="188"/>
      <c r="I20" s="314"/>
      <c r="J20" s="188"/>
      <c r="K20" s="314"/>
      <c r="L20" s="188"/>
      <c r="M20" s="314"/>
    </row>
    <row r="21" spans="1:13">
      <c r="A21" s="196" t="s">
        <v>6</v>
      </c>
      <c r="B21" s="15"/>
      <c r="C21" s="15" t="s">
        <v>49</v>
      </c>
      <c r="D21" s="188">
        <v>0</v>
      </c>
      <c r="E21" s="314"/>
      <c r="F21" s="188">
        <v>0</v>
      </c>
      <c r="G21" s="314"/>
      <c r="H21" s="188">
        <v>0</v>
      </c>
      <c r="I21" s="314"/>
      <c r="J21" s="188">
        <v>0</v>
      </c>
      <c r="K21" s="314"/>
      <c r="L21" s="188">
        <v>0</v>
      </c>
      <c r="M21" s="314"/>
    </row>
    <row r="22" spans="1:13" s="5" customFormat="1">
      <c r="A22" s="14" t="s">
        <v>47</v>
      </c>
      <c r="C22" s="15" t="s">
        <v>39</v>
      </c>
      <c r="D22" s="188">
        <f>(D23+D23*E25)*E22</f>
        <v>2100</v>
      </c>
      <c r="E22" s="314">
        <v>0.05</v>
      </c>
      <c r="F22" s="188">
        <f>(F23+F23*G25)*G22</f>
        <v>7140</v>
      </c>
      <c r="G22" s="314">
        <v>0.05</v>
      </c>
      <c r="H22" s="188">
        <f>(H23+H23*I25)*I22</f>
        <v>9933</v>
      </c>
      <c r="I22" s="314">
        <v>0.05</v>
      </c>
      <c r="J22" s="188">
        <f>(J23+J23*K25)*K22</f>
        <v>11777.5</v>
      </c>
      <c r="K22" s="314">
        <v>0.05</v>
      </c>
      <c r="L22" s="188">
        <f>(L23+L23*M25)*M22</f>
        <v>14070</v>
      </c>
      <c r="M22" s="314">
        <v>0.05</v>
      </c>
    </row>
    <row r="23" spans="1:13">
      <c r="A23" s="197" t="s">
        <v>47</v>
      </c>
      <c r="B23" s="305"/>
      <c r="C23" s="269" t="s">
        <v>50</v>
      </c>
      <c r="D23" s="188">
        <v>30000</v>
      </c>
      <c r="E23" s="314">
        <v>0.45</v>
      </c>
      <c r="F23" s="188">
        <v>102000</v>
      </c>
      <c r="G23" s="314"/>
      <c r="H23" s="188">
        <v>141900</v>
      </c>
      <c r="I23" s="314">
        <v>0.45</v>
      </c>
      <c r="J23" s="188">
        <v>168250</v>
      </c>
      <c r="K23" s="314"/>
      <c r="L23" s="188">
        <v>201000</v>
      </c>
      <c r="M23" s="314"/>
    </row>
    <row r="24" spans="1:13">
      <c r="A24" s="197" t="s">
        <v>47</v>
      </c>
      <c r="B24" s="15"/>
      <c r="C24" s="269" t="s">
        <v>85</v>
      </c>
      <c r="D24" s="188">
        <v>48000</v>
      </c>
      <c r="E24" s="314"/>
      <c r="F24" s="188">
        <v>66000</v>
      </c>
      <c r="G24" s="314"/>
      <c r="H24" s="188">
        <v>72000</v>
      </c>
      <c r="I24" s="314"/>
      <c r="J24" s="188">
        <v>84000</v>
      </c>
      <c r="K24" s="314"/>
      <c r="L24" s="188">
        <v>96000</v>
      </c>
      <c r="M24" s="314"/>
    </row>
    <row r="25" spans="1:13">
      <c r="A25" s="197" t="s">
        <v>47</v>
      </c>
      <c r="B25" s="15"/>
      <c r="C25" s="269" t="s">
        <v>40</v>
      </c>
      <c r="D25" s="188">
        <f>SUM(D23:D24)*E25</f>
        <v>31200</v>
      </c>
      <c r="E25" s="314">
        <v>0.4</v>
      </c>
      <c r="F25" s="188">
        <f>SUM(F23:F24)*G25</f>
        <v>67200</v>
      </c>
      <c r="G25" s="314">
        <v>0.4</v>
      </c>
      <c r="H25" s="188">
        <f>SUM(H23:H24)*I25</f>
        <v>85560</v>
      </c>
      <c r="I25" s="314">
        <v>0.4</v>
      </c>
      <c r="J25" s="188">
        <f>SUM(J23:J24)*K25</f>
        <v>100900</v>
      </c>
      <c r="K25" s="314">
        <v>0.4</v>
      </c>
      <c r="L25" s="188">
        <f>SUM(L23:L24)*M25</f>
        <v>118800</v>
      </c>
      <c r="M25" s="314">
        <v>0.4</v>
      </c>
    </row>
    <row r="26" spans="1:13">
      <c r="A26" s="196"/>
      <c r="B26" s="15"/>
      <c r="C26" s="15"/>
      <c r="D26" s="188"/>
      <c r="E26" s="313"/>
      <c r="F26" s="188"/>
      <c r="G26" s="314"/>
      <c r="H26" s="188"/>
      <c r="I26" s="314"/>
      <c r="J26" s="188"/>
      <c r="K26" s="314"/>
      <c r="L26" s="188"/>
      <c r="M26" s="314"/>
    </row>
    <row r="27" spans="1:13" ht="15.75" thickBot="1">
      <c r="A27" s="308" t="s">
        <v>2</v>
      </c>
      <c r="B27" s="308"/>
      <c r="C27" s="308"/>
      <c r="D27" s="309">
        <f>+D19+D21-SUM(D22:D25)</f>
        <v>11200</v>
      </c>
      <c r="E27" s="284">
        <f>+D27/D10</f>
        <v>6.9195601136784871E-2</v>
      </c>
      <c r="F27" s="309">
        <f>+F19+F21-SUM(F22:F25)</f>
        <v>29119.200000000012</v>
      </c>
      <c r="G27" s="284">
        <f>+F27/F10</f>
        <v>9.3330769230769273E-2</v>
      </c>
      <c r="H27" s="309">
        <f>+H19+H21-SUM(H22:H25)</f>
        <v>56849.976000000024</v>
      </c>
      <c r="I27" s="284">
        <f>+H27/H10</f>
        <v>0.1393381764705883</v>
      </c>
      <c r="J27" s="309">
        <f>+J19+J21-SUM(J22:J25)</f>
        <v>120062.76527999999</v>
      </c>
      <c r="K27" s="284">
        <f>+J27/J10</f>
        <v>0.22739160090909089</v>
      </c>
      <c r="L27" s="309">
        <f>+L19+L21-SUM(L22:L25)</f>
        <v>107829.97323839995</v>
      </c>
      <c r="M27" s="284">
        <f>+L27/L10</f>
        <v>0.18527486810721641</v>
      </c>
    </row>
    <row r="28" spans="1:13">
      <c r="A28" s="196"/>
      <c r="B28" s="15"/>
      <c r="C28" s="15"/>
      <c r="D28" s="188"/>
      <c r="E28" s="313"/>
      <c r="F28" s="188"/>
      <c r="G28" s="314"/>
      <c r="H28" s="188"/>
      <c r="I28" s="314"/>
      <c r="J28" s="188"/>
      <c r="K28" s="314"/>
      <c r="L28" s="188"/>
      <c r="M28" s="314"/>
    </row>
    <row r="29" spans="1:13">
      <c r="A29" s="196" t="s">
        <v>6</v>
      </c>
      <c r="B29" s="15" t="s">
        <v>48</v>
      </c>
      <c r="C29" s="15"/>
      <c r="D29" s="188">
        <v>0</v>
      </c>
      <c r="E29" s="313"/>
      <c r="F29" s="188">
        <v>0</v>
      </c>
      <c r="G29" s="314"/>
      <c r="H29" s="307">
        <v>0</v>
      </c>
      <c r="I29" s="314"/>
      <c r="J29" s="307">
        <v>0</v>
      </c>
      <c r="K29" s="314"/>
      <c r="L29" s="307">
        <v>0</v>
      </c>
      <c r="M29" s="314"/>
    </row>
    <row r="30" spans="1:13">
      <c r="A30" s="194" t="s">
        <v>6</v>
      </c>
      <c r="B30" s="269" t="s">
        <v>42</v>
      </c>
      <c r="C30" s="269"/>
      <c r="D30" s="188">
        <v>0</v>
      </c>
      <c r="E30" s="325"/>
      <c r="F30" s="188">
        <v>0</v>
      </c>
      <c r="G30" s="314"/>
      <c r="H30" s="188">
        <v>0</v>
      </c>
      <c r="I30" s="314"/>
      <c r="J30" s="188">
        <v>0</v>
      </c>
      <c r="K30" s="314"/>
      <c r="L30" s="188">
        <v>0</v>
      </c>
      <c r="M30" s="314"/>
    </row>
    <row r="31" spans="1:13">
      <c r="A31" s="196" t="s">
        <v>47</v>
      </c>
      <c r="B31" s="15" t="s">
        <v>3</v>
      </c>
      <c r="C31" s="15"/>
      <c r="D31" s="188">
        <v>0</v>
      </c>
      <c r="E31" s="313"/>
      <c r="F31" s="188">
        <v>0</v>
      </c>
      <c r="G31" s="314"/>
      <c r="H31" s="188">
        <v>0</v>
      </c>
      <c r="I31" s="314"/>
      <c r="J31" s="188">
        <v>0</v>
      </c>
      <c r="K31" s="314"/>
      <c r="L31" s="188">
        <v>0</v>
      </c>
      <c r="M31" s="314"/>
    </row>
    <row r="32" spans="1:13">
      <c r="A32" s="197" t="s">
        <v>47</v>
      </c>
      <c r="B32" s="269" t="s">
        <v>41</v>
      </c>
      <c r="C32" s="269"/>
      <c r="D32" s="188">
        <v>0</v>
      </c>
      <c r="E32" s="325"/>
      <c r="F32" s="188">
        <v>0</v>
      </c>
      <c r="G32" s="314"/>
      <c r="H32" s="188">
        <v>0</v>
      </c>
      <c r="I32" s="314"/>
      <c r="J32" s="188">
        <v>0</v>
      </c>
      <c r="K32" s="314"/>
      <c r="L32" s="188">
        <v>0</v>
      </c>
      <c r="M32" s="314"/>
    </row>
    <row r="33" spans="1:13">
      <c r="A33" s="196"/>
      <c r="B33" s="15"/>
      <c r="C33" s="15"/>
      <c r="D33" s="188"/>
      <c r="E33" s="313"/>
      <c r="F33" s="188"/>
      <c r="G33" s="314"/>
      <c r="H33" s="188"/>
      <c r="I33" s="314"/>
      <c r="J33" s="188"/>
      <c r="K33" s="314"/>
      <c r="L33" s="188"/>
      <c r="M33" s="314"/>
    </row>
    <row r="34" spans="1:13" ht="15.75" thickBot="1">
      <c r="A34" s="308" t="s">
        <v>4</v>
      </c>
      <c r="B34" s="308"/>
      <c r="C34" s="308"/>
      <c r="D34" s="309">
        <f>D27+D29+D30-D31-D32</f>
        <v>11200</v>
      </c>
      <c r="E34" s="284">
        <f>D34/D10</f>
        <v>6.9195601136784871E-2</v>
      </c>
      <c r="F34" s="309">
        <f>F27+F29+F30-F31-F32</f>
        <v>29119.200000000012</v>
      </c>
      <c r="G34" s="284">
        <f>F34/F10</f>
        <v>9.3330769230769273E-2</v>
      </c>
      <c r="H34" s="309">
        <f>H27+H29+H30-H31-H32</f>
        <v>56849.976000000024</v>
      </c>
      <c r="I34" s="284">
        <f>H34/H10</f>
        <v>0.1393381764705883</v>
      </c>
      <c r="J34" s="309">
        <f>J27+J29+J30-J31-J32</f>
        <v>120062.76527999999</v>
      </c>
      <c r="K34" s="284">
        <f>J34/J10</f>
        <v>0.22739160090909089</v>
      </c>
      <c r="L34" s="309">
        <f>L27+L29+L30-L31-L32</f>
        <v>107829.97323839995</v>
      </c>
      <c r="M34" s="284">
        <f>L34/L10</f>
        <v>0.18527486810721641</v>
      </c>
    </row>
    <row r="35" spans="1:13">
      <c r="A35" s="196"/>
      <c r="B35" s="15"/>
      <c r="C35" s="15"/>
      <c r="D35" s="188"/>
      <c r="E35" s="313"/>
      <c r="F35" s="188"/>
      <c r="G35" s="314"/>
      <c r="H35" s="188"/>
      <c r="I35" s="314"/>
      <c r="J35" s="188"/>
      <c r="K35" s="314"/>
      <c r="L35" s="188"/>
      <c r="M35" s="314"/>
    </row>
    <row r="36" spans="1:13">
      <c r="A36" s="196"/>
      <c r="B36" s="15" t="s">
        <v>5</v>
      </c>
      <c r="C36" s="15"/>
      <c r="D36" s="188">
        <v>-10000</v>
      </c>
      <c r="E36" s="314"/>
      <c r="F36" s="188">
        <v>-15000</v>
      </c>
      <c r="G36" s="314"/>
      <c r="H36" s="188">
        <v>-15000</v>
      </c>
      <c r="I36" s="314"/>
      <c r="J36" s="188">
        <v>-10000</v>
      </c>
      <c r="K36" s="314"/>
      <c r="L36" s="188">
        <v>-5000</v>
      </c>
      <c r="M36" s="314"/>
    </row>
    <row r="37" spans="1:13">
      <c r="A37" s="196"/>
      <c r="B37" s="15" t="s">
        <v>29</v>
      </c>
      <c r="C37" s="15"/>
      <c r="D37" s="188">
        <v>0</v>
      </c>
      <c r="E37" s="313"/>
      <c r="F37" s="188">
        <v>0</v>
      </c>
      <c r="G37" s="314"/>
      <c r="H37" s="188">
        <v>0</v>
      </c>
      <c r="I37" s="314"/>
      <c r="J37" s="188">
        <v>0</v>
      </c>
      <c r="K37" s="314"/>
      <c r="L37" s="188">
        <v>0</v>
      </c>
      <c r="M37" s="314"/>
    </row>
    <row r="38" spans="1:13">
      <c r="A38" s="196"/>
      <c r="B38" s="15" t="s">
        <v>9</v>
      </c>
      <c r="C38" s="15"/>
      <c r="D38" s="188">
        <v>0</v>
      </c>
      <c r="E38" s="313"/>
      <c r="F38" s="188">
        <v>0</v>
      </c>
      <c r="G38" s="314"/>
      <c r="H38" s="188">
        <v>0</v>
      </c>
      <c r="I38" s="314"/>
      <c r="J38" s="188">
        <v>0</v>
      </c>
      <c r="K38" s="314"/>
      <c r="L38" s="188">
        <v>0</v>
      </c>
      <c r="M38" s="314"/>
    </row>
    <row r="39" spans="1:13">
      <c r="A39" s="196"/>
      <c r="B39" s="15"/>
      <c r="C39" s="15"/>
      <c r="D39" s="188"/>
      <c r="E39" s="313"/>
      <c r="F39" s="188"/>
      <c r="G39" s="314"/>
      <c r="H39" s="188"/>
      <c r="I39" s="314"/>
      <c r="J39" s="188"/>
      <c r="K39" s="314"/>
      <c r="L39" s="188"/>
      <c r="M39" s="314"/>
    </row>
    <row r="40" spans="1:13" ht="15.75" thickBot="1">
      <c r="A40" s="308" t="s">
        <v>10</v>
      </c>
      <c r="B40" s="308"/>
      <c r="C40" s="308"/>
      <c r="D40" s="309">
        <f>+D34+SUM(D36:D38)</f>
        <v>1200</v>
      </c>
      <c r="E40" s="284">
        <f>+D40/D10</f>
        <v>7.4138144075126654E-3</v>
      </c>
      <c r="F40" s="309">
        <f>+F34+SUM(F36:F38)</f>
        <v>14119.200000000012</v>
      </c>
      <c r="G40" s="284">
        <f>+F40/F10</f>
        <v>4.5253846153846193E-2</v>
      </c>
      <c r="H40" s="309">
        <f>+H34+SUM(H36:H38)</f>
        <v>41849.976000000024</v>
      </c>
      <c r="I40" s="284">
        <f>+H40/H10</f>
        <v>0.10257347058823535</v>
      </c>
      <c r="J40" s="309">
        <f>+J34+SUM(J36:J38)</f>
        <v>110062.76527999999</v>
      </c>
      <c r="K40" s="284">
        <f>+J40/J10</f>
        <v>0.20845220696969696</v>
      </c>
      <c r="L40" s="309">
        <f>+L34+SUM(L36:L38)</f>
        <v>102829.97323839995</v>
      </c>
      <c r="M40" s="284">
        <f>+L40/L10</f>
        <v>0.17668380281512019</v>
      </c>
    </row>
    <row r="41" spans="1:13">
      <c r="A41" s="196"/>
      <c r="B41" s="15"/>
      <c r="C41" s="15"/>
      <c r="D41" s="188"/>
      <c r="E41" s="313"/>
      <c r="F41" s="188"/>
      <c r="G41" s="314"/>
      <c r="H41" s="5"/>
      <c r="I41" s="314"/>
      <c r="J41" s="5"/>
      <c r="K41" s="314"/>
      <c r="L41" s="5"/>
      <c r="M41" s="314"/>
    </row>
    <row r="42" spans="1:13">
      <c r="F42" s="3"/>
      <c r="H42" s="13"/>
      <c r="J42" s="13"/>
      <c r="L42" s="13"/>
    </row>
    <row r="43" spans="1:13">
      <c r="F43" s="3"/>
      <c r="H43" s="13"/>
      <c r="J43" s="13"/>
      <c r="L43" s="13"/>
    </row>
    <row r="44" spans="1:13">
      <c r="F44" s="3"/>
      <c r="H44" s="13"/>
      <c r="J44" s="13"/>
      <c r="L44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2" orientation="landscape" horizontalDpi="300" verticalDpi="300" r:id="rId1"/>
  <headerFooter scaleWithDoc="0">
    <oddHeader>&amp;LDossier TECSAFINANCE
Annexe B1
&amp;CSolde intermédiaire de gestion
Société TECSAFINANCE&amp;RConfidentiel</oddHeader>
    <oddFooter>&amp;L&amp;D&amp;R4/4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P40"/>
  <sheetViews>
    <sheetView showGridLines="0" zoomScale="80" zoomScaleNormal="80" workbookViewId="0">
      <selection activeCell="L1" sqref="L1"/>
    </sheetView>
  </sheetViews>
  <sheetFormatPr baseColWidth="10" defaultRowHeight="15"/>
  <cols>
    <col min="1" max="1" width="3.7109375" style="18" customWidth="1"/>
    <col min="2" max="2" width="3.7109375" style="9" customWidth="1"/>
    <col min="3" max="3" width="39.140625" style="9" customWidth="1"/>
    <col min="4" max="4" width="19.85546875" style="3" customWidth="1"/>
    <col min="5" max="5" width="8.28515625" style="299" customWidth="1"/>
    <col min="6" max="6" width="19.85546875" style="9" customWidth="1"/>
    <col min="7" max="7" width="8.28515625" style="301" customWidth="1"/>
    <col min="8" max="8" width="19.85546875" style="1" customWidth="1"/>
    <col min="9" max="9" width="8.28515625" style="301" customWidth="1"/>
    <col min="10" max="10" width="19.85546875" style="1" customWidth="1"/>
    <col min="11" max="11" width="8.28515625" style="301" customWidth="1"/>
    <col min="12" max="12" width="19.85546875" style="1" customWidth="1"/>
    <col min="13" max="13" width="8.28515625" style="302" customWidth="1"/>
    <col min="14" max="14" width="11.85546875" style="1" bestFit="1" customWidth="1"/>
    <col min="15" max="16384" width="11.42578125" style="1"/>
  </cols>
  <sheetData>
    <row r="2" spans="1:16" s="31" customFormat="1">
      <c r="A2" s="30"/>
      <c r="B2" s="30"/>
      <c r="C2" s="30"/>
      <c r="D2" s="30" t="s">
        <v>44</v>
      </c>
      <c r="E2" s="30"/>
      <c r="F2" s="31" t="s">
        <v>35</v>
      </c>
      <c r="H2" s="31" t="s">
        <v>45</v>
      </c>
      <c r="J2" s="31" t="s">
        <v>36</v>
      </c>
      <c r="L2" s="31" t="s">
        <v>89</v>
      </c>
    </row>
    <row r="3" spans="1:16" s="26" customFormat="1" ht="18.75">
      <c r="A3" s="7"/>
      <c r="B3" s="7"/>
      <c r="C3" s="7"/>
      <c r="D3" s="310"/>
      <c r="E3" s="311"/>
      <c r="F3" s="181"/>
      <c r="G3" s="8"/>
      <c r="H3" s="181"/>
      <c r="I3" s="8"/>
      <c r="J3" s="181"/>
      <c r="K3" s="8"/>
      <c r="L3" s="184"/>
      <c r="M3" s="31"/>
    </row>
    <row r="4" spans="1:16">
      <c r="A4" s="10"/>
      <c r="B4" s="11" t="s">
        <v>91</v>
      </c>
      <c r="C4" s="11"/>
      <c r="D4" s="176">
        <f>SUM('SIG TECSAFINANCE'!F5:F7)</f>
        <v>312000</v>
      </c>
      <c r="E4" s="19"/>
      <c r="F4" s="176">
        <f>'SIG TECSABOIS'!F5+'SIG TECSABOIS'!F6+'SIG TECSABOIS'!F7+'SIG TECSABOIS'!F8</f>
        <v>1928000</v>
      </c>
      <c r="H4" s="176">
        <v>660000</v>
      </c>
      <c r="J4" s="176">
        <v>2930000</v>
      </c>
      <c r="L4" s="185">
        <f>+D4+F4+H4+J4</f>
        <v>5830000</v>
      </c>
    </row>
    <row r="5" spans="1:16">
      <c r="A5" s="10"/>
      <c r="B5" s="11" t="s">
        <v>43</v>
      </c>
      <c r="C5" s="11"/>
      <c r="D5" s="176">
        <v>0</v>
      </c>
      <c r="E5" s="19"/>
      <c r="F5" s="176">
        <v>0</v>
      </c>
      <c r="H5" s="176">
        <v>0</v>
      </c>
      <c r="J5" s="176">
        <v>0</v>
      </c>
      <c r="L5" s="185">
        <f>+D5+F5+H5+J5</f>
        <v>0</v>
      </c>
    </row>
    <row r="6" spans="1:16">
      <c r="A6" s="10"/>
      <c r="B6" s="11"/>
      <c r="C6" s="11"/>
      <c r="D6" s="176"/>
      <c r="E6" s="19"/>
      <c r="F6" s="176"/>
      <c r="H6" s="176"/>
      <c r="J6" s="176"/>
      <c r="L6" s="185"/>
    </row>
    <row r="7" spans="1:16" ht="15.75" thickBot="1">
      <c r="A7" s="24" t="s">
        <v>0</v>
      </c>
      <c r="B7" s="24"/>
      <c r="C7" s="24"/>
      <c r="D7" s="178">
        <f>SUM(D4:D6)</f>
        <v>312000</v>
      </c>
      <c r="E7" s="312">
        <v>1</v>
      </c>
      <c r="F7" s="178">
        <f>SUM(F4:F6)</f>
        <v>1928000</v>
      </c>
      <c r="G7" s="312">
        <f>E7</f>
        <v>1</v>
      </c>
      <c r="H7" s="178">
        <f>SUM(H4:H6)</f>
        <v>660000</v>
      </c>
      <c r="I7" s="312">
        <f>G7</f>
        <v>1</v>
      </c>
      <c r="J7" s="178">
        <f>SUM(J4:J6)</f>
        <v>2930000</v>
      </c>
      <c r="K7" s="312">
        <f>I7</f>
        <v>1</v>
      </c>
      <c r="L7" s="315">
        <f>SUM(L4:L6)</f>
        <v>5830000</v>
      </c>
      <c r="M7" s="312">
        <v>1</v>
      </c>
    </row>
    <row r="8" spans="1:16" ht="15.75" thickTop="1">
      <c r="A8" s="10"/>
      <c r="B8" s="11"/>
      <c r="C8" s="11"/>
      <c r="D8" s="176"/>
      <c r="E8" s="19"/>
      <c r="F8" s="176"/>
      <c r="H8" s="176"/>
      <c r="J8" s="176"/>
      <c r="L8" s="185"/>
    </row>
    <row r="9" spans="1:16">
      <c r="A9" s="10"/>
      <c r="B9" s="11" t="s">
        <v>46</v>
      </c>
      <c r="C9" s="11"/>
      <c r="D9" s="176">
        <v>0</v>
      </c>
      <c r="E9" s="302"/>
      <c r="F9" s="176">
        <v>880310</v>
      </c>
      <c r="H9" s="176">
        <v>198000</v>
      </c>
      <c r="J9" s="176">
        <f>852338+415000+55000</f>
        <v>1322338</v>
      </c>
      <c r="L9" s="185">
        <f>+D9+F9+H9+J9</f>
        <v>2400648</v>
      </c>
    </row>
    <row r="10" spans="1:16">
      <c r="A10" s="10"/>
      <c r="B10" s="11" t="s">
        <v>37</v>
      </c>
      <c r="C10" s="11"/>
      <c r="D10" s="176">
        <v>0</v>
      </c>
      <c r="E10" s="302"/>
      <c r="F10" s="176">
        <v>0</v>
      </c>
      <c r="H10" s="176">
        <v>-80000</v>
      </c>
      <c r="J10" s="176">
        <v>0</v>
      </c>
      <c r="L10" s="185">
        <f>+D10+F10+H10+J10</f>
        <v>-80000</v>
      </c>
    </row>
    <row r="11" spans="1:16">
      <c r="A11" s="10"/>
      <c r="B11" s="11"/>
      <c r="C11" s="11"/>
      <c r="D11" s="176"/>
      <c r="E11" s="19"/>
      <c r="F11" s="176"/>
      <c r="H11" s="176"/>
      <c r="J11" s="176"/>
      <c r="L11" s="185"/>
      <c r="M11" s="300"/>
    </row>
    <row r="12" spans="1:16" ht="15.75" thickBot="1">
      <c r="A12" s="24" t="s">
        <v>32</v>
      </c>
      <c r="B12" s="24"/>
      <c r="C12" s="24"/>
      <c r="D12" s="178">
        <f>D7-D10-D9</f>
        <v>312000</v>
      </c>
      <c r="E12" s="312">
        <f>D12/D7</f>
        <v>1</v>
      </c>
      <c r="F12" s="178">
        <f>F7-F10-F9</f>
        <v>1047690</v>
      </c>
      <c r="G12" s="312">
        <f>F12/F7</f>
        <v>0.5434076763485477</v>
      </c>
      <c r="H12" s="178">
        <f>H7-H10-H9</f>
        <v>542000</v>
      </c>
      <c r="I12" s="312">
        <f>H12/H7</f>
        <v>0.82121212121212117</v>
      </c>
      <c r="J12" s="178">
        <f>J7-J10-J9</f>
        <v>1607662</v>
      </c>
      <c r="K12" s="312">
        <f>J12/J7</f>
        <v>0.54869010238907845</v>
      </c>
      <c r="L12" s="315">
        <f>L7-L10-L9</f>
        <v>3509352</v>
      </c>
      <c r="M12" s="312">
        <f>+L12/L7</f>
        <v>0.60194716981132079</v>
      </c>
      <c r="O12" s="5"/>
      <c r="P12" s="5"/>
    </row>
    <row r="13" spans="1:16" ht="15.75" thickTop="1">
      <c r="A13" s="10"/>
      <c r="B13" s="11"/>
      <c r="C13" s="11"/>
      <c r="D13" s="176"/>
      <c r="E13" s="19"/>
      <c r="F13" s="176"/>
      <c r="H13" s="176"/>
      <c r="J13" s="176"/>
      <c r="L13" s="185"/>
    </row>
    <row r="14" spans="1:16">
      <c r="A14" s="10"/>
      <c r="B14" s="9" t="s">
        <v>38</v>
      </c>
      <c r="D14" s="176">
        <v>40541</v>
      </c>
      <c r="F14" s="176">
        <v>483914</v>
      </c>
      <c r="H14" s="176">
        <v>205692</v>
      </c>
      <c r="J14" s="176">
        <v>837465</v>
      </c>
      <c r="L14" s="185">
        <f>+D14+F14+H14+J14</f>
        <v>1567612</v>
      </c>
    </row>
    <row r="15" spans="1:16">
      <c r="A15" s="10"/>
      <c r="B15" s="11"/>
      <c r="C15" s="11"/>
      <c r="D15" s="176"/>
      <c r="E15" s="19"/>
      <c r="F15" s="176"/>
      <c r="H15" s="176"/>
      <c r="J15" s="176"/>
      <c r="L15" s="185">
        <f>+D15+F15+H15+J15</f>
        <v>0</v>
      </c>
    </row>
    <row r="16" spans="1:16" ht="15.75" thickBot="1">
      <c r="A16" s="24" t="s">
        <v>1</v>
      </c>
      <c r="B16" s="24"/>
      <c r="C16" s="24"/>
      <c r="D16" s="178">
        <f>D12-SUM(D14:D14)</f>
        <v>271459</v>
      </c>
      <c r="E16" s="312">
        <f>D16/D7</f>
        <v>0.87006089743589743</v>
      </c>
      <c r="F16" s="178">
        <f>F12-SUM(F14:F14)</f>
        <v>563776</v>
      </c>
      <c r="G16" s="312">
        <f>F16/F7</f>
        <v>0.29241493775933608</v>
      </c>
      <c r="H16" s="178">
        <f>H12-SUM(H14:H14)</f>
        <v>336308</v>
      </c>
      <c r="I16" s="312">
        <f>H16/H7</f>
        <v>0.50955757575757576</v>
      </c>
      <c r="J16" s="178">
        <f>J12-SUM(J14:J14)</f>
        <v>770197</v>
      </c>
      <c r="K16" s="312">
        <f>J16/J7</f>
        <v>0.26286587030716724</v>
      </c>
      <c r="L16" s="315">
        <f>L12-SUM(L14:L14)</f>
        <v>1941740</v>
      </c>
      <c r="M16" s="312">
        <f>L16/L7</f>
        <v>0.33306003430531733</v>
      </c>
    </row>
    <row r="17" spans="1:16" ht="15.75" thickTop="1">
      <c r="A17" s="10"/>
      <c r="B17" s="11"/>
      <c r="C17" s="11"/>
      <c r="D17" s="176"/>
      <c r="E17" s="19"/>
      <c r="F17" s="176"/>
      <c r="H17" s="176"/>
      <c r="J17" s="176"/>
      <c r="L17" s="358"/>
      <c r="N17" s="5"/>
    </row>
    <row r="18" spans="1:16">
      <c r="A18" s="18" t="s">
        <v>6</v>
      </c>
      <c r="B18" s="9" t="s">
        <v>49</v>
      </c>
      <c r="D18" s="176">
        <v>0</v>
      </c>
      <c r="F18" s="176">
        <v>0</v>
      </c>
      <c r="H18" s="176">
        <v>0</v>
      </c>
      <c r="J18" s="176">
        <v>0</v>
      </c>
      <c r="L18" s="185">
        <f>+D18+F18+H18+J18</f>
        <v>0</v>
      </c>
    </row>
    <row r="19" spans="1:16" s="5" customFormat="1">
      <c r="A19" s="14" t="s">
        <v>47</v>
      </c>
      <c r="B19" s="15" t="s">
        <v>39</v>
      </c>
      <c r="C19" s="15"/>
      <c r="D19" s="179">
        <v>7140</v>
      </c>
      <c r="E19" s="313"/>
      <c r="F19" s="179">
        <v>22050</v>
      </c>
      <c r="G19" s="314"/>
      <c r="H19" s="179">
        <v>17381</v>
      </c>
      <c r="I19" s="301"/>
      <c r="J19" s="179">
        <v>42849</v>
      </c>
      <c r="K19" s="301"/>
      <c r="L19" s="185">
        <f t="shared" ref="L19:L21" si="0">+D19+F19+H19+J19</f>
        <v>89420</v>
      </c>
      <c r="M19" s="304"/>
      <c r="N19" s="1"/>
      <c r="O19" s="1"/>
      <c r="P19" s="1"/>
    </row>
    <row r="20" spans="1:16">
      <c r="A20" s="17" t="s">
        <v>47</v>
      </c>
      <c r="B20" s="11" t="s">
        <v>50</v>
      </c>
      <c r="C20" s="11"/>
      <c r="D20" s="176">
        <v>168000</v>
      </c>
      <c r="E20" s="19"/>
      <c r="F20" s="179">
        <v>315000</v>
      </c>
      <c r="G20" s="314"/>
      <c r="H20" s="179">
        <v>248295</v>
      </c>
      <c r="J20" s="179">
        <v>510110</v>
      </c>
      <c r="L20" s="185">
        <f t="shared" si="0"/>
        <v>1241405</v>
      </c>
    </row>
    <row r="21" spans="1:16">
      <c r="A21" s="17" t="s">
        <v>47</v>
      </c>
      <c r="B21" s="11" t="s">
        <v>40</v>
      </c>
      <c r="C21" s="11"/>
      <c r="D21" s="176">
        <v>67200</v>
      </c>
      <c r="E21" s="19"/>
      <c r="F21" s="179">
        <v>126000</v>
      </c>
      <c r="G21" s="314"/>
      <c r="H21" s="179">
        <v>99318</v>
      </c>
      <c r="J21" s="179">
        <v>204044</v>
      </c>
      <c r="L21" s="185">
        <f t="shared" si="0"/>
        <v>496562</v>
      </c>
      <c r="N21" s="4"/>
    </row>
    <row r="22" spans="1:16">
      <c r="D22" s="176"/>
      <c r="F22" s="176"/>
      <c r="H22" s="176"/>
      <c r="J22" s="176"/>
      <c r="L22" s="185"/>
    </row>
    <row r="23" spans="1:16" ht="15.75" thickBot="1">
      <c r="A23" s="24" t="s">
        <v>2</v>
      </c>
      <c r="B23" s="24"/>
      <c r="C23" s="24"/>
      <c r="D23" s="178">
        <f>+D16+D18-SUM(D19:D21)</f>
        <v>29119</v>
      </c>
      <c r="E23" s="312">
        <f>+D23/D7</f>
        <v>9.3330128205128204E-2</v>
      </c>
      <c r="F23" s="178">
        <f>+F16+F18-SUM(F19:F21)</f>
        <v>100726</v>
      </c>
      <c r="G23" s="312">
        <f>+F23/F7</f>
        <v>5.2243775933609959E-2</v>
      </c>
      <c r="H23" s="178">
        <f>+H16+H18-SUM(H19:H21)</f>
        <v>-28686</v>
      </c>
      <c r="I23" s="312">
        <f>+H23/H7</f>
        <v>-4.3463636363636364E-2</v>
      </c>
      <c r="J23" s="178">
        <f>+J16+J18-SUM(J19:J21)</f>
        <v>13194</v>
      </c>
      <c r="K23" s="312">
        <f>+J23/J7</f>
        <v>4.5030716723549486E-3</v>
      </c>
      <c r="L23" s="359">
        <f>+L16+L18-SUM(L19:L21)</f>
        <v>114353</v>
      </c>
      <c r="M23" s="312">
        <f>+L23/L7</f>
        <v>1.961457975986278E-2</v>
      </c>
    </row>
    <row r="24" spans="1:16" ht="15.75" thickTop="1">
      <c r="D24" s="176"/>
      <c r="F24" s="176"/>
      <c r="H24" s="176"/>
      <c r="J24" s="176"/>
      <c r="L24" s="185"/>
    </row>
    <row r="25" spans="1:16">
      <c r="A25" s="18" t="s">
        <v>6</v>
      </c>
      <c r="B25" s="9" t="s">
        <v>48</v>
      </c>
      <c r="D25" s="176">
        <v>0</v>
      </c>
      <c r="F25" s="183">
        <v>0</v>
      </c>
      <c r="H25" s="183">
        <v>0</v>
      </c>
      <c r="J25" s="183">
        <v>0</v>
      </c>
      <c r="L25" s="185">
        <f>+D25+F25+H25+J25</f>
        <v>0</v>
      </c>
      <c r="N25" s="6"/>
    </row>
    <row r="26" spans="1:16">
      <c r="A26" s="10" t="s">
        <v>6</v>
      </c>
      <c r="B26" s="11" t="s">
        <v>42</v>
      </c>
      <c r="C26" s="11"/>
      <c r="D26" s="176">
        <v>0</v>
      </c>
      <c r="E26" s="19"/>
      <c r="F26" s="176">
        <v>0</v>
      </c>
      <c r="H26" s="176">
        <f>'SIG TECSABOIS Charpente'!F33</f>
        <v>0</v>
      </c>
      <c r="J26" s="176">
        <v>45105</v>
      </c>
      <c r="L26" s="185">
        <f t="shared" ref="L26:L28" si="1">+D26+F26+H26+J26</f>
        <v>45105</v>
      </c>
    </row>
    <row r="27" spans="1:16">
      <c r="A27" s="18" t="s">
        <v>47</v>
      </c>
      <c r="B27" s="9" t="s">
        <v>3</v>
      </c>
      <c r="D27" s="176">
        <v>0</v>
      </c>
      <c r="F27" s="176">
        <v>127412</v>
      </c>
      <c r="H27" s="176">
        <v>38500</v>
      </c>
      <c r="J27" s="176">
        <f>24159</f>
        <v>24159</v>
      </c>
      <c r="L27" s="185">
        <f t="shared" si="1"/>
        <v>190071</v>
      </c>
    </row>
    <row r="28" spans="1:16">
      <c r="A28" s="17" t="s">
        <v>47</v>
      </c>
      <c r="B28" s="11" t="s">
        <v>41</v>
      </c>
      <c r="C28" s="11"/>
      <c r="D28" s="176">
        <v>0</v>
      </c>
      <c r="E28" s="19"/>
      <c r="F28" s="179">
        <v>0</v>
      </c>
      <c r="G28" s="314"/>
      <c r="H28" s="179"/>
      <c r="J28" s="179">
        <v>179</v>
      </c>
      <c r="L28" s="185">
        <f t="shared" si="1"/>
        <v>179</v>
      </c>
    </row>
    <row r="29" spans="1:16">
      <c r="D29" s="176"/>
      <c r="F29" s="176"/>
      <c r="H29" s="176"/>
      <c r="J29" s="176"/>
      <c r="L29" s="185"/>
    </row>
    <row r="30" spans="1:16" ht="15.75" thickBot="1">
      <c r="A30" s="24" t="s">
        <v>4</v>
      </c>
      <c r="B30" s="24"/>
      <c r="C30" s="24"/>
      <c r="D30" s="178">
        <f>D23+D25+D26-D27-D28</f>
        <v>29119</v>
      </c>
      <c r="E30" s="312">
        <f>D30/D7</f>
        <v>9.3330128205128204E-2</v>
      </c>
      <c r="F30" s="178">
        <f>F23+F25+F26-F27-F28</f>
        <v>-26686</v>
      </c>
      <c r="G30" s="312">
        <f>F30/F7</f>
        <v>-1.3841286307053943E-2</v>
      </c>
      <c r="H30" s="178">
        <f>H23+H25+H26-H27-H28</f>
        <v>-67186</v>
      </c>
      <c r="I30" s="312">
        <f>H30/H7</f>
        <v>-0.10179696969696969</v>
      </c>
      <c r="J30" s="178">
        <f>J23+J25+J26-J27-J28</f>
        <v>33961</v>
      </c>
      <c r="K30" s="312">
        <f>J30/J7</f>
        <v>1.1590784982935153E-2</v>
      </c>
      <c r="L30" s="315">
        <f>L23+L25+L26-L27-L28</f>
        <v>-30792</v>
      </c>
      <c r="M30" s="312">
        <f>L30/L7</f>
        <v>-5.2816466552315609E-3</v>
      </c>
    </row>
    <row r="31" spans="1:16" ht="15.75" thickTop="1">
      <c r="D31" s="176"/>
      <c r="F31" s="176"/>
      <c r="H31" s="176"/>
      <c r="J31" s="176"/>
      <c r="L31" s="185"/>
    </row>
    <row r="32" spans="1:16">
      <c r="B32" s="9" t="s">
        <v>5</v>
      </c>
      <c r="D32" s="176">
        <v>-15000</v>
      </c>
      <c r="F32" s="176">
        <v>-42416</v>
      </c>
      <c r="H32" s="176">
        <v>-13500</v>
      </c>
      <c r="J32" s="176">
        <v>-9210</v>
      </c>
      <c r="L32" s="185">
        <f t="shared" ref="L32:L35" si="2">+D32+F32+H32+J32</f>
        <v>-80126</v>
      </c>
    </row>
    <row r="33" spans="1:13">
      <c r="B33" s="9" t="s">
        <v>29</v>
      </c>
      <c r="D33" s="176">
        <v>0</v>
      </c>
      <c r="F33" s="176">
        <v>0</v>
      </c>
      <c r="H33" s="176">
        <v>0</v>
      </c>
      <c r="J33" s="176">
        <v>0</v>
      </c>
      <c r="L33" s="185">
        <f t="shared" si="2"/>
        <v>0</v>
      </c>
    </row>
    <row r="34" spans="1:13">
      <c r="B34" s="9" t="s">
        <v>9</v>
      </c>
      <c r="D34" s="176">
        <v>0</v>
      </c>
      <c r="F34" s="176">
        <v>0</v>
      </c>
      <c r="H34" s="176">
        <v>0</v>
      </c>
      <c r="J34" s="176">
        <v>0</v>
      </c>
      <c r="L34" s="185">
        <f t="shared" si="2"/>
        <v>0</v>
      </c>
    </row>
    <row r="35" spans="1:13">
      <c r="D35" s="176"/>
      <c r="F35" s="176"/>
      <c r="H35" s="176"/>
      <c r="J35" s="176"/>
      <c r="L35" s="185"/>
    </row>
    <row r="36" spans="1:13" ht="15.75" thickBot="1">
      <c r="A36" s="24" t="s">
        <v>10</v>
      </c>
      <c r="B36" s="24"/>
      <c r="C36" s="24"/>
      <c r="D36" s="178">
        <f>+D30+SUM(D32:D34)</f>
        <v>14119</v>
      </c>
      <c r="E36" s="312">
        <f>+D36/D7</f>
        <v>4.5253205128205125E-2</v>
      </c>
      <c r="F36" s="178">
        <f>+F30+SUM(F32:F34)</f>
        <v>-69102</v>
      </c>
      <c r="G36" s="312">
        <f>+F36/F7</f>
        <v>-3.5841286307053945E-2</v>
      </c>
      <c r="H36" s="178">
        <f>+H30+SUM(H32:H34)</f>
        <v>-80686</v>
      </c>
      <c r="I36" s="312">
        <f>+H36/H7</f>
        <v>-0.12225151515151515</v>
      </c>
      <c r="J36" s="178">
        <f>+J30+SUM(J32:J34)</f>
        <v>24751</v>
      </c>
      <c r="K36" s="312">
        <f>+J36/J7</f>
        <v>8.4474402730375427E-3</v>
      </c>
      <c r="L36" s="175">
        <f>+L30+SUM(L32:L34)</f>
        <v>-110918</v>
      </c>
      <c r="M36" s="312">
        <f>+L36/L7</f>
        <v>-1.9025385934819897E-2</v>
      </c>
    </row>
    <row r="37" spans="1:13" ht="15.75" thickTop="1">
      <c r="F37" s="3"/>
    </row>
    <row r="38" spans="1:13">
      <c r="F38" s="3"/>
      <c r="J38" s="53"/>
    </row>
    <row r="39" spans="1:13">
      <c r="F39" s="3"/>
      <c r="H39" s="13"/>
      <c r="J39" s="13"/>
    </row>
    <row r="40" spans="1:13">
      <c r="F40" s="3"/>
      <c r="H40" s="13"/>
      <c r="J40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4" orientation="landscape" horizontalDpi="300" verticalDpi="300" r:id="rId1"/>
  <headerFooter scaleWithDoc="0">
    <oddHeader>&amp;LDossier TECSAFINANCE
Annexe B2&amp;CSolde intermédiaire de gestion
Année 2014&amp;RConfidentiel</oddHeader>
    <oddFooter>&amp;L&amp;D&amp;R1/5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M50"/>
  <sheetViews>
    <sheetView showGridLines="0" zoomScale="79" zoomScaleNormal="79" workbookViewId="0">
      <selection activeCell="L19" sqref="L19"/>
    </sheetView>
  </sheetViews>
  <sheetFormatPr baseColWidth="10" defaultRowHeight="15"/>
  <cols>
    <col min="1" max="1" width="3.42578125" style="18" customWidth="1"/>
    <col min="2" max="2" width="3.42578125" style="9" customWidth="1"/>
    <col min="3" max="3" width="39.140625" style="9" customWidth="1"/>
    <col min="4" max="4" width="19.85546875" style="3" customWidth="1"/>
    <col min="5" max="5" width="8.28515625" style="299" customWidth="1"/>
    <col min="6" max="6" width="19.85546875" style="9" customWidth="1"/>
    <col min="7" max="7" width="8.28515625" style="301" customWidth="1"/>
    <col min="8" max="8" width="19.85546875" style="1" customWidth="1"/>
    <col min="9" max="9" width="8.28515625" style="301" customWidth="1"/>
    <col min="10" max="10" width="19.85546875" style="1" customWidth="1"/>
    <col min="11" max="11" width="8.28515625" style="301" customWidth="1"/>
    <col min="12" max="12" width="19.85546875" style="1" customWidth="1"/>
    <col min="13" max="13" width="8.28515625" style="302" customWidth="1"/>
    <col min="14" max="16384" width="11.42578125" style="1"/>
  </cols>
  <sheetData>
    <row r="2" spans="1:13" s="31" customFormat="1">
      <c r="A2" s="30"/>
      <c r="B2" s="30"/>
      <c r="C2" s="30"/>
      <c r="D2" s="30" t="s">
        <v>44</v>
      </c>
      <c r="E2" s="30"/>
      <c r="F2" s="31" t="s">
        <v>35</v>
      </c>
      <c r="H2" s="31" t="s">
        <v>45</v>
      </c>
      <c r="J2" s="31" t="s">
        <v>36</v>
      </c>
      <c r="L2" s="31" t="s">
        <v>89</v>
      </c>
    </row>
    <row r="3" spans="1:13" s="26" customFormat="1" ht="18.75">
      <c r="A3" s="7"/>
      <c r="B3" s="7"/>
      <c r="C3" s="7"/>
      <c r="D3" s="176"/>
      <c r="E3" s="311"/>
      <c r="F3" s="181"/>
      <c r="G3" s="8"/>
      <c r="H3" s="181"/>
      <c r="I3" s="8"/>
      <c r="J3" s="181"/>
      <c r="K3" s="8"/>
      <c r="L3" s="184"/>
      <c r="M3" s="31"/>
    </row>
    <row r="4" spans="1:13">
      <c r="A4" s="10"/>
      <c r="B4" s="11" t="s">
        <v>91</v>
      </c>
      <c r="C4" s="11"/>
      <c r="D4" s="176"/>
      <c r="E4" s="19"/>
      <c r="F4" s="176">
        <f>+'SIG TECSABOIS'!H5</f>
        <v>1621166</v>
      </c>
      <c r="H4" s="176">
        <f>'SIG TECSABOIS Charpente'!H4</f>
        <v>930000</v>
      </c>
      <c r="J4" s="176">
        <f>'SIG CHENE DECORS'!H9</f>
        <v>3690000</v>
      </c>
      <c r="L4" s="185">
        <f>+D4+F4+H4+J4</f>
        <v>6241166</v>
      </c>
    </row>
    <row r="5" spans="1:13">
      <c r="A5" s="10"/>
      <c r="B5" s="11"/>
      <c r="C5" s="11" t="s">
        <v>59</v>
      </c>
      <c r="D5" s="177">
        <f>'SIG TECSAFINANCE'!H7</f>
        <v>240000</v>
      </c>
      <c r="E5" s="321"/>
      <c r="F5" s="177">
        <f>+'SIG TECSABOIS'!H6</f>
        <v>480000</v>
      </c>
      <c r="G5" s="320"/>
      <c r="H5" s="177">
        <f>'SIG TECSABOIS Charpente'!H5</f>
        <v>0</v>
      </c>
      <c r="I5" s="320"/>
      <c r="J5" s="177">
        <v>0</v>
      </c>
      <c r="L5" s="185"/>
    </row>
    <row r="6" spans="1:13">
      <c r="A6" s="10"/>
      <c r="B6" s="11"/>
      <c r="C6" s="11" t="s">
        <v>61</v>
      </c>
      <c r="D6" s="177"/>
      <c r="E6" s="321"/>
      <c r="F6" s="177">
        <f>+'SIG TECSABOIS'!H7</f>
        <v>90000</v>
      </c>
      <c r="G6" s="320"/>
      <c r="H6" s="177">
        <v>0</v>
      </c>
      <c r="I6" s="320"/>
      <c r="J6" s="177">
        <v>0</v>
      </c>
      <c r="L6" s="185"/>
    </row>
    <row r="7" spans="1:13">
      <c r="A7" s="10"/>
      <c r="B7" s="11"/>
      <c r="C7" s="11" t="s">
        <v>60</v>
      </c>
      <c r="D7" s="177">
        <f>'SIG TECSAFINANCE'!H6</f>
        <v>66000</v>
      </c>
      <c r="E7" s="321"/>
      <c r="F7" s="177">
        <f>+'SIG TECSABOIS'!H8</f>
        <v>175000</v>
      </c>
      <c r="G7" s="320"/>
      <c r="H7" s="177">
        <v>0</v>
      </c>
      <c r="I7" s="320"/>
      <c r="J7" s="177">
        <v>0</v>
      </c>
      <c r="L7" s="185"/>
    </row>
    <row r="8" spans="1:13">
      <c r="A8" s="10"/>
      <c r="B8" s="11"/>
      <c r="C8" s="11" t="s">
        <v>88</v>
      </c>
      <c r="D8" s="177">
        <f>'SIG TECSAFINANCE'!H5</f>
        <v>102000</v>
      </c>
      <c r="E8" s="321"/>
      <c r="F8" s="177">
        <f>+'SIG TECSABOIS'!H9</f>
        <v>0</v>
      </c>
      <c r="G8" s="320"/>
      <c r="H8" s="177">
        <v>0</v>
      </c>
      <c r="I8" s="320"/>
      <c r="J8" s="177">
        <v>0</v>
      </c>
      <c r="L8" s="185"/>
    </row>
    <row r="9" spans="1:13">
      <c r="A9" s="10"/>
      <c r="B9" s="11" t="s">
        <v>43</v>
      </c>
      <c r="C9" s="11"/>
      <c r="D9" s="176">
        <f>'SIG TECSAFINANCE'!H8</f>
        <v>0</v>
      </c>
      <c r="E9" s="19"/>
      <c r="F9" s="176">
        <f>+'SIG TECSABOIS'!H10</f>
        <v>0</v>
      </c>
      <c r="H9" s="176">
        <f>'SIG TECSABOIS Charpente'!H7</f>
        <v>0</v>
      </c>
      <c r="J9" s="176">
        <v>0</v>
      </c>
      <c r="L9" s="185">
        <f>+D9+F9+H9+J9</f>
        <v>0</v>
      </c>
    </row>
    <row r="10" spans="1:13">
      <c r="A10" s="10"/>
      <c r="B10" s="11"/>
      <c r="C10" s="11"/>
      <c r="D10" s="176"/>
      <c r="E10" s="19"/>
      <c r="F10" s="176"/>
      <c r="H10" s="176"/>
      <c r="J10" s="176"/>
      <c r="L10" s="185"/>
    </row>
    <row r="11" spans="1:13" ht="15.75" thickBot="1">
      <c r="A11" s="24" t="s">
        <v>0</v>
      </c>
      <c r="B11" s="24"/>
      <c r="C11" s="24"/>
      <c r="D11" s="178">
        <f>SUM(D4:D10)</f>
        <v>408000</v>
      </c>
      <c r="E11" s="312">
        <v>1</v>
      </c>
      <c r="F11" s="178">
        <f>SUM(F4:F10)</f>
        <v>2366166</v>
      </c>
      <c r="G11" s="312">
        <v>1</v>
      </c>
      <c r="H11" s="178">
        <f>SUM(H4:H10)</f>
        <v>930000</v>
      </c>
      <c r="I11" s="312">
        <v>1</v>
      </c>
      <c r="J11" s="178">
        <f>SUM(J4:J10)</f>
        <v>3690000</v>
      </c>
      <c r="K11" s="312">
        <v>1</v>
      </c>
      <c r="L11" s="315">
        <f>SUM(L4:L10)</f>
        <v>6241166</v>
      </c>
      <c r="M11" s="312">
        <v>1</v>
      </c>
    </row>
    <row r="12" spans="1:13" ht="15.75" thickTop="1">
      <c r="A12" s="10"/>
      <c r="B12" s="11"/>
      <c r="C12" s="11"/>
      <c r="D12" s="176"/>
      <c r="E12" s="19"/>
      <c r="F12" s="176"/>
      <c r="H12" s="176"/>
      <c r="J12" s="176"/>
      <c r="L12" s="185"/>
    </row>
    <row r="13" spans="1:13">
      <c r="A13" s="10"/>
      <c r="B13" s="11" t="s">
        <v>46</v>
      </c>
      <c r="C13" s="11"/>
      <c r="D13" s="176">
        <v>0</v>
      </c>
      <c r="E13" s="302"/>
      <c r="F13" s="176">
        <f>'SIG TECSABOIS'!H13</f>
        <v>1047036.3600000001</v>
      </c>
      <c r="H13" s="176">
        <f>'SIG TECSABOIS Charpente'!H11</f>
        <v>113300</v>
      </c>
      <c r="J13" s="176">
        <f>'SIG CHENE DECORS'!H11</f>
        <v>1095098.7650000001</v>
      </c>
      <c r="L13" s="185">
        <f>+D13+F13+H13+J13</f>
        <v>2255435.125</v>
      </c>
    </row>
    <row r="14" spans="1:13">
      <c r="A14" s="10"/>
      <c r="B14" s="11"/>
      <c r="C14" s="11" t="s">
        <v>62</v>
      </c>
      <c r="D14" s="177">
        <v>0</v>
      </c>
      <c r="E14" s="322"/>
      <c r="F14" s="177">
        <v>0</v>
      </c>
      <c r="G14" s="320"/>
      <c r="H14" s="177">
        <f>'SIG TECSABOIS Charpente'!H12</f>
        <v>175000</v>
      </c>
      <c r="I14" s="320"/>
      <c r="J14" s="177">
        <f>'SIG CHENE DECORS'!H12</f>
        <v>480000</v>
      </c>
      <c r="L14" s="185"/>
    </row>
    <row r="15" spans="1:13">
      <c r="A15" s="10"/>
      <c r="B15" s="11"/>
      <c r="C15" s="11" t="s">
        <v>86</v>
      </c>
      <c r="D15" s="177">
        <v>0</v>
      </c>
      <c r="E15" s="322"/>
      <c r="F15" s="177">
        <v>0</v>
      </c>
      <c r="G15" s="320"/>
      <c r="H15" s="177">
        <v>0</v>
      </c>
      <c r="I15" s="320"/>
      <c r="J15" s="177">
        <f>'SIG CHENE DECORS'!H13</f>
        <v>90000</v>
      </c>
      <c r="L15" s="185"/>
    </row>
    <row r="16" spans="1:13">
      <c r="A16" s="10"/>
      <c r="B16" s="11" t="s">
        <v>37</v>
      </c>
      <c r="C16" s="11"/>
      <c r="D16" s="176">
        <v>0</v>
      </c>
      <c r="E16" s="302"/>
      <c r="F16" s="176">
        <f>'SIG TECSABOIS'!H14</f>
        <v>0</v>
      </c>
      <c r="H16" s="176">
        <f>'SIG TECSABOIS Charpente'!J13</f>
        <v>0</v>
      </c>
      <c r="J16" s="176">
        <f>'SIG CHENE DECORS'!H14</f>
        <v>0</v>
      </c>
      <c r="L16" s="185">
        <f t="shared" ref="L16:L44" si="0">+D16+F16+H16+J16</f>
        <v>0</v>
      </c>
    </row>
    <row r="17" spans="1:13">
      <c r="A17" s="10"/>
      <c r="B17" s="11"/>
      <c r="C17" s="11"/>
      <c r="D17" s="176"/>
      <c r="E17" s="19"/>
      <c r="F17" s="176"/>
      <c r="H17" s="176"/>
      <c r="J17" s="176"/>
      <c r="L17" s="185"/>
      <c r="M17" s="300"/>
    </row>
    <row r="18" spans="1:13" ht="15.75" thickBot="1">
      <c r="A18" s="24" t="s">
        <v>32</v>
      </c>
      <c r="B18" s="24"/>
      <c r="C18" s="24"/>
      <c r="D18" s="178">
        <f>D11-SUM(D13:D16)</f>
        <v>408000</v>
      </c>
      <c r="E18" s="312">
        <f>+D18/D11</f>
        <v>1</v>
      </c>
      <c r="F18" s="178">
        <f>F11-SUM(F13:F16)</f>
        <v>1319129.6399999999</v>
      </c>
      <c r="G18" s="312">
        <f>+F18/F11</f>
        <v>0.55749665915240088</v>
      </c>
      <c r="H18" s="178">
        <f>H11-SUM(H13:H16)</f>
        <v>641700</v>
      </c>
      <c r="I18" s="312">
        <f>+H18/H11</f>
        <v>0.69</v>
      </c>
      <c r="J18" s="178">
        <f>J11-SUM(J13:J16)</f>
        <v>2024901.2349999999</v>
      </c>
      <c r="K18" s="312">
        <f>+J18/J11</f>
        <v>0.54875372222222218</v>
      </c>
      <c r="L18" s="178">
        <f>L11-SUM(L13:L16)</f>
        <v>3985730.875</v>
      </c>
      <c r="M18" s="312">
        <f>+L18/L11</f>
        <v>0.63861959047395955</v>
      </c>
    </row>
    <row r="19" spans="1:13" ht="15.75" thickTop="1">
      <c r="A19" s="10"/>
      <c r="B19" s="11"/>
      <c r="C19" s="11"/>
      <c r="D19" s="176"/>
      <c r="E19" s="19"/>
      <c r="F19" s="176"/>
      <c r="H19" s="176"/>
      <c r="J19" s="176"/>
      <c r="L19" s="185"/>
    </row>
    <row r="20" spans="1:13">
      <c r="A20" s="10"/>
      <c r="B20" s="9" t="s">
        <v>38</v>
      </c>
      <c r="D20" s="176">
        <f>'SIG TECSAFINANCE'!H17</f>
        <v>41757.024000000005</v>
      </c>
      <c r="F20" s="182"/>
      <c r="H20" s="176"/>
      <c r="J20" s="176">
        <f>'SIG CHENE DECORS'!H18</f>
        <v>0</v>
      </c>
      <c r="L20" s="185">
        <f t="shared" si="0"/>
        <v>41757.024000000005</v>
      </c>
    </row>
    <row r="21" spans="1:13">
      <c r="A21" s="10"/>
      <c r="C21" s="9" t="s">
        <v>57</v>
      </c>
      <c r="D21" s="176"/>
      <c r="F21" s="176">
        <f>'SIG TECSABOIS'!H19</f>
        <v>130139.13</v>
      </c>
      <c r="H21" s="176">
        <f>'SIG TECSABOIS Charpente'!H18</f>
        <v>55800</v>
      </c>
      <c r="J21" s="176">
        <f>'SIG CHENE DECORS'!H19</f>
        <v>487080</v>
      </c>
      <c r="L21" s="185">
        <f t="shared" si="0"/>
        <v>673019.13</v>
      </c>
    </row>
    <row r="22" spans="1:13">
      <c r="A22" s="10"/>
      <c r="C22" s="9" t="s">
        <v>58</v>
      </c>
      <c r="D22" s="176"/>
      <c r="F22" s="176">
        <f>'SIG TECSABOIS'!H20</f>
        <v>308870.42600000004</v>
      </c>
      <c r="H22" s="176">
        <f>'SIG TECSABOIS Charpente'!H19</f>
        <v>127815.1102</v>
      </c>
      <c r="J22" s="176">
        <f>'SIG CHENE DECORS'!H20</f>
        <v>266466.25300000003</v>
      </c>
      <c r="L22" s="185">
        <f t="shared" si="0"/>
        <v>703151.7892</v>
      </c>
    </row>
    <row r="23" spans="1:13">
      <c r="A23" s="10"/>
      <c r="C23" s="1" t="s">
        <v>87</v>
      </c>
      <c r="D23" s="177"/>
      <c r="E23" s="323"/>
      <c r="F23" s="177">
        <f>'SIG TECSABOIS'!H21</f>
        <v>102000</v>
      </c>
      <c r="G23" s="320"/>
      <c r="H23" s="177">
        <f>'SIG TECSABOIS Charpente'!H20</f>
        <v>66000</v>
      </c>
      <c r="I23" s="320"/>
      <c r="J23" s="177">
        <f>'SIG CHENE DECORS'!H21</f>
        <v>240000</v>
      </c>
      <c r="L23" s="185"/>
    </row>
    <row r="24" spans="1:13">
      <c r="A24" s="10"/>
      <c r="B24" s="11"/>
      <c r="C24" s="11"/>
      <c r="D24" s="176"/>
      <c r="E24" s="19"/>
      <c r="F24" s="176"/>
      <c r="H24" s="176"/>
      <c r="J24" s="176"/>
      <c r="L24" s="185"/>
    </row>
    <row r="25" spans="1:13" ht="15.75" thickBot="1">
      <c r="A25" s="24" t="s">
        <v>1</v>
      </c>
      <c r="B25" s="24"/>
      <c r="C25" s="24"/>
      <c r="D25" s="178">
        <f>D18-SUM(D20:D23)</f>
        <v>366242.97600000002</v>
      </c>
      <c r="E25" s="312">
        <f>D25/D11</f>
        <v>0.89765435294117657</v>
      </c>
      <c r="F25" s="178">
        <f>F18-SUM(F20:F23)</f>
        <v>778120.0839999998</v>
      </c>
      <c r="G25" s="312">
        <f>F25/F11</f>
        <v>0.32885270264216448</v>
      </c>
      <c r="H25" s="178">
        <f>H18-SUM(H20:H23)</f>
        <v>392084.8898</v>
      </c>
      <c r="I25" s="312">
        <f>H25/H11</f>
        <v>0.42159665569892474</v>
      </c>
      <c r="J25" s="178">
        <f>J18-SUM(J20:J23)</f>
        <v>1031354.9819999998</v>
      </c>
      <c r="K25" s="312">
        <f>J25/J11</f>
        <v>0.27949999512195117</v>
      </c>
      <c r="L25" s="175">
        <f>L18-SUM(L20:L23)</f>
        <v>2567802.9317999999</v>
      </c>
      <c r="M25" s="312">
        <f>L25/L11</f>
        <v>0.41143000070820096</v>
      </c>
    </row>
    <row r="26" spans="1:13" ht="15.75" thickTop="1">
      <c r="A26" s="10"/>
      <c r="B26" s="11"/>
      <c r="C26" s="11"/>
      <c r="D26" s="176"/>
      <c r="E26" s="19"/>
      <c r="F26" s="176"/>
      <c r="H26" s="176"/>
      <c r="J26" s="176"/>
      <c r="L26" s="185"/>
    </row>
    <row r="27" spans="1:13">
      <c r="A27" s="18" t="s">
        <v>6</v>
      </c>
      <c r="B27" s="9" t="s">
        <v>49</v>
      </c>
      <c r="D27" s="176">
        <f>'SIG TECSAFINANCE'!H21</f>
        <v>0</v>
      </c>
      <c r="F27" s="176">
        <f>'SIG TECSABOIS'!H26</f>
        <v>0</v>
      </c>
      <c r="H27" s="176">
        <f>'SIG TECSABOIS Charpente'!H25</f>
        <v>0</v>
      </c>
      <c r="J27" s="176">
        <f>'SIG CHENE DECORS'!H26</f>
        <v>0</v>
      </c>
      <c r="L27" s="185">
        <f t="shared" si="0"/>
        <v>0</v>
      </c>
    </row>
    <row r="28" spans="1:13" s="5" customFormat="1">
      <c r="A28" s="14" t="s">
        <v>47</v>
      </c>
      <c r="B28" s="15" t="s">
        <v>39</v>
      </c>
      <c r="C28" s="15"/>
      <c r="D28" s="179">
        <f>'SIG TECSAFINANCE'!H22</f>
        <v>9933</v>
      </c>
      <c r="E28" s="313"/>
      <c r="F28" s="179">
        <f>'SIG TECSABOIS'!H27</f>
        <v>25970</v>
      </c>
      <c r="G28" s="314"/>
      <c r="H28" s="179">
        <f>'SIG TECSABOIS Charpente'!H26</f>
        <v>17380.650000000001</v>
      </c>
      <c r="I28" s="301"/>
      <c r="J28" s="176">
        <f>'SIG CHENE DECORS'!H27</f>
        <v>61300.568000000007</v>
      </c>
      <c r="K28" s="301"/>
      <c r="L28" s="185">
        <f t="shared" si="0"/>
        <v>114584.21800000001</v>
      </c>
      <c r="M28" s="304"/>
    </row>
    <row r="29" spans="1:13">
      <c r="A29" s="17" t="s">
        <v>47</v>
      </c>
      <c r="B29" s="11" t="s">
        <v>50</v>
      </c>
      <c r="C29" s="11"/>
      <c r="D29" s="176">
        <f>'SIG TECSAFINANCE'!H23</f>
        <v>141900</v>
      </c>
      <c r="E29" s="19"/>
      <c r="F29" s="179">
        <f>'SIG TECSABOIS'!H28</f>
        <v>371000</v>
      </c>
      <c r="G29" s="314"/>
      <c r="H29" s="179">
        <f>'SIG TECSABOIS Charpente'!H27</f>
        <v>248295</v>
      </c>
      <c r="J29" s="176">
        <f>'SIG CHENE DECORS'!H28</f>
        <v>625516</v>
      </c>
      <c r="L29" s="185">
        <f t="shared" si="0"/>
        <v>1386711</v>
      </c>
    </row>
    <row r="30" spans="1:13">
      <c r="A30" s="17" t="s">
        <v>47</v>
      </c>
      <c r="B30" s="11" t="s">
        <v>85</v>
      </c>
      <c r="C30" s="11"/>
      <c r="D30" s="176">
        <f>'SIG TECSAFINANCE'!H24</f>
        <v>72000</v>
      </c>
      <c r="E30" s="19"/>
      <c r="F30" s="179">
        <v>0</v>
      </c>
      <c r="G30" s="314"/>
      <c r="H30" s="179">
        <v>0</v>
      </c>
      <c r="J30" s="176"/>
      <c r="L30" s="185">
        <f t="shared" si="0"/>
        <v>72000</v>
      </c>
    </row>
    <row r="31" spans="1:13">
      <c r="A31" s="17" t="s">
        <v>47</v>
      </c>
      <c r="B31" s="11" t="s">
        <v>40</v>
      </c>
      <c r="C31" s="11"/>
      <c r="D31" s="176">
        <f>'SIG TECSAFINANCE'!H25</f>
        <v>85560</v>
      </c>
      <c r="E31" s="19"/>
      <c r="F31" s="179">
        <f>'SIG TECSABOIS'!H29</f>
        <v>148400</v>
      </c>
      <c r="G31" s="314"/>
      <c r="H31" s="179">
        <f>'SIG TECSABOIS Charpente'!H28</f>
        <v>99318</v>
      </c>
      <c r="J31" s="179">
        <f>'SIG CHENE DECORS'!H29</f>
        <v>250206.40000000002</v>
      </c>
      <c r="L31" s="185">
        <f t="shared" si="0"/>
        <v>583484.4</v>
      </c>
    </row>
    <row r="32" spans="1:13">
      <c r="D32" s="180"/>
      <c r="F32" s="180"/>
      <c r="H32" s="180"/>
      <c r="J32" s="180"/>
      <c r="L32" s="185"/>
    </row>
    <row r="33" spans="1:13" ht="15.75" thickBot="1">
      <c r="A33" s="24" t="s">
        <v>2</v>
      </c>
      <c r="B33" s="24"/>
      <c r="C33" s="24"/>
      <c r="D33" s="178">
        <f>+D25+D27-SUM(D28:D31)</f>
        <v>56849.976000000024</v>
      </c>
      <c r="E33" s="312">
        <f>+D33/D11</f>
        <v>0.1393381764705883</v>
      </c>
      <c r="F33" s="178">
        <f>+F25+F27-SUM(F28:F31)</f>
        <v>232750.0839999998</v>
      </c>
      <c r="G33" s="312">
        <f>+F33/F11</f>
        <v>9.8365915155572262E-2</v>
      </c>
      <c r="H33" s="178">
        <f>+H25+H27-SUM(H28:H31)</f>
        <v>27091.239799999981</v>
      </c>
      <c r="I33" s="312">
        <f>+H33/H11</f>
        <v>2.9130365376344065E-2</v>
      </c>
      <c r="J33" s="178">
        <f>+J25+J27-SUM(J28:J31)</f>
        <v>94332.01399999985</v>
      </c>
      <c r="K33" s="312">
        <f>+J33/J11</f>
        <v>2.5564231436314321E-2</v>
      </c>
      <c r="L33" s="175">
        <f>+L25+L27-SUM(L28:L31)</f>
        <v>411023.31379999965</v>
      </c>
      <c r="M33" s="312">
        <f>+L33/L11</f>
        <v>6.5856814864401883E-2</v>
      </c>
    </row>
    <row r="34" spans="1:13" ht="15.75" thickTop="1">
      <c r="D34" s="176"/>
      <c r="F34" s="176"/>
      <c r="H34" s="176"/>
      <c r="J34" s="176"/>
      <c r="L34" s="185"/>
    </row>
    <row r="35" spans="1:13">
      <c r="A35" s="18" t="s">
        <v>6</v>
      </c>
      <c r="B35" s="9" t="s">
        <v>48</v>
      </c>
      <c r="D35" s="176">
        <f>'SIG TECSAFINANCE'!D29</f>
        <v>0</v>
      </c>
      <c r="F35" s="183">
        <f>'SIG TECSABOIS'!H33</f>
        <v>0</v>
      </c>
      <c r="H35" s="183">
        <f>'SIG TECSABOIS Charpente'!H32</f>
        <v>0</v>
      </c>
      <c r="J35" s="183">
        <f>'SIG CHENE DECORS'!H33</f>
        <v>0</v>
      </c>
      <c r="L35" s="185">
        <f t="shared" si="0"/>
        <v>0</v>
      </c>
    </row>
    <row r="36" spans="1:13">
      <c r="A36" s="10" t="s">
        <v>6</v>
      </c>
      <c r="B36" s="11" t="s">
        <v>42</v>
      </c>
      <c r="C36" s="11"/>
      <c r="D36" s="176">
        <f>'SIG TECSAFINANCE'!H30</f>
        <v>0</v>
      </c>
      <c r="E36" s="19"/>
      <c r="F36" s="176">
        <f>'SIG TECSABOIS'!H34</f>
        <v>0</v>
      </c>
      <c r="H36" s="176">
        <f>'SIG TECSABOIS Charpente'!H33</f>
        <v>0</v>
      </c>
      <c r="J36" s="183">
        <f>'SIG CHENE DECORS'!H34</f>
        <v>0</v>
      </c>
      <c r="L36" s="185">
        <f t="shared" si="0"/>
        <v>0</v>
      </c>
    </row>
    <row r="37" spans="1:13">
      <c r="A37" s="18" t="s">
        <v>47</v>
      </c>
      <c r="B37" s="9" t="s">
        <v>3</v>
      </c>
      <c r="D37" s="176">
        <f>'SIG TECSAFINANCE'!D31</f>
        <v>0</v>
      </c>
      <c r="F37" s="176">
        <f>'SIG TECSABOIS'!H35</f>
        <v>119121</v>
      </c>
      <c r="H37" s="176">
        <f>'SIG TECSABOIS Charpente'!H34</f>
        <v>38500</v>
      </c>
      <c r="J37" s="176">
        <f>'SIG CHENE DECORS'!H35</f>
        <v>20100</v>
      </c>
      <c r="L37" s="185">
        <f t="shared" si="0"/>
        <v>177721</v>
      </c>
    </row>
    <row r="38" spans="1:13">
      <c r="A38" s="17" t="s">
        <v>47</v>
      </c>
      <c r="B38" s="11" t="s">
        <v>41</v>
      </c>
      <c r="C38" s="11"/>
      <c r="D38" s="176">
        <f>'SIG TECSAFINANCE'!D32</f>
        <v>0</v>
      </c>
      <c r="E38" s="19"/>
      <c r="F38" s="179">
        <f>'SIG TECSABOIS'!H36</f>
        <v>0</v>
      </c>
      <c r="G38" s="314"/>
      <c r="H38" s="179">
        <f>'SIG TECSABOIS Charpente'!H35</f>
        <v>0</v>
      </c>
      <c r="J38" s="183">
        <f>'SIG CHENE DECORS'!H36</f>
        <v>0</v>
      </c>
      <c r="L38" s="185">
        <f t="shared" si="0"/>
        <v>0</v>
      </c>
    </row>
    <row r="39" spans="1:13">
      <c r="D39" s="176"/>
      <c r="F39" s="176"/>
      <c r="H39" s="176"/>
      <c r="J39" s="176"/>
      <c r="L39" s="185"/>
    </row>
    <row r="40" spans="1:13" ht="15.75" thickBot="1">
      <c r="A40" s="24" t="s">
        <v>4</v>
      </c>
      <c r="B40" s="24"/>
      <c r="C40" s="24"/>
      <c r="D40" s="178">
        <f>D33+D35+D36-D37-D38</f>
        <v>56849.976000000024</v>
      </c>
      <c r="E40" s="312">
        <f>D40/D11</f>
        <v>0.1393381764705883</v>
      </c>
      <c r="F40" s="178">
        <f>F33+F35+F36-F37-F38</f>
        <v>113629.0839999998</v>
      </c>
      <c r="G40" s="312">
        <f>F40/F11</f>
        <v>4.8022448129167519E-2</v>
      </c>
      <c r="H40" s="178">
        <f>H33+H35+H36-H37-H38</f>
        <v>-11408.760200000019</v>
      </c>
      <c r="I40" s="312">
        <f>H40/H11</f>
        <v>-1.2267484086021525E-2</v>
      </c>
      <c r="J40" s="178">
        <f>J33+J35+J36-J37-J38</f>
        <v>74232.01399999985</v>
      </c>
      <c r="K40" s="312">
        <f>J40/J11</f>
        <v>2.0117076964769606E-2</v>
      </c>
      <c r="L40" s="175">
        <f>L33+L35+L36-L37-L38</f>
        <v>233302.31379999965</v>
      </c>
      <c r="M40" s="312">
        <f>L40/L11</f>
        <v>3.7381206300232943E-2</v>
      </c>
    </row>
    <row r="41" spans="1:13" ht="15.75" thickTop="1">
      <c r="D41" s="176"/>
      <c r="F41" s="176"/>
      <c r="H41" s="176"/>
      <c r="J41" s="176"/>
      <c r="L41" s="185"/>
    </row>
    <row r="42" spans="1:13">
      <c r="B42" s="9" t="s">
        <v>5</v>
      </c>
      <c r="D42" s="176">
        <f>'SIG TECSAFINANCE'!H36</f>
        <v>-15000</v>
      </c>
      <c r="F42" s="176">
        <f>'SIG TECSABOIS'!H40</f>
        <v>-23661.66</v>
      </c>
      <c r="H42" s="176">
        <f>'SIG TECSABOIS Charpente'!H39</f>
        <v>-17500</v>
      </c>
      <c r="J42" s="176">
        <f>'SIG CHENE DECORS'!H40</f>
        <v>-10110</v>
      </c>
      <c r="L42" s="185">
        <f t="shared" si="0"/>
        <v>-66271.66</v>
      </c>
    </row>
    <row r="43" spans="1:13">
      <c r="B43" s="9" t="s">
        <v>29</v>
      </c>
      <c r="D43" s="176">
        <f>'SIG TECSAFINANCE'!H37</f>
        <v>0</v>
      </c>
      <c r="F43" s="176">
        <f>'SIG TECSABOIS'!H41</f>
        <v>0</v>
      </c>
      <c r="H43" s="176">
        <f>'SIG TECSABOIS Charpente'!H40</f>
        <v>0</v>
      </c>
      <c r="J43" s="176">
        <f>'SIG CHENE DECORS'!H41</f>
        <v>-30000</v>
      </c>
      <c r="L43" s="185">
        <f t="shared" si="0"/>
        <v>-30000</v>
      </c>
    </row>
    <row r="44" spans="1:13">
      <c r="B44" s="9" t="s">
        <v>9</v>
      </c>
      <c r="D44" s="176">
        <f>'SIG TECSAFINANCE'!H38</f>
        <v>0</v>
      </c>
      <c r="F44" s="176">
        <f>'SIG TECSABOIS'!H42</f>
        <v>0</v>
      </c>
      <c r="H44" s="176">
        <f>'SIG TECSABOIS Charpente'!H41</f>
        <v>0</v>
      </c>
      <c r="J44" s="176">
        <f>'SIG CHENE DECORS'!H42</f>
        <v>0</v>
      </c>
      <c r="L44" s="185">
        <f t="shared" si="0"/>
        <v>0</v>
      </c>
    </row>
    <row r="45" spans="1:13">
      <c r="D45" s="176"/>
      <c r="F45" s="176"/>
      <c r="H45" s="176"/>
      <c r="J45" s="176"/>
      <c r="L45" s="185"/>
    </row>
    <row r="46" spans="1:13" ht="15.75" thickBot="1">
      <c r="A46" s="24" t="s">
        <v>10</v>
      </c>
      <c r="B46" s="24"/>
      <c r="C46" s="24"/>
      <c r="D46" s="178">
        <f>+D40+SUM(D42:D44)</f>
        <v>41849.976000000024</v>
      </c>
      <c r="E46" s="312">
        <f>+D46/D11</f>
        <v>0.10257347058823535</v>
      </c>
      <c r="F46" s="178">
        <f>+F40+SUM(F42:F44)</f>
        <v>89967.423999999795</v>
      </c>
      <c r="G46" s="312">
        <f>+F46/F11</f>
        <v>3.8022448129167517E-2</v>
      </c>
      <c r="H46" s="178">
        <f>+H40+SUM(H42:H44)</f>
        <v>-28908.760200000019</v>
      </c>
      <c r="I46" s="312">
        <f>+H46/H11</f>
        <v>-3.1084688387096795E-2</v>
      </c>
      <c r="J46" s="178">
        <f>+J40+SUM(J42:J44)</f>
        <v>34122.01399999985</v>
      </c>
      <c r="K46" s="312">
        <f>+J46/J11</f>
        <v>9.247158265582615E-3</v>
      </c>
      <c r="L46" s="175">
        <f>+L40+SUM(L42:L44)</f>
        <v>137030.65379999965</v>
      </c>
      <c r="M46" s="312">
        <f>+L46/L11</f>
        <v>2.1955938009019411E-2</v>
      </c>
    </row>
    <row r="47" spans="1:13" ht="15.75" thickTop="1">
      <c r="F47" s="3"/>
    </row>
    <row r="48" spans="1:13">
      <c r="F48" s="3"/>
      <c r="J48" s="53"/>
    </row>
    <row r="49" spans="6:10">
      <c r="F49" s="3"/>
      <c r="H49" s="13"/>
      <c r="J49" s="13"/>
    </row>
    <row r="50" spans="6:10">
      <c r="F50" s="3"/>
      <c r="H50" s="13"/>
      <c r="J50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1" orientation="landscape" horizontalDpi="300" verticalDpi="300" r:id="rId1"/>
  <headerFooter scaleWithDoc="0">
    <oddHeader>&amp;LDossier TECSAFINANCE
Annexe B2&amp;CSolde intermédiaire de gestion
Année 2015&amp;RConfidentiel</oddHeader>
    <oddFooter>&amp;L&amp;D&amp;R2/5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M50"/>
  <sheetViews>
    <sheetView showGridLines="0" zoomScale="87" zoomScaleNormal="87" workbookViewId="0">
      <selection activeCell="J5" sqref="J5"/>
    </sheetView>
  </sheetViews>
  <sheetFormatPr baseColWidth="10" defaultRowHeight="15"/>
  <cols>
    <col min="1" max="1" width="3.42578125" style="18" customWidth="1"/>
    <col min="2" max="2" width="3.42578125" style="9" customWidth="1"/>
    <col min="3" max="3" width="39.140625" style="9" customWidth="1"/>
    <col min="4" max="4" width="19.85546875" style="3" customWidth="1"/>
    <col min="5" max="5" width="8.28515625" style="299" customWidth="1"/>
    <col min="6" max="6" width="19.85546875" style="9" customWidth="1"/>
    <col min="7" max="7" width="8.28515625" style="301" customWidth="1"/>
    <col min="8" max="8" width="19.85546875" style="1" customWidth="1"/>
    <col min="9" max="9" width="8.28515625" style="301" customWidth="1"/>
    <col min="10" max="10" width="19.85546875" style="1" customWidth="1"/>
    <col min="11" max="11" width="8.28515625" style="301" customWidth="1"/>
    <col min="12" max="12" width="19.85546875" style="1" customWidth="1"/>
    <col min="13" max="13" width="8.28515625" style="302" customWidth="1"/>
    <col min="14" max="16384" width="11.42578125" style="1"/>
  </cols>
  <sheetData>
    <row r="2" spans="1:13" s="31" customFormat="1">
      <c r="A2" s="30"/>
      <c r="B2" s="30"/>
      <c r="C2" s="30"/>
      <c r="D2" s="30" t="s">
        <v>44</v>
      </c>
      <c r="E2" s="30"/>
      <c r="F2" s="31" t="s">
        <v>35</v>
      </c>
      <c r="H2" s="31" t="s">
        <v>45</v>
      </c>
      <c r="J2" s="31" t="s">
        <v>36</v>
      </c>
      <c r="L2" s="31" t="s">
        <v>89</v>
      </c>
    </row>
    <row r="3" spans="1:13" s="26" customFormat="1" ht="18.75">
      <c r="A3" s="7"/>
      <c r="B3" s="7"/>
      <c r="C3" s="7"/>
      <c r="D3" s="176"/>
      <c r="E3" s="311"/>
      <c r="F3" s="181"/>
      <c r="G3" s="8"/>
      <c r="H3" s="181"/>
      <c r="I3" s="8"/>
      <c r="J3" s="181"/>
      <c r="K3" s="8"/>
      <c r="L3" s="184"/>
      <c r="M3" s="31"/>
    </row>
    <row r="4" spans="1:13">
      <c r="A4" s="10"/>
      <c r="B4" s="11" t="s">
        <v>91</v>
      </c>
      <c r="C4" s="11"/>
      <c r="D4" s="176">
        <v>0</v>
      </c>
      <c r="E4" s="19"/>
      <c r="F4" s="176">
        <f>'SIG TECSABOIS'!J5</f>
        <v>1948431</v>
      </c>
      <c r="H4" s="176">
        <f>'SIG TECSABOIS Charpente'!J4</f>
        <v>1350000</v>
      </c>
      <c r="J4" s="176">
        <f>'SIG CHENE DECORS'!J9</f>
        <v>4605000</v>
      </c>
      <c r="L4" s="185">
        <f>+D4+F4+H4+J4</f>
        <v>7903431</v>
      </c>
      <c r="M4" s="319"/>
    </row>
    <row r="5" spans="1:13">
      <c r="A5" s="10"/>
      <c r="B5" s="11"/>
      <c r="C5" s="11" t="s">
        <v>59</v>
      </c>
      <c r="D5" s="177">
        <f>J23</f>
        <v>300000</v>
      </c>
      <c r="E5" s="19"/>
      <c r="F5" s="177">
        <f>'SIG TECSABOIS'!J6</f>
        <v>480000</v>
      </c>
      <c r="H5" s="177">
        <v>0</v>
      </c>
      <c r="J5" s="177">
        <v>0</v>
      </c>
      <c r="L5" s="185"/>
    </row>
    <row r="6" spans="1:13">
      <c r="A6" s="10"/>
      <c r="B6" s="11"/>
      <c r="C6" s="11" t="s">
        <v>61</v>
      </c>
      <c r="D6" s="177">
        <v>0</v>
      </c>
      <c r="E6" s="19"/>
      <c r="F6" s="177">
        <f>'SIG TECSABOIS'!J7</f>
        <v>90000</v>
      </c>
      <c r="H6" s="177">
        <v>0</v>
      </c>
      <c r="J6" s="177">
        <v>0</v>
      </c>
      <c r="L6" s="185"/>
    </row>
    <row r="7" spans="1:13">
      <c r="A7" s="10"/>
      <c r="B7" s="11"/>
      <c r="C7" s="11" t="s">
        <v>60</v>
      </c>
      <c r="D7" s="177">
        <f>H23</f>
        <v>84000</v>
      </c>
      <c r="E7" s="19"/>
      <c r="F7" s="177">
        <f>'SIG TECSABOIS'!J8</f>
        <v>90000</v>
      </c>
      <c r="H7" s="177">
        <v>0</v>
      </c>
      <c r="J7" s="177">
        <v>0</v>
      </c>
      <c r="L7" s="185"/>
    </row>
    <row r="8" spans="1:13">
      <c r="A8" s="10"/>
      <c r="B8" s="11"/>
      <c r="C8" s="11" t="s">
        <v>88</v>
      </c>
      <c r="D8" s="177">
        <f>F23</f>
        <v>144000</v>
      </c>
      <c r="E8" s="19"/>
      <c r="F8" s="177">
        <v>0</v>
      </c>
      <c r="H8" s="177">
        <v>0</v>
      </c>
      <c r="J8" s="177">
        <v>0</v>
      </c>
      <c r="L8" s="185"/>
    </row>
    <row r="9" spans="1:13">
      <c r="A9" s="10"/>
      <c r="B9" s="11" t="s">
        <v>43</v>
      </c>
      <c r="C9" s="11"/>
      <c r="D9" s="176">
        <v>0</v>
      </c>
      <c r="E9" s="19"/>
      <c r="F9" s="176">
        <f>'SIG TECSABOIS'!J9</f>
        <v>0</v>
      </c>
      <c r="H9" s="176">
        <v>0</v>
      </c>
      <c r="J9" s="176">
        <v>0</v>
      </c>
      <c r="L9" s="185">
        <f>+D9+F9+H9+J9</f>
        <v>0</v>
      </c>
    </row>
    <row r="10" spans="1:13">
      <c r="A10" s="10"/>
      <c r="B10" s="11"/>
      <c r="C10" s="11"/>
      <c r="D10" s="176"/>
      <c r="E10" s="19"/>
      <c r="F10" s="176"/>
      <c r="H10" s="176"/>
      <c r="J10" s="176"/>
      <c r="L10" s="185"/>
    </row>
    <row r="11" spans="1:13" ht="15.75" thickBot="1">
      <c r="A11" s="24" t="s">
        <v>0</v>
      </c>
      <c r="B11" s="24"/>
      <c r="C11" s="24"/>
      <c r="D11" s="178">
        <f>SUM(D4:D10)</f>
        <v>528000</v>
      </c>
      <c r="E11" s="312">
        <v>1</v>
      </c>
      <c r="F11" s="178">
        <f>SUM(F4:F10)</f>
        <v>2608431</v>
      </c>
      <c r="G11" s="312">
        <v>1</v>
      </c>
      <c r="H11" s="178">
        <f>SUM(H4:H10)</f>
        <v>1350000</v>
      </c>
      <c r="I11" s="312">
        <v>1</v>
      </c>
      <c r="J11" s="178">
        <f>SUM(J4:J10)</f>
        <v>4605000</v>
      </c>
      <c r="K11" s="312">
        <v>1</v>
      </c>
      <c r="L11" s="175">
        <f>SUM(L4:L10)</f>
        <v>7903431</v>
      </c>
      <c r="M11" s="312">
        <v>1</v>
      </c>
    </row>
    <row r="12" spans="1:13" ht="15.75" thickTop="1">
      <c r="A12" s="10"/>
      <c r="B12" s="11"/>
      <c r="C12" s="11"/>
      <c r="D12" s="176"/>
      <c r="E12" s="19"/>
      <c r="F12" s="176"/>
      <c r="H12" s="176"/>
      <c r="J12" s="176"/>
      <c r="L12" s="185"/>
    </row>
    <row r="13" spans="1:13">
      <c r="A13" s="10"/>
      <c r="B13" s="11" t="s">
        <v>46</v>
      </c>
      <c r="C13" s="11"/>
      <c r="D13" s="176">
        <v>0</v>
      </c>
      <c r="E13" s="302"/>
      <c r="F13" s="176">
        <f>'SIG TECSABOIS'!J13</f>
        <v>1145886.105</v>
      </c>
      <c r="G13" s="301">
        <f>F13/F4</f>
        <v>0.58810710002047806</v>
      </c>
      <c r="H13" s="176">
        <f>'SIG TECSABOIS Charpente'!J11</f>
        <v>342000</v>
      </c>
      <c r="J13" s="176">
        <f>'SIG CHENE DECORS'!J11</f>
        <v>1447764.216</v>
      </c>
      <c r="L13" s="185">
        <f>+D13+F13+H13+J13</f>
        <v>2935650.321</v>
      </c>
    </row>
    <row r="14" spans="1:13">
      <c r="A14" s="10"/>
      <c r="B14" s="11"/>
      <c r="C14" s="11" t="s">
        <v>62</v>
      </c>
      <c r="D14" s="177">
        <v>0</v>
      </c>
      <c r="E14" s="302"/>
      <c r="F14" s="177">
        <v>0</v>
      </c>
      <c r="H14" s="177">
        <f>'SIG TECSABOIS Charpente'!J12</f>
        <v>90000</v>
      </c>
      <c r="J14" s="177">
        <f>'SIG CHENE DECORS'!J12</f>
        <v>540000</v>
      </c>
      <c r="L14" s="185"/>
    </row>
    <row r="15" spans="1:13">
      <c r="A15" s="10"/>
      <c r="B15" s="11"/>
      <c r="C15" s="11" t="s">
        <v>86</v>
      </c>
      <c r="D15" s="177">
        <v>0</v>
      </c>
      <c r="E15" s="302"/>
      <c r="F15" s="177">
        <v>0</v>
      </c>
      <c r="H15" s="177">
        <v>0</v>
      </c>
      <c r="J15" s="177">
        <f>'SIG CHENE DECORS'!J13</f>
        <v>90000</v>
      </c>
      <c r="L15" s="185"/>
    </row>
    <row r="16" spans="1:13">
      <c r="A16" s="10"/>
      <c r="B16" s="11" t="s">
        <v>37</v>
      </c>
      <c r="C16" s="11"/>
      <c r="D16" s="176">
        <v>0</v>
      </c>
      <c r="E16" s="302"/>
      <c r="F16" s="176">
        <v>0</v>
      </c>
      <c r="H16" s="176">
        <f>'SIG TECSABOIS Charpente'!J13</f>
        <v>0</v>
      </c>
      <c r="J16" s="176">
        <f>'SIG CHENE DECORS'!J14</f>
        <v>0</v>
      </c>
      <c r="L16" s="185">
        <f>+D16+F16+H16+J16</f>
        <v>0</v>
      </c>
    </row>
    <row r="17" spans="1:13">
      <c r="A17" s="10"/>
      <c r="B17" s="11"/>
      <c r="C17" s="11"/>
      <c r="D17" s="176"/>
      <c r="E17" s="19"/>
      <c r="F17" s="176"/>
      <c r="H17" s="176"/>
      <c r="J17" s="176"/>
      <c r="L17" s="185"/>
      <c r="M17" s="300"/>
    </row>
    <row r="18" spans="1:13" ht="15.75" thickBot="1">
      <c r="A18" s="24" t="s">
        <v>32</v>
      </c>
      <c r="B18" s="24"/>
      <c r="C18" s="24"/>
      <c r="D18" s="178">
        <f>D11-SUM(D13:D16)</f>
        <v>528000</v>
      </c>
      <c r="E18" s="312">
        <f>+D18/D11</f>
        <v>1</v>
      </c>
      <c r="F18" s="178">
        <f>F11-SUM(F13:F16)</f>
        <v>1462544.895</v>
      </c>
      <c r="G18" s="312">
        <f>+F18/F11</f>
        <v>0.5606990926729517</v>
      </c>
      <c r="H18" s="178">
        <f>H11-SUM(H13:H16)</f>
        <v>918000</v>
      </c>
      <c r="I18" s="312">
        <f>+H18/H11</f>
        <v>0.68</v>
      </c>
      <c r="J18" s="178">
        <f>J11-SUM(J13:J16)</f>
        <v>2527235.784</v>
      </c>
      <c r="K18" s="312">
        <f>+J18/J11</f>
        <v>0.54880255895765473</v>
      </c>
      <c r="L18" s="175">
        <f>L11-SUM(L13:L16)</f>
        <v>4967780.6789999995</v>
      </c>
      <c r="M18" s="312">
        <f>+L18/L11</f>
        <v>0.62856001134190953</v>
      </c>
    </row>
    <row r="19" spans="1:13" ht="15.75" thickTop="1">
      <c r="A19" s="10"/>
      <c r="B19" s="11"/>
      <c r="C19" s="11"/>
      <c r="D19" s="176"/>
      <c r="E19" s="19"/>
      <c r="F19" s="176"/>
      <c r="H19" s="176"/>
      <c r="J19" s="176"/>
      <c r="L19" s="316"/>
    </row>
    <row r="20" spans="1:13">
      <c r="A20" s="10"/>
      <c r="B20" s="9" t="s">
        <v>38</v>
      </c>
      <c r="D20" s="176">
        <f>'SIG TECSAFINANCE'!J17</f>
        <v>43009.734720000008</v>
      </c>
      <c r="F20" s="182"/>
      <c r="H20" s="176"/>
      <c r="J20" s="176"/>
      <c r="L20" s="185">
        <f>+D20+F20+H20+J20</f>
        <v>43009.734720000008</v>
      </c>
    </row>
    <row r="21" spans="1:13">
      <c r="A21" s="10"/>
      <c r="C21" s="9" t="s">
        <v>57</v>
      </c>
      <c r="D21" s="176">
        <v>0</v>
      </c>
      <c r="F21" s="176">
        <f>'SIG TECSABOIS'!J19</f>
        <v>143463.70499999999</v>
      </c>
      <c r="H21" s="176">
        <f>'SIG TECSABOIS Charpente'!J18</f>
        <v>81000</v>
      </c>
      <c r="J21" s="176">
        <f>'SIG CHENE DECORS'!J19</f>
        <v>607860</v>
      </c>
      <c r="L21" s="185">
        <f>+D21+F21+H21+J21</f>
        <v>832323.70499999996</v>
      </c>
    </row>
    <row r="22" spans="1:13">
      <c r="A22" s="10"/>
      <c r="C22" s="9" t="s">
        <v>58</v>
      </c>
      <c r="D22" s="176">
        <v>0</v>
      </c>
      <c r="F22" s="176">
        <f>'SIG TECSABOIS'!J20</f>
        <v>318136.53878000006</v>
      </c>
      <c r="H22" s="176">
        <f>'SIG TECSABOIS Charpente'!J19</f>
        <v>131649.56350600001</v>
      </c>
      <c r="J22" s="176">
        <f>'SIG CHENE DECORS'!J20</f>
        <v>274460.24059</v>
      </c>
      <c r="L22" s="185">
        <f>+D22+F22+H22+J22</f>
        <v>724246.3428760001</v>
      </c>
    </row>
    <row r="23" spans="1:13">
      <c r="A23" s="10"/>
      <c r="C23" s="1" t="str">
        <f>'SIG 2015'!C23</f>
        <v>Charges Interco Tecsa Finance</v>
      </c>
      <c r="D23" s="176">
        <v>0</v>
      </c>
      <c r="F23" s="177">
        <f>'SIG TECSABOIS'!J21</f>
        <v>144000</v>
      </c>
      <c r="H23" s="177">
        <f>'SIG TECSABOIS Charpente'!J20</f>
        <v>84000</v>
      </c>
      <c r="J23" s="177">
        <f>'SIG CHENE DECORS'!J21</f>
        <v>300000</v>
      </c>
      <c r="L23" s="185"/>
    </row>
    <row r="24" spans="1:13">
      <c r="A24" s="10"/>
      <c r="B24" s="11"/>
      <c r="C24" s="11"/>
      <c r="D24" s="176"/>
      <c r="E24" s="19"/>
      <c r="F24" s="176"/>
      <c r="H24" s="176"/>
      <c r="J24" s="176"/>
      <c r="L24" s="185"/>
    </row>
    <row r="25" spans="1:13" ht="15.75" thickBot="1">
      <c r="A25" s="24" t="s">
        <v>1</v>
      </c>
      <c r="B25" s="24"/>
      <c r="C25" s="24"/>
      <c r="D25" s="178">
        <f>D18-SUM(D20:D23)</f>
        <v>484990.26527999999</v>
      </c>
      <c r="E25" s="312">
        <f>D25/D11</f>
        <v>0.91854216909090902</v>
      </c>
      <c r="F25" s="178">
        <f>F18-SUM(F20:F23)</f>
        <v>856944.65122</v>
      </c>
      <c r="G25" s="312">
        <f>F25/F11</f>
        <v>0.3285287788789506</v>
      </c>
      <c r="H25" s="178">
        <f>H18-SUM(H20:H23)</f>
        <v>621350.43649400002</v>
      </c>
      <c r="I25" s="312">
        <f>H25/H11</f>
        <v>0.46025958258814814</v>
      </c>
      <c r="J25" s="178">
        <f>J18-SUM(J20:J23)</f>
        <v>1344915.5434099999</v>
      </c>
      <c r="K25" s="312">
        <f>J25/J11</f>
        <v>0.29205549259717695</v>
      </c>
      <c r="L25" s="175">
        <f>L18-SUM(L20:L23)</f>
        <v>3368200.8964039995</v>
      </c>
      <c r="M25" s="312">
        <f>L25/L11</f>
        <v>0.42616945683513902</v>
      </c>
    </row>
    <row r="26" spans="1:13" ht="15.75" thickTop="1">
      <c r="A26" s="10"/>
      <c r="B26" s="11"/>
      <c r="C26" s="11"/>
      <c r="D26" s="176"/>
      <c r="E26" s="19"/>
      <c r="F26" s="176"/>
      <c r="H26" s="176"/>
      <c r="J26" s="176"/>
      <c r="L26" s="185"/>
    </row>
    <row r="27" spans="1:13">
      <c r="A27" s="18" t="s">
        <v>6</v>
      </c>
      <c r="B27" s="9" t="s">
        <v>49</v>
      </c>
      <c r="D27" s="176">
        <f>'SIG TECSAFINANCE'!J21</f>
        <v>0</v>
      </c>
      <c r="F27" s="176">
        <f>'SIG TECSABOIS'!J26</f>
        <v>0</v>
      </c>
      <c r="H27" s="176">
        <f>'SIG TECSABOIS Charpente'!J25</f>
        <v>0</v>
      </c>
      <c r="J27" s="176">
        <f>'SIG CHENE DECORS'!J26</f>
        <v>0</v>
      </c>
      <c r="L27" s="185">
        <f>+D27+F27+H27+J27</f>
        <v>0</v>
      </c>
    </row>
    <row r="28" spans="1:13" s="5" customFormat="1">
      <c r="A28" s="14" t="s">
        <v>47</v>
      </c>
      <c r="B28" s="15" t="s">
        <v>39</v>
      </c>
      <c r="C28" s="15"/>
      <c r="D28" s="179">
        <f>'SIG TECSAFINANCE'!J22</f>
        <v>11777.5</v>
      </c>
      <c r="E28" s="313"/>
      <c r="F28" s="179">
        <f>'SIG TECSABOIS'!J27</f>
        <v>28490</v>
      </c>
      <c r="G28" s="314"/>
      <c r="H28" s="179">
        <f>'SIG TECSABOIS Charpente'!J26</f>
        <v>25389.279999999999</v>
      </c>
      <c r="I28" s="301"/>
      <c r="J28" s="179">
        <f>'SIG CHENE DECORS'!J27</f>
        <v>65438.356339999998</v>
      </c>
      <c r="K28" s="301"/>
      <c r="L28" s="185">
        <f>+D28+F28+H28+J28</f>
        <v>131095.13634</v>
      </c>
      <c r="M28" s="304"/>
    </row>
    <row r="29" spans="1:13">
      <c r="A29" s="17" t="s">
        <v>47</v>
      </c>
      <c r="B29" s="11" t="s">
        <v>50</v>
      </c>
      <c r="C29" s="11"/>
      <c r="D29" s="176">
        <f>'SIG TECSAFINANCE'!J23</f>
        <v>168250</v>
      </c>
      <c r="E29" s="19"/>
      <c r="F29" s="179">
        <f>'SIG TECSABOIS'!J28</f>
        <v>407000</v>
      </c>
      <c r="G29" s="314"/>
      <c r="H29" s="179">
        <f>'SIG TECSABOIS Charpente'!J27</f>
        <v>362704</v>
      </c>
      <c r="J29" s="179">
        <f>'SIG CHENE DECORS'!J28</f>
        <v>780000</v>
      </c>
      <c r="L29" s="185">
        <f>+D29+F29+H29+J29</f>
        <v>1717954</v>
      </c>
    </row>
    <row r="30" spans="1:13">
      <c r="A30" s="17" t="s">
        <v>47</v>
      </c>
      <c r="B30" s="11" t="str">
        <f>'SIG 2015'!B30</f>
        <v>Rémunération du dirigeant</v>
      </c>
      <c r="C30" s="11"/>
      <c r="D30" s="176">
        <f>'SIG TECSAFINANCE'!J24</f>
        <v>84000</v>
      </c>
      <c r="E30" s="19"/>
      <c r="F30" s="179">
        <v>0</v>
      </c>
      <c r="G30" s="314"/>
      <c r="H30" s="179">
        <v>0</v>
      </c>
      <c r="J30" s="179">
        <v>0</v>
      </c>
      <c r="L30" s="185">
        <f>+D30+F30+H30+J30</f>
        <v>84000</v>
      </c>
    </row>
    <row r="31" spans="1:13">
      <c r="A31" s="17" t="s">
        <v>47</v>
      </c>
      <c r="B31" s="11" t="s">
        <v>40</v>
      </c>
      <c r="C31" s="11"/>
      <c r="D31" s="176">
        <f>'SIG TECSAFINANCE'!J25</f>
        <v>100900</v>
      </c>
      <c r="E31" s="19"/>
      <c r="F31" s="179">
        <f>'SIG TECSABOIS'!J29</f>
        <v>162800</v>
      </c>
      <c r="G31" s="314"/>
      <c r="H31" s="179">
        <f>'SIG TECSABOIS Charpente'!J28</f>
        <v>145081.60000000001</v>
      </c>
      <c r="J31" s="179">
        <f>'SIG CHENE DECORS'!J29</f>
        <v>312000</v>
      </c>
      <c r="L31" s="185">
        <f>+D31+F31+H31+J31</f>
        <v>720781.6</v>
      </c>
    </row>
    <row r="32" spans="1:13">
      <c r="D32" s="176"/>
      <c r="F32" s="176"/>
      <c r="H32" s="176"/>
      <c r="J32" s="176"/>
      <c r="L32" s="185"/>
    </row>
    <row r="33" spans="1:13" ht="15.75" thickBot="1">
      <c r="A33" s="24" t="s">
        <v>2</v>
      </c>
      <c r="B33" s="24"/>
      <c r="C33" s="24"/>
      <c r="D33" s="178">
        <f>+D25+D27-SUM(D28:D31)</f>
        <v>120062.76527999999</v>
      </c>
      <c r="E33" s="312">
        <f>+D33/D11</f>
        <v>0.22739160090909089</v>
      </c>
      <c r="F33" s="178">
        <f>+F25+F27-SUM(F28:F31)</f>
        <v>258654.65122</v>
      </c>
      <c r="G33" s="312">
        <f>+F33/F11</f>
        <v>9.916100951874901E-2</v>
      </c>
      <c r="H33" s="178">
        <f>+H25+H27-SUM(H28:H31)</f>
        <v>88175.556494000019</v>
      </c>
      <c r="I33" s="312">
        <f>+H33/H11</f>
        <v>6.5315227032592613E-2</v>
      </c>
      <c r="J33" s="178">
        <f>+J25+J27-SUM(J28:J31)</f>
        <v>187477.18706999999</v>
      </c>
      <c r="K33" s="312">
        <f>+J33/J11</f>
        <v>4.0711658429967421E-2</v>
      </c>
      <c r="L33" s="175">
        <f>+L25+L27-SUM(L28:L31)</f>
        <v>714370.16006399971</v>
      </c>
      <c r="M33" s="312">
        <f>+L33/L11</f>
        <v>9.0387346971713897E-2</v>
      </c>
    </row>
    <row r="34" spans="1:13" ht="15.75" thickTop="1">
      <c r="D34" s="176"/>
      <c r="F34" s="176"/>
      <c r="H34" s="176"/>
      <c r="J34" s="176"/>
      <c r="L34" s="185"/>
    </row>
    <row r="35" spans="1:13">
      <c r="A35" s="18" t="s">
        <v>6</v>
      </c>
      <c r="B35" s="9" t="s">
        <v>48</v>
      </c>
      <c r="D35" s="176">
        <f>'SIG TECSAFINANCE'!J29</f>
        <v>0</v>
      </c>
      <c r="F35" s="183">
        <f>'SIG TECSABOIS'!J33</f>
        <v>0</v>
      </c>
      <c r="H35" s="183">
        <f>'SIG TECSABOIS Charpente'!J32</f>
        <v>0</v>
      </c>
      <c r="J35" s="183">
        <f>'SIG CHENE DECORS'!J33</f>
        <v>0</v>
      </c>
      <c r="L35" s="185">
        <f>+D35+F35+H35+J35</f>
        <v>0</v>
      </c>
    </row>
    <row r="36" spans="1:13">
      <c r="A36" s="10" t="s">
        <v>6</v>
      </c>
      <c r="B36" s="11" t="s">
        <v>42</v>
      </c>
      <c r="C36" s="11"/>
      <c r="D36" s="176">
        <f>'SIG TECSAFINANCE'!J30</f>
        <v>0</v>
      </c>
      <c r="E36" s="19"/>
      <c r="F36" s="176">
        <f>'SIG TECSABOIS'!J34</f>
        <v>0</v>
      </c>
      <c r="H36" s="176">
        <f>'SIG TECSABOIS Charpente'!J33</f>
        <v>0</v>
      </c>
      <c r="J36" s="176">
        <f>'SIG CHENE DECORS'!J34</f>
        <v>0</v>
      </c>
      <c r="L36" s="185">
        <f>+D36+F36+H36+J36</f>
        <v>0</v>
      </c>
    </row>
    <row r="37" spans="1:13">
      <c r="A37" s="18" t="s">
        <v>47</v>
      </c>
      <c r="B37" s="9" t="s">
        <v>3</v>
      </c>
      <c r="D37" s="176">
        <f>'SIG TECSAFINANCE'!J31</f>
        <v>0</v>
      </c>
      <c r="F37" s="176">
        <f>'SIG TECSABOIS'!J35</f>
        <v>129121</v>
      </c>
      <c r="H37" s="176">
        <f>'SIG TECSABOIS Charpente'!J34</f>
        <v>38500</v>
      </c>
      <c r="J37" s="176">
        <f>'SIG CHENE DECORS'!J35</f>
        <v>29000</v>
      </c>
      <c r="L37" s="185">
        <f>+D37+F37+H37+J37</f>
        <v>196621</v>
      </c>
    </row>
    <row r="38" spans="1:13">
      <c r="A38" s="17" t="s">
        <v>47</v>
      </c>
      <c r="B38" s="11" t="s">
        <v>41</v>
      </c>
      <c r="C38" s="11"/>
      <c r="D38" s="176">
        <f>'SIG TECSAFINANCE'!J32</f>
        <v>0</v>
      </c>
      <c r="E38" s="19"/>
      <c r="F38" s="179">
        <f>'SIG TECSABOIS'!J36</f>
        <v>0</v>
      </c>
      <c r="G38" s="314"/>
      <c r="H38" s="179">
        <f>'SIG TECSABOIS Charpente'!J35</f>
        <v>0</v>
      </c>
      <c r="J38" s="179">
        <f>'SIG CHENE DECORS'!J36</f>
        <v>0</v>
      </c>
      <c r="L38" s="185">
        <f>+D38+F38+H38+J38</f>
        <v>0</v>
      </c>
    </row>
    <row r="39" spans="1:13">
      <c r="D39" s="176"/>
      <c r="F39" s="176"/>
      <c r="H39" s="176"/>
      <c r="J39" s="176"/>
      <c r="L39" s="185"/>
    </row>
    <row r="40" spans="1:13" ht="15.75" thickBot="1">
      <c r="A40" s="24" t="s">
        <v>4</v>
      </c>
      <c r="B40" s="24"/>
      <c r="C40" s="24"/>
      <c r="D40" s="178">
        <f>D33+D35+D36-D37-D38</f>
        <v>120062.76527999999</v>
      </c>
      <c r="E40" s="312">
        <f>D40/D11</f>
        <v>0.22739160090909089</v>
      </c>
      <c r="F40" s="178">
        <f>F33+F35+F36-F37-F38</f>
        <v>129533.65122</v>
      </c>
      <c r="G40" s="312">
        <f>F40/F11</f>
        <v>4.9659604267852972E-2</v>
      </c>
      <c r="H40" s="178">
        <f>H33+H35+H36-H37-H38</f>
        <v>49675.556494000019</v>
      </c>
      <c r="I40" s="312">
        <f>H40/H11</f>
        <v>3.6796708514074086E-2</v>
      </c>
      <c r="J40" s="178">
        <f>J33+J35+J36-J37-J38</f>
        <v>158477.18706999999</v>
      </c>
      <c r="K40" s="312">
        <f>J40/J11</f>
        <v>3.4414155715526598E-2</v>
      </c>
      <c r="L40" s="175">
        <f>L33+L35+L36-L37-L38</f>
        <v>517749.16006399971</v>
      </c>
      <c r="M40" s="312">
        <f>L40/L11</f>
        <v>6.550941737379623E-2</v>
      </c>
    </row>
    <row r="41" spans="1:13" ht="15.75" thickTop="1">
      <c r="D41" s="176"/>
      <c r="F41" s="176"/>
      <c r="H41" s="176"/>
      <c r="J41" s="176"/>
      <c r="L41" s="185"/>
    </row>
    <row r="42" spans="1:13">
      <c r="B42" s="9" t="s">
        <v>5</v>
      </c>
      <c r="D42" s="176">
        <f>'SIG TECSAFINANCE'!J36</f>
        <v>-10000</v>
      </c>
      <c r="F42" s="176">
        <f>'SIG TECSABOIS'!J40</f>
        <v>-26084.31</v>
      </c>
      <c r="H42" s="176">
        <f>'SIG TECSABOIS Charpente'!J39</f>
        <v>-13500</v>
      </c>
      <c r="J42" s="176">
        <f>'SIG CHENE DECORS'!J40</f>
        <v>-9210</v>
      </c>
      <c r="L42" s="185">
        <f>+D42+F42+H42+J42</f>
        <v>-58794.31</v>
      </c>
    </row>
    <row r="43" spans="1:13">
      <c r="B43" s="9" t="s">
        <v>29</v>
      </c>
      <c r="D43" s="176">
        <f>'SIG TECSAFINANCE'!J37</f>
        <v>0</v>
      </c>
      <c r="F43" s="176">
        <f>'SIG TECSABOIS'!J41</f>
        <v>0</v>
      </c>
      <c r="H43" s="176">
        <f>'SIG TECSABOIS Charpente'!J40</f>
        <v>0</v>
      </c>
      <c r="J43" s="176">
        <f>'SIG CHENE DECORS'!J41</f>
        <v>0</v>
      </c>
      <c r="L43" s="185">
        <f>+D43+F43+H43+J43</f>
        <v>0</v>
      </c>
    </row>
    <row r="44" spans="1:13">
      <c r="B44" s="9" t="s">
        <v>9</v>
      </c>
      <c r="D44" s="176">
        <f>'SIG TECSAFINANCE'!J38</f>
        <v>0</v>
      </c>
      <c r="F44" s="176">
        <f>'SIG TECSABOIS'!J42</f>
        <v>0</v>
      </c>
      <c r="H44" s="176">
        <f>'SIG TECSABOIS Charpente'!J41</f>
        <v>0</v>
      </c>
      <c r="J44" s="176">
        <f>'SIG CHENE DECORS'!J42</f>
        <v>0</v>
      </c>
      <c r="L44" s="185">
        <f>+D44+F44+H44+J44</f>
        <v>0</v>
      </c>
    </row>
    <row r="45" spans="1:13">
      <c r="D45" s="176"/>
      <c r="F45" s="176"/>
      <c r="H45" s="176"/>
      <c r="J45" s="176"/>
      <c r="L45" s="185"/>
    </row>
    <row r="46" spans="1:13" ht="15.75" thickBot="1">
      <c r="A46" s="24" t="s">
        <v>10</v>
      </c>
      <c r="B46" s="24"/>
      <c r="C46" s="24"/>
      <c r="D46" s="178">
        <f>+D40+SUM(D42:D44)</f>
        <v>110062.76527999999</v>
      </c>
      <c r="E46" s="312">
        <f>+D46/D11</f>
        <v>0.20845220696969696</v>
      </c>
      <c r="F46" s="178">
        <f>+F40+SUM(F42:F44)</f>
        <v>103449.34122</v>
      </c>
      <c r="G46" s="312">
        <f>+F46/F11</f>
        <v>3.9659604267852977E-2</v>
      </c>
      <c r="H46" s="178">
        <f>+H40+SUM(H42:H44)</f>
        <v>36175.556494000019</v>
      </c>
      <c r="I46" s="312">
        <f>+H46/H11</f>
        <v>2.6796708514074088E-2</v>
      </c>
      <c r="J46" s="178">
        <f>+J40+SUM(J42:J44)</f>
        <v>149267.18706999999</v>
      </c>
      <c r="K46" s="312">
        <f>+J46/J11</f>
        <v>3.2414155715526596E-2</v>
      </c>
      <c r="L46" s="175">
        <f>+L40+SUM(L42:L44)</f>
        <v>458954.85006399971</v>
      </c>
      <c r="M46" s="312">
        <f>+L46/L11</f>
        <v>5.8070330475966665E-2</v>
      </c>
    </row>
    <row r="47" spans="1:13" ht="15.75" thickTop="1">
      <c r="F47" s="3"/>
    </row>
    <row r="48" spans="1:13">
      <c r="F48" s="3"/>
      <c r="J48" s="53"/>
    </row>
    <row r="49" spans="6:10">
      <c r="F49" s="3"/>
      <c r="H49" s="13"/>
      <c r="J49" s="13"/>
    </row>
    <row r="50" spans="6:10">
      <c r="F50" s="3"/>
      <c r="H50" s="13"/>
      <c r="J50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1" orientation="landscape" horizontalDpi="300" verticalDpi="300" r:id="rId1"/>
  <headerFooter scaleWithDoc="0">
    <oddHeader>&amp;LDossier TECSAFINANCE
Annexe B2&amp;CSolde intermédiaire de gestion
Année 2016&amp;RConfidentiel</oddHeader>
    <oddFooter>&amp;L&amp;D&amp;R3/5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O50"/>
  <sheetViews>
    <sheetView showGridLines="0" tabSelected="1" zoomScale="78" zoomScaleNormal="78" workbookViewId="0">
      <selection activeCell="G50" sqref="G50"/>
    </sheetView>
  </sheetViews>
  <sheetFormatPr baseColWidth="10" defaultRowHeight="15"/>
  <cols>
    <col min="1" max="1" width="3.42578125" style="18" customWidth="1"/>
    <col min="2" max="2" width="3.42578125" style="9" customWidth="1"/>
    <col min="3" max="3" width="39.140625" style="9" customWidth="1"/>
    <col min="4" max="4" width="19.85546875" style="3" customWidth="1"/>
    <col min="5" max="5" width="8.28515625" style="299" customWidth="1"/>
    <col min="6" max="6" width="19.85546875" style="9" customWidth="1"/>
    <col min="7" max="7" width="8.28515625" style="301" customWidth="1"/>
    <col min="8" max="8" width="19.85546875" style="1" customWidth="1"/>
    <col min="9" max="9" width="8.28515625" style="301" customWidth="1"/>
    <col min="10" max="10" width="19.85546875" style="1" customWidth="1"/>
    <col min="11" max="11" width="8.7109375" style="301" customWidth="1"/>
    <col min="12" max="12" width="19.7109375" style="1" customWidth="1"/>
    <col min="13" max="13" width="8.28515625" style="302" customWidth="1"/>
    <col min="14" max="14" width="11.42578125" style="1"/>
    <col min="15" max="15" width="11.5703125" style="1" bestFit="1" customWidth="1"/>
    <col min="16" max="16384" width="11.42578125" style="1"/>
  </cols>
  <sheetData>
    <row r="2" spans="1:13" s="31" customFormat="1">
      <c r="A2" s="30"/>
      <c r="B2" s="30"/>
      <c r="C2" s="30"/>
      <c r="D2" s="30" t="s">
        <v>44</v>
      </c>
      <c r="E2" s="30"/>
      <c r="F2" s="31" t="s">
        <v>35</v>
      </c>
      <c r="H2" s="31" t="s">
        <v>45</v>
      </c>
      <c r="J2" s="31" t="s">
        <v>36</v>
      </c>
      <c r="L2" s="31" t="s">
        <v>89</v>
      </c>
    </row>
    <row r="3" spans="1:13" s="26" customFormat="1" ht="18.75">
      <c r="A3" s="7"/>
      <c r="B3" s="7"/>
      <c r="C3" s="7"/>
      <c r="D3" s="176"/>
      <c r="E3" s="311"/>
      <c r="F3" s="181"/>
      <c r="G3" s="8"/>
      <c r="H3" s="181"/>
      <c r="I3" s="8"/>
      <c r="J3" s="181"/>
      <c r="K3" s="8"/>
      <c r="L3" s="184"/>
      <c r="M3" s="31"/>
    </row>
    <row r="4" spans="1:13">
      <c r="A4" s="10"/>
      <c r="B4" s="11" t="s">
        <v>91</v>
      </c>
      <c r="C4" s="11"/>
      <c r="D4" s="176">
        <v>0</v>
      </c>
      <c r="E4" s="19"/>
      <c r="F4" s="176">
        <f>'SIG TECSABOIS'!L5</f>
        <v>2272594</v>
      </c>
      <c r="H4" s="176">
        <f>'SIG TECSABOIS Charpente'!L4</f>
        <v>1750000</v>
      </c>
      <c r="J4" s="176">
        <f>'SIG CHENE DECORS'!L9</f>
        <v>5055000</v>
      </c>
      <c r="L4" s="185">
        <f>+D4+F4+H4+J4</f>
        <v>9077594</v>
      </c>
    </row>
    <row r="5" spans="1:13">
      <c r="A5" s="10"/>
      <c r="B5" s="11"/>
      <c r="C5" s="11" t="s">
        <v>59</v>
      </c>
      <c r="D5" s="177">
        <f>J23</f>
        <v>300000</v>
      </c>
      <c r="E5" s="321"/>
      <c r="F5" s="177">
        <f>'SIG TECSABOIS'!L6</f>
        <v>480000</v>
      </c>
      <c r="G5" s="320"/>
      <c r="H5" s="177">
        <v>0</v>
      </c>
      <c r="I5" s="320"/>
      <c r="J5" s="177">
        <v>0</v>
      </c>
      <c r="L5" s="185"/>
    </row>
    <row r="6" spans="1:13">
      <c r="A6" s="10"/>
      <c r="B6" s="11"/>
      <c r="C6" s="11" t="s">
        <v>61</v>
      </c>
      <c r="D6" s="177">
        <v>0</v>
      </c>
      <c r="E6" s="321"/>
      <c r="F6" s="177">
        <f>'SIG TECSABOIS'!L7</f>
        <v>90000</v>
      </c>
      <c r="G6" s="320"/>
      <c r="H6" s="177">
        <v>0</v>
      </c>
      <c r="I6" s="320"/>
      <c r="J6" s="177">
        <v>0</v>
      </c>
      <c r="L6" s="185"/>
    </row>
    <row r="7" spans="1:13">
      <c r="A7" s="10"/>
      <c r="B7" s="11"/>
      <c r="C7" s="11" t="s">
        <v>60</v>
      </c>
      <c r="D7" s="177">
        <f>H23</f>
        <v>102000</v>
      </c>
      <c r="E7" s="321"/>
      <c r="F7" s="177">
        <f>'SIG TECSABOIS'!L8</f>
        <v>175000</v>
      </c>
      <c r="G7" s="320"/>
      <c r="H7" s="177">
        <v>0</v>
      </c>
      <c r="I7" s="320"/>
      <c r="J7" s="177">
        <v>0</v>
      </c>
      <c r="L7" s="185"/>
    </row>
    <row r="8" spans="1:13">
      <c r="A8" s="10"/>
      <c r="B8" s="11"/>
      <c r="C8" s="11" t="s">
        <v>63</v>
      </c>
      <c r="D8" s="177">
        <f>F23</f>
        <v>180000</v>
      </c>
      <c r="E8" s="321"/>
      <c r="F8" s="177">
        <v>0</v>
      </c>
      <c r="G8" s="320"/>
      <c r="H8" s="177">
        <v>0</v>
      </c>
      <c r="I8" s="320"/>
      <c r="J8" s="177">
        <v>0</v>
      </c>
      <c r="L8" s="185"/>
    </row>
    <row r="9" spans="1:13">
      <c r="A9" s="10"/>
      <c r="B9" s="11" t="s">
        <v>43</v>
      </c>
      <c r="C9" s="11"/>
      <c r="D9" s="176">
        <v>0</v>
      </c>
      <c r="E9" s="19"/>
      <c r="F9" s="176">
        <f>'SIG TECSABOIS'!L9</f>
        <v>0</v>
      </c>
      <c r="H9" s="176">
        <v>0</v>
      </c>
      <c r="J9" s="176">
        <f>'SIG CHENE DECORS'!L7</f>
        <v>0</v>
      </c>
      <c r="L9" s="185">
        <f t="shared" ref="L9:L44" si="0">+D9+F9+H9+J9</f>
        <v>0</v>
      </c>
    </row>
    <row r="10" spans="1:13">
      <c r="A10" s="10"/>
      <c r="B10" s="11"/>
      <c r="C10" s="11"/>
      <c r="D10" s="176"/>
      <c r="E10" s="19"/>
      <c r="F10" s="176"/>
      <c r="H10" s="176"/>
      <c r="J10" s="176"/>
      <c r="L10" s="185"/>
    </row>
    <row r="11" spans="1:13" ht="15.75" thickBot="1">
      <c r="A11" s="24" t="s">
        <v>0</v>
      </c>
      <c r="B11" s="24"/>
      <c r="C11" s="24"/>
      <c r="D11" s="178">
        <f>SUM(D4:D10)</f>
        <v>582000</v>
      </c>
      <c r="E11" s="312">
        <v>1</v>
      </c>
      <c r="F11" s="178">
        <f>SUM(F4:F10)</f>
        <v>3017594</v>
      </c>
      <c r="G11" s="312">
        <v>1</v>
      </c>
      <c r="H11" s="178">
        <f>SUM(H4:H10)</f>
        <v>1750000</v>
      </c>
      <c r="I11" s="312">
        <v>1</v>
      </c>
      <c r="J11" s="178">
        <f>SUM(J4:J10)</f>
        <v>5055000</v>
      </c>
      <c r="K11" s="312">
        <v>1</v>
      </c>
      <c r="L11" s="175">
        <f>SUM(L4:L10)</f>
        <v>9077594</v>
      </c>
      <c r="M11" s="312">
        <v>1</v>
      </c>
    </row>
    <row r="12" spans="1:13" ht="15.75" thickTop="1">
      <c r="A12" s="10"/>
      <c r="B12" s="11"/>
      <c r="C12" s="11"/>
      <c r="D12" s="176"/>
      <c r="E12" s="19"/>
      <c r="F12" s="176"/>
      <c r="H12" s="176"/>
      <c r="J12" s="176"/>
      <c r="L12" s="185"/>
    </row>
    <row r="13" spans="1:13">
      <c r="A13" s="10"/>
      <c r="B13" s="11" t="s">
        <v>46</v>
      </c>
      <c r="C13" s="11"/>
      <c r="D13" s="176">
        <v>0</v>
      </c>
      <c r="E13" s="302"/>
      <c r="F13" s="176">
        <f>'SIG TECSABOIS'!L13</f>
        <v>1317417.3</v>
      </c>
      <c r="G13" s="301">
        <v>0.44</v>
      </c>
      <c r="H13" s="176">
        <f>'SIG TECSABOIS Charpente'!L11</f>
        <v>402500</v>
      </c>
      <c r="J13" s="176">
        <f>'SIG CHENE DECORS'!L11</f>
        <v>1590714.6669999999</v>
      </c>
      <c r="L13" s="185">
        <f t="shared" si="0"/>
        <v>3310631.9670000002</v>
      </c>
    </row>
    <row r="14" spans="1:13">
      <c r="A14" s="10"/>
      <c r="B14" s="11"/>
      <c r="C14" s="11" t="s">
        <v>62</v>
      </c>
      <c r="D14" s="177">
        <v>0</v>
      </c>
      <c r="E14" s="322"/>
      <c r="F14" s="177">
        <v>0</v>
      </c>
      <c r="G14" s="320"/>
      <c r="H14" s="177">
        <f>'SIG TECSABOIS Charpente'!L12</f>
        <v>175000</v>
      </c>
      <c r="I14" s="320"/>
      <c r="J14" s="177">
        <f>'SIG CHENE DECORS'!L12</f>
        <v>600000</v>
      </c>
      <c r="L14" s="185"/>
    </row>
    <row r="15" spans="1:13">
      <c r="A15" s="10"/>
      <c r="B15" s="11"/>
      <c r="C15" s="11" t="s">
        <v>86</v>
      </c>
      <c r="D15" s="177">
        <v>0</v>
      </c>
      <c r="E15" s="322"/>
      <c r="F15" s="177">
        <v>0</v>
      </c>
      <c r="G15" s="320"/>
      <c r="H15" s="177">
        <v>0</v>
      </c>
      <c r="I15" s="320"/>
      <c r="J15" s="177">
        <f>'SIG CHENE DECORS'!L13</f>
        <v>90000</v>
      </c>
      <c r="L15" s="185"/>
    </row>
    <row r="16" spans="1:13">
      <c r="A16" s="10"/>
      <c r="B16" s="11" t="s">
        <v>37</v>
      </c>
      <c r="C16" s="11"/>
      <c r="D16" s="176">
        <v>0</v>
      </c>
      <c r="E16" s="302"/>
      <c r="F16" s="176">
        <v>0</v>
      </c>
      <c r="H16" s="176">
        <f>'SIG TECSABOIS Charpente'!L13</f>
        <v>0</v>
      </c>
      <c r="J16" s="176">
        <f>'SIG CHENE DECORS'!L14</f>
        <v>0</v>
      </c>
      <c r="L16" s="185">
        <f t="shared" si="0"/>
        <v>0</v>
      </c>
    </row>
    <row r="17" spans="1:13">
      <c r="A17" s="10"/>
      <c r="B17" s="11"/>
      <c r="C17" s="11"/>
      <c r="D17" s="176"/>
      <c r="E17" s="19"/>
      <c r="F17" s="176"/>
      <c r="H17" s="176"/>
      <c r="J17" s="176"/>
      <c r="L17" s="185"/>
      <c r="M17" s="300"/>
    </row>
    <row r="18" spans="1:13" ht="15.75" thickBot="1">
      <c r="A18" s="24" t="s">
        <v>32</v>
      </c>
      <c r="B18" s="24"/>
      <c r="C18" s="24"/>
      <c r="D18" s="178">
        <f>D11-SUM(D13:D16)</f>
        <v>582000</v>
      </c>
      <c r="E18" s="312">
        <f>+D18/D11</f>
        <v>1</v>
      </c>
      <c r="F18" s="178">
        <f>F11-SUM(F13:F16)</f>
        <v>1700176.7</v>
      </c>
      <c r="G18" s="312">
        <f>+F18/F11</f>
        <v>0.5634212886160298</v>
      </c>
      <c r="H18" s="178">
        <f>H11-SUM(H13:H16)</f>
        <v>1172500</v>
      </c>
      <c r="I18" s="312">
        <f>+H18/H11</f>
        <v>0.67</v>
      </c>
      <c r="J18" s="178">
        <f>J11-SUM(J13:J16)</f>
        <v>2774285.3330000001</v>
      </c>
      <c r="K18" s="312">
        <f>+J18/J11</f>
        <v>0.5488200460929773</v>
      </c>
      <c r="L18" s="175">
        <f>L11-SUM(L13:L16)</f>
        <v>5766962.0329999998</v>
      </c>
      <c r="M18" s="312">
        <f>+L18/L11</f>
        <v>0.63529631673326648</v>
      </c>
    </row>
    <row r="19" spans="1:13" ht="15.75" thickTop="1">
      <c r="A19" s="10"/>
      <c r="B19" s="11"/>
      <c r="C19" s="11"/>
      <c r="D19" s="176"/>
      <c r="E19" s="19"/>
      <c r="F19" s="176"/>
      <c r="H19" s="176"/>
      <c r="J19" s="176"/>
      <c r="L19" s="185"/>
    </row>
    <row r="20" spans="1:13">
      <c r="A20" s="10"/>
      <c r="B20" s="9" t="s">
        <v>38</v>
      </c>
      <c r="D20" s="176">
        <f>'SIG TECSAFINANCE'!L17</f>
        <v>44300.026761600006</v>
      </c>
      <c r="F20" s="182"/>
      <c r="H20" s="176"/>
      <c r="J20" s="176"/>
      <c r="L20" s="185">
        <f t="shared" si="0"/>
        <v>44300.026761600006</v>
      </c>
    </row>
    <row r="21" spans="1:13">
      <c r="A21" s="10"/>
      <c r="C21" s="9" t="s">
        <v>57</v>
      </c>
      <c r="D21" s="176">
        <v>0</v>
      </c>
      <c r="F21" s="176">
        <f>'SIG TECSABOIS'!L19</f>
        <v>165967.67000000001</v>
      </c>
      <c r="H21" s="176">
        <f>'SIG TECSABOIS Charpente'!L18</f>
        <v>105000</v>
      </c>
      <c r="J21" s="176">
        <f>'SIG CHENE DECORS'!L19</f>
        <v>667260</v>
      </c>
      <c r="L21" s="185">
        <f t="shared" si="0"/>
        <v>938227.67</v>
      </c>
    </row>
    <row r="22" spans="1:13">
      <c r="A22" s="10"/>
      <c r="C22" s="9" t="s">
        <v>58</v>
      </c>
      <c r="D22" s="176">
        <v>0</v>
      </c>
      <c r="F22" s="176">
        <f>'SIG TECSABOIS'!L20</f>
        <v>327680.63494340004</v>
      </c>
      <c r="H22" s="176">
        <f>'SIG TECSABOIS Charpente'!L19</f>
        <v>135599.05041118001</v>
      </c>
      <c r="J22" s="176">
        <f>'SIG CHENE DECORS'!L20</f>
        <v>282694.0478077</v>
      </c>
      <c r="L22" s="185">
        <f t="shared" si="0"/>
        <v>745973.73316228006</v>
      </c>
    </row>
    <row r="23" spans="1:13">
      <c r="A23" s="10"/>
      <c r="C23" s="1" t="str">
        <f>'SIG 2015'!C23</f>
        <v>Charges Interco Tecsa Finance</v>
      </c>
      <c r="D23" s="177">
        <v>0</v>
      </c>
      <c r="E23" s="323"/>
      <c r="F23" s="177">
        <f>'SIG TECSABOIS'!L21</f>
        <v>180000</v>
      </c>
      <c r="G23" s="320"/>
      <c r="H23" s="177">
        <f>'SIG TECSABOIS Charpente'!L20</f>
        <v>102000</v>
      </c>
      <c r="I23" s="320"/>
      <c r="J23" s="177">
        <f>'SIG CHENE DECORS'!L21</f>
        <v>300000</v>
      </c>
      <c r="L23" s="185"/>
    </row>
    <row r="24" spans="1:13">
      <c r="A24" s="10"/>
      <c r="B24" s="11"/>
      <c r="C24" s="11"/>
      <c r="D24" s="176"/>
      <c r="E24" s="19"/>
      <c r="F24" s="176"/>
      <c r="H24" s="176"/>
      <c r="J24" s="176"/>
      <c r="L24" s="185"/>
    </row>
    <row r="25" spans="1:13" ht="15.75" thickBot="1">
      <c r="A25" s="24" t="s">
        <v>1</v>
      </c>
      <c r="B25" s="24"/>
      <c r="C25" s="24"/>
      <c r="D25" s="178">
        <f>D18-SUM(D20:D23)</f>
        <v>537699.97323839995</v>
      </c>
      <c r="E25" s="312">
        <f>D25/D11</f>
        <v>0.92388311552989677</v>
      </c>
      <c r="F25" s="178">
        <f>F18-SUM(F20:F23)</f>
        <v>1026528.3950565999</v>
      </c>
      <c r="G25" s="312">
        <f>+F25/F11</f>
        <v>0.34018108302727268</v>
      </c>
      <c r="H25" s="178">
        <f>H18-SUM(H20:H23)</f>
        <v>829900.94958881999</v>
      </c>
      <c r="I25" s="312">
        <f>H25/H11</f>
        <v>0.4742291140507543</v>
      </c>
      <c r="J25" s="178">
        <f>J18-SUM(J20:J23)</f>
        <v>1524331.2851923001</v>
      </c>
      <c r="K25" s="312">
        <f>J25/J11</f>
        <v>0.30154921566613258</v>
      </c>
      <c r="L25" s="175">
        <f>L18-SUM(L20:L23)</f>
        <v>4038460.6030761199</v>
      </c>
      <c r="M25" s="312">
        <f>L25/L11</f>
        <v>0.44488226760043686</v>
      </c>
    </row>
    <row r="26" spans="1:13" ht="15.75" thickTop="1">
      <c r="A26" s="10"/>
      <c r="B26" s="11"/>
      <c r="C26" s="11"/>
      <c r="D26" s="176"/>
      <c r="E26" s="19"/>
      <c r="F26" s="176"/>
      <c r="H26" s="176"/>
      <c r="J26" s="176"/>
      <c r="L26" s="185"/>
    </row>
    <row r="27" spans="1:13">
      <c r="A27" s="18" t="s">
        <v>6</v>
      </c>
      <c r="B27" s="9" t="s">
        <v>49</v>
      </c>
      <c r="D27" s="176">
        <f>'SIG TECSAFINANCE'!L21</f>
        <v>0</v>
      </c>
      <c r="F27" s="176">
        <f>'SIG TECSABOIS'!L26</f>
        <v>0</v>
      </c>
      <c r="H27" s="176">
        <f>'SIG TECSABOIS Charpente'!L25</f>
        <v>0</v>
      </c>
      <c r="J27" s="176">
        <f>'SIG CHENE DECORS'!L26</f>
        <v>0</v>
      </c>
      <c r="L27" s="185">
        <f t="shared" si="0"/>
        <v>0</v>
      </c>
    </row>
    <row r="28" spans="1:13" s="5" customFormat="1">
      <c r="A28" s="14" t="s">
        <v>47</v>
      </c>
      <c r="B28" s="15" t="s">
        <v>39</v>
      </c>
      <c r="C28" s="15"/>
      <c r="D28" s="176">
        <f>'SIG TECSAFINANCE'!L22</f>
        <v>14070</v>
      </c>
      <c r="E28" s="313"/>
      <c r="F28" s="176">
        <f>'SIG TECSABOIS'!L27</f>
        <v>32410</v>
      </c>
      <c r="G28" s="314"/>
      <c r="H28" s="176">
        <f>'SIG TECSABOIS Charpente'!L26</f>
        <v>29519.279999999999</v>
      </c>
      <c r="I28" s="301"/>
      <c r="J28" s="176">
        <f>'SIG CHENE DECORS'!L27</f>
        <v>79170</v>
      </c>
      <c r="K28" s="301"/>
      <c r="L28" s="185">
        <f t="shared" si="0"/>
        <v>155169.28</v>
      </c>
      <c r="M28" s="304"/>
    </row>
    <row r="29" spans="1:13">
      <c r="A29" s="17" t="s">
        <v>47</v>
      </c>
      <c r="B29" s="11" t="s">
        <v>50</v>
      </c>
      <c r="C29" s="11"/>
      <c r="D29" s="176">
        <f>'SIG TECSAFINANCE'!L23</f>
        <v>201000</v>
      </c>
      <c r="E29" s="19"/>
      <c r="F29" s="176">
        <f>'SIG TECSABOIS'!L28</f>
        <v>463000</v>
      </c>
      <c r="G29" s="314"/>
      <c r="H29" s="176">
        <f>'SIG TECSABOIS Charpente'!L27</f>
        <v>421704</v>
      </c>
      <c r="J29" s="176">
        <f>'SIG CHENE DECORS'!L28</f>
        <v>870000</v>
      </c>
      <c r="L29" s="185">
        <f t="shared" si="0"/>
        <v>1955704</v>
      </c>
    </row>
    <row r="30" spans="1:13">
      <c r="A30" s="17" t="s">
        <v>47</v>
      </c>
      <c r="B30" s="11" t="str">
        <f>'SIG 2015'!B30</f>
        <v>Rémunération du dirigeant</v>
      </c>
      <c r="C30" s="11"/>
      <c r="D30" s="176">
        <f>'SIG TECSAFINANCE'!L24</f>
        <v>96000</v>
      </c>
      <c r="E30" s="19"/>
      <c r="F30" s="176">
        <v>0</v>
      </c>
      <c r="G30" s="314"/>
      <c r="H30" s="176">
        <v>0</v>
      </c>
      <c r="J30" s="176">
        <v>0</v>
      </c>
      <c r="L30" s="185">
        <f t="shared" si="0"/>
        <v>96000</v>
      </c>
    </row>
    <row r="31" spans="1:13">
      <c r="A31" s="17" t="s">
        <v>47</v>
      </c>
      <c r="B31" s="11" t="s">
        <v>40</v>
      </c>
      <c r="C31" s="11"/>
      <c r="D31" s="176">
        <f>'SIG TECSAFINANCE'!L25</f>
        <v>118800</v>
      </c>
      <c r="E31" s="19"/>
      <c r="F31" s="176">
        <f>'SIG TECSABOIS'!L29</f>
        <v>185200</v>
      </c>
      <c r="G31" s="314"/>
      <c r="H31" s="176">
        <f>'SIG TECSABOIS Charpente'!L28</f>
        <v>168681.60000000001</v>
      </c>
      <c r="J31" s="176">
        <f>'SIG CHENE DECORS'!L29</f>
        <v>348000</v>
      </c>
      <c r="L31" s="185">
        <f t="shared" si="0"/>
        <v>820681.6</v>
      </c>
    </row>
    <row r="32" spans="1:13">
      <c r="D32" s="176"/>
      <c r="F32" s="176"/>
      <c r="H32" s="176"/>
      <c r="J32" s="176"/>
      <c r="L32" s="185"/>
    </row>
    <row r="33" spans="1:15" ht="15.75" thickBot="1">
      <c r="A33" s="24" t="s">
        <v>2</v>
      </c>
      <c r="B33" s="24"/>
      <c r="C33" s="24"/>
      <c r="D33" s="178">
        <f>+D25+D27-SUM(D28:D31)</f>
        <v>107829.97323839995</v>
      </c>
      <c r="E33" s="312">
        <f>+D33/D11</f>
        <v>0.18527486810721641</v>
      </c>
      <c r="F33" s="178">
        <f>+F25+F27-SUM(F28:F31)</f>
        <v>345918.39505659987</v>
      </c>
      <c r="G33" s="312">
        <f>+F33/F11</f>
        <v>0.11463384241107315</v>
      </c>
      <c r="H33" s="178">
        <f>+H25+H27-SUM(H28:H31)</f>
        <v>209996.06958881998</v>
      </c>
      <c r="I33" s="312">
        <f>+H33/H11</f>
        <v>0.11999775405075427</v>
      </c>
      <c r="J33" s="178">
        <f>+J25+J27-SUM(J28:J31)</f>
        <v>227161.2851923001</v>
      </c>
      <c r="K33" s="312">
        <f>+J33/J11</f>
        <v>4.493793970174087E-2</v>
      </c>
      <c r="L33" s="175">
        <f>+L25+L27-SUM(L28:L31)</f>
        <v>1010905.72307612</v>
      </c>
      <c r="M33" s="312">
        <f>+L33/L11</f>
        <v>0.11136273808633874</v>
      </c>
    </row>
    <row r="34" spans="1:15" ht="15.75" thickTop="1">
      <c r="D34" s="176"/>
      <c r="F34" s="176"/>
      <c r="H34" s="176"/>
      <c r="J34" s="176"/>
      <c r="L34" s="185"/>
    </row>
    <row r="35" spans="1:15">
      <c r="A35" s="18" t="s">
        <v>6</v>
      </c>
      <c r="B35" s="9" t="s">
        <v>48</v>
      </c>
      <c r="D35" s="176">
        <f>'SIG TECSAFINANCE'!L29</f>
        <v>0</v>
      </c>
      <c r="F35" s="176">
        <f>'SIG TECSABOIS'!L33</f>
        <v>0</v>
      </c>
      <c r="H35" s="183">
        <f>'SIG TECSABOIS Charpente'!L32</f>
        <v>0</v>
      </c>
      <c r="J35" s="183">
        <f>'SIG CHENE DECORS'!L33</f>
        <v>0</v>
      </c>
      <c r="L35" s="185">
        <f t="shared" si="0"/>
        <v>0</v>
      </c>
    </row>
    <row r="36" spans="1:15">
      <c r="A36" s="10" t="s">
        <v>6</v>
      </c>
      <c r="B36" s="11" t="s">
        <v>42</v>
      </c>
      <c r="C36" s="11"/>
      <c r="D36" s="176">
        <f>'SIG TECSAFINANCE'!L30</f>
        <v>0</v>
      </c>
      <c r="E36" s="19"/>
      <c r="F36" s="176">
        <f>'SIG TECSABOIS'!L34</f>
        <v>0</v>
      </c>
      <c r="H36" s="183">
        <f>'SIG TECSABOIS Charpente'!L33</f>
        <v>0</v>
      </c>
      <c r="J36" s="183">
        <f>'SIG CHENE DECORS'!L34</f>
        <v>0</v>
      </c>
      <c r="L36" s="185">
        <f t="shared" si="0"/>
        <v>0</v>
      </c>
    </row>
    <row r="37" spans="1:15">
      <c r="A37" s="18" t="s">
        <v>47</v>
      </c>
      <c r="B37" s="9" t="s">
        <v>3</v>
      </c>
      <c r="D37" s="176">
        <f>'SIG TECSAFINANCE'!L31</f>
        <v>0</v>
      </c>
      <c r="F37" s="176">
        <f>'SIG TECSABOIS'!L35</f>
        <v>159121</v>
      </c>
      <c r="H37" s="176">
        <f>'SIG TECSABOIS Charpente'!L34</f>
        <v>38500</v>
      </c>
      <c r="J37" s="176">
        <f>'SIG CHENE DECORS'!L35</f>
        <v>40000</v>
      </c>
      <c r="L37" s="185">
        <f t="shared" si="0"/>
        <v>237621</v>
      </c>
    </row>
    <row r="38" spans="1:15">
      <c r="A38" s="17" t="s">
        <v>47</v>
      </c>
      <c r="B38" s="11" t="s">
        <v>41</v>
      </c>
      <c r="C38" s="11"/>
      <c r="D38" s="176">
        <f>'SIG TECSAFINANCE'!L32</f>
        <v>0</v>
      </c>
      <c r="E38" s="19"/>
      <c r="F38" s="176">
        <f>'SIG TECSABOIS'!L36</f>
        <v>0</v>
      </c>
      <c r="G38" s="314"/>
      <c r="H38" s="183">
        <f>'SIG TECSABOIS Charpente'!L35</f>
        <v>0</v>
      </c>
      <c r="J38" s="183">
        <f>'SIG CHENE DECORS'!L36</f>
        <v>0</v>
      </c>
      <c r="L38" s="185">
        <f t="shared" si="0"/>
        <v>0</v>
      </c>
    </row>
    <row r="39" spans="1:15">
      <c r="D39" s="176"/>
      <c r="F39" s="176"/>
      <c r="H39" s="176"/>
      <c r="J39" s="183"/>
      <c r="L39" s="185"/>
    </row>
    <row r="40" spans="1:15" ht="15.75" thickBot="1">
      <c r="A40" s="24" t="s">
        <v>4</v>
      </c>
      <c r="B40" s="24"/>
      <c r="C40" s="24"/>
      <c r="D40" s="178">
        <f>D33+D35+D36-D37-D38</f>
        <v>107829.97323839995</v>
      </c>
      <c r="E40" s="312">
        <f>D40/D11</f>
        <v>0.18527486810721641</v>
      </c>
      <c r="F40" s="178">
        <f>F33+F35+F36-F37-F38</f>
        <v>186797.39505659987</v>
      </c>
      <c r="G40" s="312">
        <f>F40/F11</f>
        <v>6.190275930314014E-2</v>
      </c>
      <c r="H40" s="178">
        <f>H33+H35+H36-H37-H38</f>
        <v>171496.06958881998</v>
      </c>
      <c r="I40" s="312">
        <f>H40/H11</f>
        <v>9.7997754050754282E-2</v>
      </c>
      <c r="J40" s="178">
        <f>J33+J35+J36-J37-J38</f>
        <v>187161.2851923001</v>
      </c>
      <c r="K40" s="312">
        <f>J40/J11</f>
        <v>3.7024982233887262E-2</v>
      </c>
      <c r="L40" s="175">
        <f>L33+L35+L36-L37-L38</f>
        <v>773284.72307612002</v>
      </c>
      <c r="M40" s="312">
        <f>L40/L11</f>
        <v>8.5186088194307882E-2</v>
      </c>
    </row>
    <row r="41" spans="1:15" ht="15.75" thickTop="1">
      <c r="D41" s="176"/>
      <c r="F41" s="176"/>
      <c r="H41" s="176"/>
      <c r="J41" s="176"/>
      <c r="L41" s="185"/>
    </row>
    <row r="42" spans="1:15">
      <c r="B42" s="9" t="s">
        <v>5</v>
      </c>
      <c r="D42" s="176">
        <f>'SIG TECSAFINANCE'!L36</f>
        <v>-5000</v>
      </c>
      <c r="F42" s="176">
        <f>'SIG TECSABOIS'!L40</f>
        <v>-30175.940000000002</v>
      </c>
      <c r="H42" s="176">
        <f>'SIG TECSABOIS Charpente'!L39</f>
        <v>-17500</v>
      </c>
      <c r="J42" s="176">
        <f>'SIG CHENE DECORS'!L40</f>
        <v>-10110</v>
      </c>
      <c r="L42" s="185">
        <f t="shared" si="0"/>
        <v>-62785.94</v>
      </c>
    </row>
    <row r="43" spans="1:15">
      <c r="B43" s="9" t="s">
        <v>29</v>
      </c>
      <c r="D43" s="176">
        <f>'SIG TECSAFINANCE'!L37</f>
        <v>0</v>
      </c>
      <c r="F43" s="176">
        <f>'SIG TECSABOIS'!L41</f>
        <v>0</v>
      </c>
      <c r="H43" s="176">
        <f>'SIG TECSABOIS Charpente'!L40</f>
        <v>0</v>
      </c>
      <c r="J43" s="176">
        <f>'SIG CHENE DECORS'!L41</f>
        <v>0</v>
      </c>
      <c r="L43" s="185">
        <f t="shared" si="0"/>
        <v>0</v>
      </c>
    </row>
    <row r="44" spans="1:15">
      <c r="B44" s="9" t="s">
        <v>9</v>
      </c>
      <c r="D44" s="176">
        <f>'SIG TECSAFINANCE'!L38</f>
        <v>0</v>
      </c>
      <c r="F44" s="176">
        <f>'SIG TECSABOIS'!L42</f>
        <v>0</v>
      </c>
      <c r="H44" s="176">
        <f>'SIG TECSABOIS Charpente'!L41</f>
        <v>0</v>
      </c>
      <c r="J44" s="176">
        <f>'SIG CHENE DECORS'!L42</f>
        <v>0</v>
      </c>
      <c r="L44" s="185">
        <f t="shared" si="0"/>
        <v>0</v>
      </c>
    </row>
    <row r="45" spans="1:15">
      <c r="D45" s="176"/>
      <c r="F45" s="176"/>
      <c r="H45" s="176"/>
      <c r="J45" s="176"/>
      <c r="L45" s="185"/>
    </row>
    <row r="46" spans="1:15" ht="15.75" thickBot="1">
      <c r="A46" s="24" t="s">
        <v>10</v>
      </c>
      <c r="B46" s="24"/>
      <c r="C46" s="24"/>
      <c r="D46" s="178">
        <f>+D40+SUM(D42:D44)</f>
        <v>102829.97323839995</v>
      </c>
      <c r="E46" s="312">
        <f>+D46/D11</f>
        <v>0.17668380281512019</v>
      </c>
      <c r="F46" s="178">
        <f>+F40+SUM(F42:F44)</f>
        <v>156621.45505659987</v>
      </c>
      <c r="G46" s="312">
        <f>+F46/F11</f>
        <v>5.1902759303140138E-2</v>
      </c>
      <c r="H46" s="178">
        <f>+H40+SUM(H42:H44)</f>
        <v>153996.06958881998</v>
      </c>
      <c r="I46" s="312">
        <f>+H46/H11</f>
        <v>8.7997754050754273E-2</v>
      </c>
      <c r="J46" s="178">
        <f>+J40+SUM(J42:J44)</f>
        <v>177051.2851923001</v>
      </c>
      <c r="K46" s="312">
        <f>+J46/J11</f>
        <v>3.502498223388726E-2</v>
      </c>
      <c r="L46" s="175">
        <f>+L40+SUM(L42:L44)</f>
        <v>710498.78307612007</v>
      </c>
      <c r="M46" s="312">
        <f>+L46/L11</f>
        <v>7.8269504350615374E-2</v>
      </c>
      <c r="O46" s="4">
        <f>F46+H46+J46+D46</f>
        <v>590498.78307611984</v>
      </c>
    </row>
    <row r="47" spans="1:15" ht="15.75" thickTop="1">
      <c r="F47" s="3"/>
      <c r="L47" s="4"/>
    </row>
    <row r="48" spans="1:15">
      <c r="F48" s="3"/>
      <c r="J48" s="53"/>
      <c r="L48" s="4"/>
    </row>
    <row r="49" spans="6:10">
      <c r="F49" s="3"/>
      <c r="H49" s="13"/>
      <c r="J49" s="13"/>
    </row>
    <row r="50" spans="6:10">
      <c r="F50" s="3"/>
      <c r="H50" s="13"/>
      <c r="J50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1" orientation="landscape" horizontalDpi="300" verticalDpi="300" r:id="rId1"/>
  <headerFooter scaleWithDoc="0">
    <oddHeader>&amp;LDossier TECSAFINANCE
Annexe B2&amp;CSolde intermédiaire de gestion
Année 2017&amp;RConfidentiel</oddHeader>
    <oddFooter>&amp;L&amp;D&amp;R4/5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I41"/>
  <sheetViews>
    <sheetView showGridLines="0" topLeftCell="A2" zoomScale="80" zoomScaleNormal="80" workbookViewId="0">
      <selection activeCell="C28" sqref="C28"/>
    </sheetView>
  </sheetViews>
  <sheetFormatPr baseColWidth="10" defaultRowHeight="15"/>
  <cols>
    <col min="1" max="1" width="3.85546875" style="18" customWidth="1"/>
    <col min="2" max="2" width="3.85546875" style="9" customWidth="1"/>
    <col min="3" max="3" width="39.140625" style="9" customWidth="1"/>
    <col min="4" max="4" width="19.85546875" style="1" customWidth="1"/>
    <col min="5" max="5" width="8.28515625" style="301" customWidth="1"/>
    <col min="6" max="6" width="19.85546875" style="1" customWidth="1"/>
    <col min="7" max="7" width="8.28515625" style="301" customWidth="1"/>
    <col min="8" max="8" width="19.85546875" style="1" customWidth="1"/>
    <col min="9" max="9" width="8.28515625" style="301" customWidth="1"/>
    <col min="10" max="16384" width="11.42578125" style="1"/>
  </cols>
  <sheetData>
    <row r="2" spans="1:9" s="31" customFormat="1">
      <c r="A2" s="30"/>
      <c r="B2" s="30"/>
      <c r="C2" s="30"/>
      <c r="D2" s="31">
        <v>2015</v>
      </c>
      <c r="F2" s="31">
        <v>2016</v>
      </c>
      <c r="H2" s="31">
        <v>2017</v>
      </c>
    </row>
    <row r="3" spans="1:9" s="26" customFormat="1" ht="18.75">
      <c r="A3" s="7"/>
      <c r="B3" s="7"/>
      <c r="C3" s="7"/>
      <c r="D3" s="317"/>
      <c r="E3" s="8"/>
      <c r="F3" s="317"/>
      <c r="G3" s="8"/>
      <c r="H3" s="317"/>
      <c r="I3" s="8"/>
    </row>
    <row r="4" spans="1:9">
      <c r="A4" s="10"/>
      <c r="B4" s="11" t="s">
        <v>91</v>
      </c>
      <c r="C4" s="11"/>
      <c r="D4" s="318">
        <f>+'SIG 2015'!L4</f>
        <v>6241166</v>
      </c>
      <c r="F4" s="318">
        <f>+'SIG 2016'!L4</f>
        <v>7903431</v>
      </c>
      <c r="H4" s="318">
        <f>+'SIG 2017'!L4</f>
        <v>9077594</v>
      </c>
    </row>
    <row r="5" spans="1:9">
      <c r="A5" s="10"/>
      <c r="B5" s="11" t="s">
        <v>43</v>
      </c>
      <c r="C5" s="11"/>
      <c r="D5" s="318">
        <f>+'SIG 2015'!L9</f>
        <v>0</v>
      </c>
      <c r="F5" s="318">
        <f>+'SIG 2016'!L9</f>
        <v>0</v>
      </c>
      <c r="H5" s="318">
        <f>+'SIG 2017'!L9</f>
        <v>0</v>
      </c>
    </row>
    <row r="6" spans="1:9">
      <c r="A6" s="10"/>
      <c r="B6" s="11"/>
      <c r="C6" s="11"/>
      <c r="D6" s="318"/>
      <c r="F6" s="318"/>
      <c r="H6" s="318"/>
    </row>
    <row r="7" spans="1:9" ht="15.75" thickBot="1">
      <c r="A7" s="24" t="s">
        <v>0</v>
      </c>
      <c r="B7" s="24"/>
      <c r="C7" s="24"/>
      <c r="D7" s="175">
        <f>SUM(D4:D5)</f>
        <v>6241166</v>
      </c>
      <c r="E7" s="312">
        <v>1</v>
      </c>
      <c r="F7" s="175">
        <f>SUM(F4:F5)</f>
        <v>7903431</v>
      </c>
      <c r="G7" s="312">
        <v>1</v>
      </c>
      <c r="H7" s="175">
        <f>SUM(H4:H5)</f>
        <v>9077594</v>
      </c>
      <c r="I7" s="312">
        <v>1</v>
      </c>
    </row>
    <row r="8" spans="1:9" ht="15.75" thickTop="1">
      <c r="A8" s="10"/>
      <c r="B8" s="11"/>
      <c r="C8" s="11"/>
      <c r="D8" s="318"/>
      <c r="F8" s="318"/>
      <c r="H8" s="318"/>
    </row>
    <row r="9" spans="1:9">
      <c r="A9" s="10"/>
      <c r="B9" s="11" t="s">
        <v>46</v>
      </c>
      <c r="C9" s="11"/>
      <c r="D9" s="318">
        <f>+'SIG 2015'!L13</f>
        <v>2255435.125</v>
      </c>
      <c r="E9" s="330"/>
      <c r="F9" s="318">
        <f>+'SIG 2016'!L13</f>
        <v>2935650.321</v>
      </c>
      <c r="G9" s="330"/>
      <c r="H9" s="318">
        <f>+'SIG 2017'!L13</f>
        <v>3310631.9670000002</v>
      </c>
      <c r="I9" s="330"/>
    </row>
    <row r="10" spans="1:9">
      <c r="A10" s="10"/>
      <c r="B10" s="11" t="s">
        <v>37</v>
      </c>
      <c r="C10" s="11"/>
      <c r="D10" s="318">
        <f>+'SIG 2015'!L16</f>
        <v>0</v>
      </c>
      <c r="F10" s="318">
        <f>+'SIG 2016'!L16</f>
        <v>0</v>
      </c>
      <c r="H10" s="318">
        <f>+'SIG 2017'!L16</f>
        <v>0</v>
      </c>
    </row>
    <row r="11" spans="1:9">
      <c r="A11" s="10"/>
      <c r="B11" s="11"/>
      <c r="C11" s="11"/>
      <c r="D11" s="318"/>
      <c r="F11" s="318"/>
      <c r="H11" s="318"/>
    </row>
    <row r="12" spans="1:9" ht="15.75" thickBot="1">
      <c r="A12" s="24" t="s">
        <v>32</v>
      </c>
      <c r="B12" s="24"/>
      <c r="C12" s="24"/>
      <c r="D12" s="175">
        <f>D7-D10-D9</f>
        <v>3985730.875</v>
      </c>
      <c r="E12" s="312">
        <f>+D12/D7</f>
        <v>0.63861959047395955</v>
      </c>
      <c r="F12" s="175">
        <f>F7-F10-F9</f>
        <v>4967780.6789999995</v>
      </c>
      <c r="G12" s="312">
        <f>+F12/F7</f>
        <v>0.62856001134190953</v>
      </c>
      <c r="H12" s="175">
        <f>H7-H10-H9</f>
        <v>5766962.0329999998</v>
      </c>
      <c r="I12" s="312">
        <f>+H12/H7</f>
        <v>0.63529631673326648</v>
      </c>
    </row>
    <row r="13" spans="1:9" ht="15.75" thickTop="1">
      <c r="A13" s="10"/>
      <c r="B13" s="11"/>
      <c r="C13" s="11"/>
      <c r="D13" s="318"/>
      <c r="F13" s="318"/>
      <c r="H13" s="318"/>
    </row>
    <row r="14" spans="1:9">
      <c r="A14" s="10"/>
      <c r="B14" s="9" t="s">
        <v>38</v>
      </c>
      <c r="D14" s="318">
        <f>SUM('SIG 2015'!L20:L22)</f>
        <v>1417927.9432000001</v>
      </c>
      <c r="E14" s="330"/>
      <c r="F14" s="318">
        <f>+SUM('SIG 2016'!L20:L22)</f>
        <v>1599579.782596</v>
      </c>
      <c r="G14" s="330"/>
      <c r="H14" s="318">
        <f>+SUM('SIG 2017'!L20:L22)</f>
        <v>1728501.4299238801</v>
      </c>
    </row>
    <row r="15" spans="1:9">
      <c r="A15" s="40"/>
      <c r="B15" s="11"/>
      <c r="C15" s="11"/>
      <c r="D15" s="318"/>
      <c r="F15" s="318"/>
      <c r="H15" s="318"/>
    </row>
    <row r="16" spans="1:9" ht="15.75" thickBot="1">
      <c r="A16" s="24" t="s">
        <v>1</v>
      </c>
      <c r="B16" s="24"/>
      <c r="C16" s="24"/>
      <c r="D16" s="175">
        <f>D12-D14</f>
        <v>2567802.9317999999</v>
      </c>
      <c r="E16" s="312">
        <f>D16/D7</f>
        <v>0.41143000070820096</v>
      </c>
      <c r="F16" s="175">
        <f>F12-F14</f>
        <v>3368200.8964039995</v>
      </c>
      <c r="G16" s="312">
        <f>F16/F7</f>
        <v>0.42616945683513902</v>
      </c>
      <c r="H16" s="175">
        <f>H12-H14</f>
        <v>4038460.6030761199</v>
      </c>
      <c r="I16" s="312">
        <f>H16/H7</f>
        <v>0.44488226760043686</v>
      </c>
    </row>
    <row r="17" spans="1:9" ht="15.75" thickTop="1">
      <c r="A17" s="10"/>
      <c r="B17" s="11"/>
      <c r="C17" s="11"/>
      <c r="D17" s="318"/>
      <c r="F17" s="318"/>
      <c r="H17" s="318"/>
    </row>
    <row r="18" spans="1:9">
      <c r="A18" s="18" t="s">
        <v>6</v>
      </c>
      <c r="C18" s="9" t="s">
        <v>49</v>
      </c>
      <c r="D18" s="318">
        <f>+'SIG 2015'!L27</f>
        <v>0</v>
      </c>
      <c r="F18" s="318">
        <f>+'SIG 2016'!L27</f>
        <v>0</v>
      </c>
      <c r="H18" s="318">
        <f>+'SIG 2017'!L27</f>
        <v>0</v>
      </c>
    </row>
    <row r="19" spans="1:9" s="5" customFormat="1">
      <c r="A19" s="14" t="s">
        <v>47</v>
      </c>
      <c r="C19" s="15" t="s">
        <v>39</v>
      </c>
      <c r="D19" s="318">
        <f>+'SIG 2015'!L28</f>
        <v>114584.21800000001</v>
      </c>
      <c r="E19" s="301">
        <v>0.05</v>
      </c>
      <c r="F19" s="318">
        <f>+'SIG 2016'!L28</f>
        <v>131095.13634</v>
      </c>
      <c r="G19" s="301">
        <v>0.05</v>
      </c>
      <c r="H19" s="318">
        <f>+'SIG 2017'!L28</f>
        <v>155169.28</v>
      </c>
      <c r="I19" s="301">
        <v>0.05</v>
      </c>
    </row>
    <row r="20" spans="1:9">
      <c r="A20" s="17" t="s">
        <v>47</v>
      </c>
      <c r="B20" s="39"/>
      <c r="C20" s="11" t="s">
        <v>50</v>
      </c>
      <c r="D20" s="318">
        <f>+'SIG 2015'!L29</f>
        <v>1386711</v>
      </c>
      <c r="E20" s="301">
        <v>0.45</v>
      </c>
      <c r="F20" s="318">
        <f>+'SIG 2016'!L29</f>
        <v>1717954</v>
      </c>
      <c r="H20" s="318">
        <f>+'SIG 2017'!L29</f>
        <v>1955704</v>
      </c>
    </row>
    <row r="21" spans="1:9">
      <c r="A21" s="17" t="s">
        <v>47</v>
      </c>
      <c r="C21" s="11" t="s">
        <v>85</v>
      </c>
      <c r="D21" s="318">
        <f>+'SIG 2015'!L30</f>
        <v>72000</v>
      </c>
      <c r="F21" s="318">
        <f>+'SIG 2016'!L30</f>
        <v>84000</v>
      </c>
      <c r="H21" s="318">
        <f>+'SIG 2017'!L30</f>
        <v>96000</v>
      </c>
    </row>
    <row r="22" spans="1:9">
      <c r="A22" s="17" t="s">
        <v>47</v>
      </c>
      <c r="C22" s="11" t="s">
        <v>40</v>
      </c>
      <c r="D22" s="318">
        <f>+'SIG 2015'!L31</f>
        <v>583484.4</v>
      </c>
      <c r="E22" s="301">
        <v>0.42</v>
      </c>
      <c r="F22" s="318">
        <f>+'SIG 2016'!L31</f>
        <v>720781.6</v>
      </c>
      <c r="G22" s="301">
        <v>0.42</v>
      </c>
      <c r="H22" s="318">
        <f>+'SIG 2017'!L31</f>
        <v>820681.6</v>
      </c>
      <c r="I22" s="301">
        <v>0.42</v>
      </c>
    </row>
    <row r="23" spans="1:9">
      <c r="D23" s="318"/>
      <c r="F23" s="318"/>
      <c r="H23" s="318"/>
    </row>
    <row r="24" spans="1:9" ht="15.75" thickBot="1">
      <c r="A24" s="24" t="s">
        <v>2</v>
      </c>
      <c r="B24" s="24"/>
      <c r="C24" s="24"/>
      <c r="D24" s="175">
        <f>+D16+D18-SUM(D19:D22)</f>
        <v>411023.31379999965</v>
      </c>
      <c r="E24" s="312">
        <f>+D24/D7</f>
        <v>6.5856814864401883E-2</v>
      </c>
      <c r="F24" s="175">
        <f>+F16+F18-SUM(F19:F22)</f>
        <v>714370.16006399971</v>
      </c>
      <c r="G24" s="312">
        <f>+F24/F7</f>
        <v>9.0387346971713897E-2</v>
      </c>
      <c r="H24" s="175">
        <f>+H16+H18-SUM(H19:H22)</f>
        <v>1010905.72307612</v>
      </c>
      <c r="I24" s="312">
        <f>+H24/H7</f>
        <v>0.11136273808633874</v>
      </c>
    </row>
    <row r="25" spans="1:9" ht="15.75" thickTop="1">
      <c r="D25" s="318"/>
      <c r="F25" s="318"/>
      <c r="H25" s="318"/>
    </row>
    <row r="26" spans="1:9">
      <c r="A26" s="18" t="s">
        <v>6</v>
      </c>
      <c r="B26" s="9" t="s">
        <v>48</v>
      </c>
      <c r="D26" s="318">
        <f>+'SIG 2015'!L35</f>
        <v>0</v>
      </c>
      <c r="F26" s="318">
        <f>+'SIG 2016'!L35</f>
        <v>0</v>
      </c>
      <c r="H26" s="318">
        <f>+'SIG 2017'!L35</f>
        <v>0</v>
      </c>
    </row>
    <row r="27" spans="1:9">
      <c r="A27" s="10" t="s">
        <v>6</v>
      </c>
      <c r="B27" s="11" t="s">
        <v>42</v>
      </c>
      <c r="C27" s="11"/>
      <c r="D27" s="318">
        <f>+'SIG 2015'!L36</f>
        <v>0</v>
      </c>
      <c r="F27" s="318">
        <f>+'SIG 2016'!L36</f>
        <v>0</v>
      </c>
      <c r="H27" s="318">
        <f>+'SIG 2017'!L36</f>
        <v>0</v>
      </c>
    </row>
    <row r="28" spans="1:9">
      <c r="A28" s="18" t="s">
        <v>47</v>
      </c>
      <c r="B28" s="9" t="s">
        <v>3</v>
      </c>
      <c r="D28" s="318">
        <f>+'SIG 2015'!L37</f>
        <v>177721</v>
      </c>
      <c r="F28" s="318">
        <f>+'SIG 2016'!L37</f>
        <v>196621</v>
      </c>
      <c r="H28" s="318">
        <f>+'SIG 2017'!L37</f>
        <v>237621</v>
      </c>
    </row>
    <row r="29" spans="1:9">
      <c r="A29" s="17" t="s">
        <v>47</v>
      </c>
      <c r="B29" s="11" t="s">
        <v>41</v>
      </c>
      <c r="C29" s="11"/>
      <c r="D29" s="318">
        <f>+'SIG 2015'!L38</f>
        <v>0</v>
      </c>
      <c r="F29" s="318">
        <f>+'SIG 2016'!L38</f>
        <v>0</v>
      </c>
      <c r="H29" s="318">
        <f>+'SIG 2017'!L38</f>
        <v>0</v>
      </c>
    </row>
    <row r="30" spans="1:9">
      <c r="D30" s="318"/>
      <c r="F30" s="318"/>
      <c r="H30" s="318"/>
    </row>
    <row r="31" spans="1:9" ht="15.75" thickBot="1">
      <c r="A31" s="24" t="s">
        <v>4</v>
      </c>
      <c r="B31" s="24"/>
      <c r="C31" s="24"/>
      <c r="D31" s="175">
        <f>D24+D26+D27-D28-D29</f>
        <v>233302.31379999965</v>
      </c>
      <c r="E31" s="312">
        <f>D31/D7</f>
        <v>3.7381206300232943E-2</v>
      </c>
      <c r="F31" s="175">
        <f>F24+F26+F27-F28-F29</f>
        <v>517749.16006399971</v>
      </c>
      <c r="G31" s="312">
        <f>F31/F7</f>
        <v>6.550941737379623E-2</v>
      </c>
      <c r="H31" s="175">
        <f>H24+H26+H27-H28-H29</f>
        <v>773284.72307612002</v>
      </c>
      <c r="I31" s="312">
        <f>H31/H7</f>
        <v>8.5186088194307882E-2</v>
      </c>
    </row>
    <row r="32" spans="1:9" ht="15.75" thickTop="1">
      <c r="D32" s="318"/>
      <c r="F32" s="318"/>
      <c r="H32" s="318"/>
    </row>
    <row r="33" spans="1:9">
      <c r="B33" s="9" t="s">
        <v>5</v>
      </c>
      <c r="D33" s="318">
        <f>+'SIG 2015'!L42</f>
        <v>-66271.66</v>
      </c>
      <c r="F33" s="318">
        <f>+'SIG 2016'!L42</f>
        <v>-58794.31</v>
      </c>
      <c r="H33" s="318">
        <f>+'SIG 2017'!L42</f>
        <v>-62785.94</v>
      </c>
    </row>
    <row r="34" spans="1:9">
      <c r="B34" s="9" t="s">
        <v>29</v>
      </c>
      <c r="D34" s="318">
        <f>+'SIG 2015'!L43</f>
        <v>-30000</v>
      </c>
      <c r="F34" s="318">
        <f>+'SIG 2016'!L43</f>
        <v>0</v>
      </c>
      <c r="H34" s="318">
        <f>+'SIG 2017'!L43</f>
        <v>0</v>
      </c>
    </row>
    <row r="35" spans="1:9">
      <c r="B35" s="9" t="s">
        <v>9</v>
      </c>
      <c r="D35" s="318">
        <f>+'SIG 2015'!L44</f>
        <v>0</v>
      </c>
      <c r="F35" s="318">
        <f>+'SIG 2016'!L44</f>
        <v>0</v>
      </c>
      <c r="H35" s="318">
        <f>+'SIG 2017'!L44</f>
        <v>0</v>
      </c>
    </row>
    <row r="36" spans="1:9">
      <c r="D36" s="318"/>
      <c r="F36" s="318"/>
      <c r="H36" s="318"/>
    </row>
    <row r="37" spans="1:9" ht="15.75" thickBot="1">
      <c r="A37" s="24" t="s">
        <v>10</v>
      </c>
      <c r="B37" s="24"/>
      <c r="C37" s="24"/>
      <c r="D37" s="175">
        <f>SUM(D31:D36)</f>
        <v>137030.65379999965</v>
      </c>
      <c r="E37" s="312">
        <f>+D37/D7</f>
        <v>2.1955938009019411E-2</v>
      </c>
      <c r="F37" s="175">
        <f>SUM(F31:F36)</f>
        <v>458954.85006399971</v>
      </c>
      <c r="G37" s="312">
        <f>+F37/F7</f>
        <v>5.8070330475966665E-2</v>
      </c>
      <c r="H37" s="175">
        <f>SUM(H31:H36)</f>
        <v>710498.78307612007</v>
      </c>
      <c r="I37" s="312">
        <f>+H37/H7</f>
        <v>7.8269504350615374E-2</v>
      </c>
    </row>
    <row r="38" spans="1:9" ht="15.75" thickTop="1"/>
    <row r="39" spans="1:9">
      <c r="D39" s="13"/>
      <c r="F39" s="13"/>
      <c r="H39" s="13"/>
    </row>
    <row r="40" spans="1:9">
      <c r="D40" s="13"/>
      <c r="F40" s="13"/>
      <c r="H40" s="13"/>
    </row>
    <row r="41" spans="1:9">
      <c r="D41" s="13"/>
      <c r="F41" s="13"/>
      <c r="H41" s="13"/>
    </row>
  </sheetData>
  <phoneticPr fontId="8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landscape" horizontalDpi="300" verticalDpi="300" r:id="rId1"/>
  <headerFooter scaleWithDoc="0">
    <oddHeader>&amp;LDossier TECSAFINANCE
Annexe B2&amp;CSolde intermédiaire de gestion
Groupe&amp;RConfidentiel</oddHeader>
    <oddFooter>&amp;L&amp;D&amp;R5/5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18</vt:i4>
      </vt:variant>
    </vt:vector>
  </HeadingPairs>
  <TitlesOfParts>
    <vt:vector size="42" baseType="lpstr">
      <vt:lpstr>SIG CHENE DECORS</vt:lpstr>
      <vt:lpstr>SIG TECSABOIS Charpente</vt:lpstr>
      <vt:lpstr>SIG TECSABOIS</vt:lpstr>
      <vt:lpstr>SIG TECSAFINANCE</vt:lpstr>
      <vt:lpstr>SIG 2014</vt:lpstr>
      <vt:lpstr>SIG 2015</vt:lpstr>
      <vt:lpstr>SIG 2016</vt:lpstr>
      <vt:lpstr>SIG 2017</vt:lpstr>
      <vt:lpstr>SIG GROUPE</vt:lpstr>
      <vt:lpstr>CA CHÊNE DECORS</vt:lpstr>
      <vt:lpstr>CA T Charpente</vt:lpstr>
      <vt:lpstr>CA TECSABOIS </vt:lpstr>
      <vt:lpstr>Tableau de financement 2012</vt:lpstr>
      <vt:lpstr>Tab de fin 2013 TB</vt:lpstr>
      <vt:lpstr>Tab de fin 2013 TBC</vt:lpstr>
      <vt:lpstr>Tab de fin 2013 CD</vt:lpstr>
      <vt:lpstr>Tableau de financement 2013</vt:lpstr>
      <vt:lpstr>Charges </vt:lpstr>
      <vt:lpstr>Salaires</vt:lpstr>
      <vt:lpstr>Investissements</vt:lpstr>
      <vt:lpstr>Feuil2</vt:lpstr>
      <vt:lpstr>Prêt CD 135000</vt:lpstr>
      <vt:lpstr>Feuil1</vt:lpstr>
      <vt:lpstr>Prêt CD TB 50000</vt:lpstr>
      <vt:lpstr>'CA CHÊNE DECORS'!Zone_d_impression</vt:lpstr>
      <vt:lpstr>'CA T Charpente'!Zone_d_impression</vt:lpstr>
      <vt:lpstr>'CA TECSABOIS '!Zone_d_impression</vt:lpstr>
      <vt:lpstr>Investissements!Zone_d_impression</vt:lpstr>
      <vt:lpstr>'SIG 2014'!Zone_d_impression</vt:lpstr>
      <vt:lpstr>'SIG 2015'!Zone_d_impression</vt:lpstr>
      <vt:lpstr>'SIG 2016'!Zone_d_impression</vt:lpstr>
      <vt:lpstr>'SIG 2017'!Zone_d_impression</vt:lpstr>
      <vt:lpstr>'SIG CHENE DECORS'!Zone_d_impression</vt:lpstr>
      <vt:lpstr>'SIG GROUPE'!Zone_d_impression</vt:lpstr>
      <vt:lpstr>'SIG TECSABOIS'!Zone_d_impression</vt:lpstr>
      <vt:lpstr>'SIG TECSABOIS Charpente'!Zone_d_impression</vt:lpstr>
      <vt:lpstr>'SIG TECSAFINANCE'!Zone_d_impression</vt:lpstr>
      <vt:lpstr>'Tab de fin 2013 CD'!Zone_d_impression</vt:lpstr>
      <vt:lpstr>'Tab de fin 2013 TB'!Zone_d_impression</vt:lpstr>
      <vt:lpstr>'Tab de fin 2013 TBC'!Zone_d_impression</vt:lpstr>
      <vt:lpstr>'Tableau de financement 2012'!Zone_d_impression</vt:lpstr>
      <vt:lpstr>'Tableau de financement 2013'!Zone_d_impression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JBSAGET</cp:lastModifiedBy>
  <cp:lastPrinted>2015-03-25T06:49:45Z</cp:lastPrinted>
  <dcterms:created xsi:type="dcterms:W3CDTF">2010-02-28T18:47:22Z</dcterms:created>
  <dcterms:modified xsi:type="dcterms:W3CDTF">2015-03-25T07:09:07Z</dcterms:modified>
</cp:coreProperties>
</file>