
<file path=[Content_Types].xml><?xml version="1.0" encoding="utf-8"?>
<Types xmlns="http://schemas.openxmlformats.org/package/2006/content-types">
  <Default Extension="rels" ContentType="application/vnd.openxmlformats-package.relationships+xml"/>
  <Default Extension="xml" ContentType="application/xml"/>
  <Override PartName="/xl/charts/chart3.xml" ContentType="application/vnd.openxmlformats-officedocument.drawingml.chart+xml"/>
  <Override PartName="/xl/charts/chart4.xml" ContentType="application/vnd.openxmlformats-officedocument.drawingml.chart+xml"/>
  <Override PartName="/xl/charts/chart8.xml" ContentType="application/vnd.openxmlformats-officedocument.drawingml.chart+xml"/>
  <Override PartName="/xl/charts/chart6.xml" ContentType="application/vnd.openxmlformats-officedocument.drawingml.chart+xml"/>
  <Override PartName="/xl/charts/chart9.xml" ContentType="application/vnd.openxmlformats-officedocument.drawingml.chart+xml"/>
  <Override PartName="/xl/charts/chart7.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9.xml" ContentType="application/vnd.openxmlformats-officedocument.drawing+xml"/>
  <Override PartName="/xl/drawings/drawing6.xml" ContentType="application/vnd.openxmlformats-officedocument.drawing+xml"/>
  <Override PartName="/xl/drawings/drawing3.xml" ContentType="application/vnd.openxmlformats-officedocument.drawing+xml"/>
  <Override PartName="/xl/drawings/drawing5.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0.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5.xml" ContentType="application/vnd.openxmlformats-officedocument.spreadsheetml.worksheet+xml"/>
  <Override PartName="/xl/worksheets/sheet3.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4.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Annuel Cumulé" state="visible" r:id="rId3"/>
    <sheet sheetId="2" name="Hypothèses" state="visible" r:id="rId4"/>
    <sheet sheetId="3" name="Plan de ventes" state="visible" r:id="rId5"/>
    <sheet sheetId="4" name="Structure de couts" state="visible" r:id="rId6"/>
    <sheet sheetId="5" name="Mensuel" state="visible" r:id="rId7"/>
    <sheet sheetId="6" name="Couts administratifs, SAV, fina" state="visible" r:id="rId8"/>
    <sheet sheetId="7" name="Cout de marketing et des ventes" state="visible" r:id="rId9"/>
    <sheet sheetId="8" name="Graphics" state="visible" r:id="rId10"/>
    <sheet sheetId="9" name="Annuel (OLD)" state="hidden" r:id="rId11"/>
    <sheet sheetId="10" name="COGS" state="visible" r:id="rId12"/>
    <sheet sheetId="11" name="Couts administratifs (OLD)" state="hidden" r:id="rId13"/>
    <sheet sheetId="12" name="Ventes (OLD)" state="hidden" r:id="rId14"/>
    <sheet sheetId="13" name="Graphics (OLD)" state="hidden" r:id="rId15"/>
  </sheets>
  <definedNames>
    <definedName hidden="1" name="_xlnm._FilterDatabase" localSheetId="9">COGS!$A$1:$J$33</definedName>
  </definedNames>
  <calcPr/>
</workbook>
</file>

<file path=xl/sharedStrings.xml><?xml version="1.0" encoding="utf-8"?>
<sst xmlns="http://schemas.openxmlformats.org/spreadsheetml/2006/main">
  <si>
    <t>Marge Nette</t>
  </si>
  <si>
    <t>Coût Administratif par Cottage installé</t>
  </si>
  <si>
    <t>Coût des ventes et de marketing par Cottage installé</t>
  </si>
  <si>
    <t>.</t>
  </si>
  <si>
    <t>N</t>
  </si>
  <si>
    <t>Unitaire</t>
  </si>
  <si>
    <t>Par mois</t>
  </si>
  <si>
    <t>Par an</t>
  </si>
  <si>
    <t>SA</t>
  </si>
  <si>
    <t>Ventes</t>
  </si>
  <si>
    <t>SA01</t>
  </si>
  <si>
    <t>Prix de vente TTC du module de base</t>
  </si>
  <si>
    <t>TVA</t>
  </si>
  <si>
    <t>SA02</t>
  </si>
  <si>
    <t>Prix de vente HT  du module de base</t>
  </si>
  <si>
    <t>SA03</t>
  </si>
  <si>
    <t>Prix de vente TTC du kit 'Meublé'</t>
  </si>
  <si>
    <t>SA04</t>
  </si>
  <si>
    <t>Prix de vente HT d'equipment du confort, du meuble, de la cuisine</t>
  </si>
  <si>
    <t>% des clients qui choisissent le Kit 'meublé'</t>
  </si>
  <si>
    <t>SA05</t>
  </si>
  <si>
    <t>Services sur place additionnels (attentes réseaux et démarches admin) TTC</t>
  </si>
  <si>
    <t>SA06</t>
  </si>
  <si>
    <t>Services sur place additionnels (attentes réseaux et démarches admin) HT</t>
  </si>
  <si>
    <t>% des clients qui choisissent les services additionnels</t>
  </si>
  <si>
    <t>SA09</t>
  </si>
  <si>
    <t>Maintenance additionnelle par mois TTC</t>
  </si>
  <si>
    <t>SA10</t>
  </si>
  <si>
    <t>Maintenance additionelle (optionnnel) HT</t>
  </si>
  <si>
    <t>SA11</t>
  </si>
  <si>
    <t>% des clients qui souscrivent à la maintenance additionnelle</t>
  </si>
  <si>
    <t>SA12</t>
  </si>
  <si>
    <t>Montant du loyer de la location d'un Senior Cottage HT</t>
  </si>
  <si>
    <t>SA13</t>
  </si>
  <si>
    <t>Durée moyenne de location de chaque Cottage</t>
  </si>
  <si>
    <t>ans</t>
  </si>
  <si>
    <t>CI</t>
  </si>
  <si>
    <t>Coût de revient d'un SC</t>
  </si>
  <si>
    <t>CI02</t>
  </si>
  <si>
    <t>Cout de production de Module de Base, HT (dégressif)</t>
  </si>
  <si>
    <t>CI03</t>
  </si>
  <si>
    <t>Cout d'équipment de Module de Base HT</t>
  </si>
  <si>
    <t>CI04</t>
  </si>
  <si>
    <t>Transport, Installation, Connexion (TIC) de Senior Cottage sur place HT</t>
  </si>
  <si>
    <t>CI05</t>
  </si>
  <si>
    <t>Coût de revient total production / installation</t>
  </si>
  <si>
    <t>Marge brute</t>
  </si>
  <si>
    <t>%</t>
  </si>
  <si>
    <t>CI06</t>
  </si>
  <si>
    <t>Cout de revient du kit 'Meublé'</t>
  </si>
  <si>
    <t>Rémunération apporteur d'affaires HT sur prix de vente HT</t>
  </si>
  <si>
    <t>CI07</t>
  </si>
  <si>
    <t>Déménagement et stockage des cottages loués</t>
  </si>
  <si>
    <t>CI08</t>
  </si>
  <si>
    <t>Démarches administratives déclaration de travaux HT</t>
  </si>
  <si>
    <t>CI09</t>
  </si>
  <si>
    <t>Coût de revient préparation attentes et démarches admin HT</t>
  </si>
  <si>
    <t>CI10</t>
  </si>
  <si>
    <t>Coût de revient total d'un SC installé</t>
  </si>
  <si>
    <t>CS</t>
  </si>
  <si>
    <t>Coût de revient Service et Maintenance par mois</t>
  </si>
  <si>
    <t>CS01</t>
  </si>
  <si>
    <t>Coût de revient du service au titre de la garantie (hors fournisseur) HT</t>
  </si>
  <si>
    <t>CS02</t>
  </si>
  <si>
    <t>Coût de revient de la maintenance additionnelle en option HT</t>
  </si>
  <si>
    <t>MA</t>
  </si>
  <si>
    <t>Marketing</t>
  </si>
  <si>
    <t>MA1</t>
  </si>
  <si>
    <t>Sortie</t>
  </si>
  <si>
    <t>Multiplicateur d'EBITDA</t>
  </si>
  <si>
    <t>Impôts</t>
  </si>
  <si>
    <t>IS</t>
  </si>
  <si>
    <t>Crédit bail mobilier</t>
  </si>
  <si>
    <t>% Credit bail</t>
  </si>
  <si>
    <t>Redevance mensuelle</t>
  </si>
  <si>
    <t>Durée</t>
  </si>
  <si>
    <t>ans</t>
  </si>
  <si>
    <t>Balance entre les produits</t>
  </si>
  <si>
    <t>Q-té des cottages loués sans CB par la période</t>
  </si>
  <si>
    <t>Q-té des cottages loués avec CB par la période</t>
  </si>
  <si>
    <t>Q-té des cottages vendues (Achat des SC) par la période</t>
  </si>
  <si>
    <t>Directeur commercial</t>
  </si>
  <si>
    <t>Nombre d'installations par directeur commercial</t>
  </si>
  <si>
    <t>Installations directeur des ventes</t>
  </si>
  <si>
    <t>Nombre de commerciaux</t>
  </si>
  <si>
    <t>Nombre de support des ventes</t>
  </si>
  <si>
    <t>Nombre d'installations mensuelles par commercial</t>
  </si>
  <si>
    <t>Installations commerciaux</t>
  </si>
  <si>
    <t>Nombre d'apporteurs d'affaires</t>
  </si>
  <si>
    <t>Nombre d'inestallations par apporteur d'affaires</t>
  </si>
  <si>
    <t>Installations apporteurs d'affaires</t>
  </si>
  <si>
    <t>Taux de montée en courbe d'expérience annuelle</t>
  </si>
  <si>
    <t>Nombre d'installations mensuelles totales</t>
  </si>
  <si>
    <t>Nombre d'installations annuelles totales</t>
  </si>
  <si>
    <t>Unitaire</t>
  </si>
  <si>
    <t>Par mois</t>
  </si>
  <si>
    <t>Par an</t>
  </si>
  <si>
    <t>Ventes</t>
  </si>
  <si>
    <t>Prix de vente TTC du module de base</t>
  </si>
  <si>
    <t>TVA</t>
  </si>
  <si>
    <t>Prix de vente HT  du module de base</t>
  </si>
  <si>
    <t>Montant du loyer de la location d'un Senior Cottage HT</t>
  </si>
  <si>
    <t>Durée moyenne de location de chaque Cottage</t>
  </si>
  <si>
    <t>ans</t>
  </si>
  <si>
    <t>Coût de revient d'un SC</t>
  </si>
  <si>
    <t>Cout de production de Module de Base, HT (dégressif)</t>
  </si>
  <si>
    <t>Cout d'équipment de Module de Base HT</t>
  </si>
  <si>
    <t>Transport, Installation, Connexion (TIC) de Senior Cottage sur place HT</t>
  </si>
  <si>
    <t>Coût de revient total production / installation</t>
  </si>
  <si>
    <t>Marge brute</t>
  </si>
  <si>
    <t>Coût de revient total d'un SC installé</t>
  </si>
  <si>
    <t>Vente</t>
  </si>
  <si>
    <t>Location</t>
  </si>
  <si>
    <t>Marge brute</t>
  </si>
  <si>
    <t>Pour 10 cottages</t>
  </si>
  <si>
    <t>Pour 100 cottages</t>
  </si>
  <si>
    <t>Vente</t>
  </si>
  <si>
    <t>Location</t>
  </si>
  <si>
    <t>Vente</t>
  </si>
  <si>
    <t>Location</t>
  </si>
  <si>
    <t>Marketing et ventes</t>
  </si>
  <si>
    <t>€</t>
  </si>
  <si>
    <t>%</t>
  </si>
  <si>
    <t>RP</t>
  </si>
  <si>
    <t>Salons</t>
  </si>
  <si>
    <t>Publicitié</t>
  </si>
  <si>
    <t>Internet</t>
  </si>
  <si>
    <t>Matériel commercial</t>
  </si>
  <si>
    <t>Salaires et charges sociales vendeurs</t>
  </si>
  <si>
    <t>Salaires et charges marketeur</t>
  </si>
  <si>
    <t>Déplacements</t>
  </si>
  <si>
    <t>TOTAL COUTS MARKETING &amp; VENTES</t>
  </si>
  <si>
    <t>Couts administratifs</t>
  </si>
  <si>
    <t>%</t>
  </si>
  <si>
    <t>Frais bancaires et de change</t>
  </si>
  <si>
    <t>Compabilité externalisé</t>
  </si>
  <si>
    <t>Assurance</t>
  </si>
  <si>
    <t>Honoraires juridiques</t>
  </si>
  <si>
    <t>Fournitures</t>
  </si>
  <si>
    <t>Outils informatique</t>
  </si>
  <si>
    <t>Telephone, internet, poste</t>
  </si>
  <si>
    <t>Salaires et charges sociales personnel support</t>
  </si>
  <si>
    <t>Loyer bureaux</t>
  </si>
  <si>
    <t>SAV exceptionnel, hors cout de maintenance</t>
  </si>
  <si>
    <t>Déplacements</t>
  </si>
  <si>
    <t>TOTAL COUTS ADMINISTRATIFS</t>
  </si>
  <si>
    <t>R&amp;D</t>
  </si>
  <si>
    <t>%</t>
  </si>
  <si>
    <t>Salaires et charges sociales personnel R&amp;D</t>
  </si>
  <si>
    <t>Déplacements</t>
  </si>
  <si>
    <t>Achat équipements à tester</t>
  </si>
  <si>
    <t>TOTAL COUTS R&amp;D</t>
  </si>
  <si>
    <t>COUTS TOTAUX</t>
  </si>
  <si>
    <t>Cible</t>
  </si>
  <si>
    <t>MARGE NETTE</t>
  </si>
  <si>
    <t>%</t>
  </si>
  <si>
    <t>Month</t>
  </si>
  <si>
    <t>Year</t>
  </si>
  <si>
    <t>Q-té des cottages loués sans CB pour la période</t>
  </si>
  <si>
    <t>Q-té des cottages loués avec CB pour la période</t>
  </si>
  <si>
    <t>Q-té des cottages vendus (Achat des SC) pour la période</t>
  </si>
  <si>
    <t>Q-té des cottages vendus par apporteur pour la période</t>
  </si>
  <si>
    <t>Cottages installés</t>
  </si>
  <si>
    <t>Q-té cumulée de cottages loués sans CB</t>
  </si>
  <si>
    <t>Q-té cumulée de cottages loués avec CB</t>
  </si>
  <si>
    <t>Q-té cumulée de cottages vendus (tous canaux)</t>
  </si>
  <si>
    <t>TOTAL COTTAGES INSTALLES</t>
  </si>
  <si>
    <t>Ventes de Modules de Base, HT</t>
  </si>
  <si>
    <t>Ventes des KITs Meublés, HT</t>
  </si>
  <si>
    <t>Ventes des Installations, HT</t>
  </si>
  <si>
    <t>Location des cottages sans CB</t>
  </si>
  <si>
    <t>Location des cottages avec CB</t>
  </si>
  <si>
    <t>Ventes de Maintenance additionnelle, HT</t>
  </si>
  <si>
    <t>Ventes, C.A. HT. (TOTAL REVENUE HT)</t>
  </si>
  <si>
    <t>Coût des Modules de Base, HT</t>
  </si>
  <si>
    <t>Coût des Kits Meublés, HT</t>
  </si>
  <si>
    <t>Coût des déménagements et stockage des SC loués, HT</t>
  </si>
  <si>
    <t>Coût de Maintenance Hors garantie, HT</t>
  </si>
  <si>
    <t>Coût de Maintenance Additionnelle, HT</t>
  </si>
  <si>
    <t>TOTAL COUTS global du Module de Base</t>
  </si>
  <si>
    <t>MARGE BRUTE</t>
  </si>
  <si>
    <t>Cout des ventes et de marketing</t>
  </si>
  <si>
    <t>Coûts administratifs &amp; financiers</t>
  </si>
  <si>
    <t>Loyers de CBMat</t>
  </si>
  <si>
    <t>EBE (EBITDA)</t>
  </si>
  <si>
    <t>IS</t>
  </si>
  <si>
    <t>Résultat net (Net income)</t>
  </si>
  <si>
    <t>CAPEX- Investment en cottages loués sans CB</t>
  </si>
  <si>
    <t>Variation du Fonds de Roulement</t>
  </si>
  <si>
    <t>Flux de Trésorie internes</t>
  </si>
  <si>
    <t>FONDS de ROULEMENTS</t>
  </si>
  <si>
    <t> </t>
  </si>
  <si>
    <t>Consolidé</t>
  </si>
  <si>
    <t>Consolidated</t>
  </si>
  <si>
    <t>Réel</t>
  </si>
  <si>
    <t>Réel</t>
  </si>
  <si>
    <t>Réel</t>
  </si>
  <si>
    <t>Réel</t>
  </si>
  <si>
    <t>Réel</t>
  </si>
  <si>
    <t>Réel</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</si>
  <si>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</si>
  <si>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</si>
  <si>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</si>
  <si>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</si>
  <si>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</si>
  <si>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</si>
  <si>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</si>
  <si>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</si>
  <si>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</si>
  <si>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</si>
  <si>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</si>
  <si>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</si>
  <si>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</si>
  <si>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</si>
  <si>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</si>
  <si>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</si>
  <si>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</si>
  <si>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</si>
  <si>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</si>
  <si>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</si>
  <si>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</si>
  <si>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</si>
  <si>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</si>
  <si>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</si>
  <si>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</si>
  <si>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</si>
  <si>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</si>
  <si>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</si>
  <si>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</si>
  <si>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</si>
  <si>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</si>
  <si>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</si>
  <si>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</si>
  <si>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</si>
  <si>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</si>
  <si>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</si>
  <si>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</si>
  <si>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</si>
  <si>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</si>
  <si>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</si>
  <si>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</si>
  <si>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</si>
  <si>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Comission de la banque</t>
  </si>
  <si>
    <t>Bank Fees</t>
  </si>
  <si>
    <t>Deplacement</t>
  </si>
  <si>
    <t>Business trips- transportation</t>
  </si>
  <si>
    <t>Compabilité externalisé</t>
  </si>
  <si>
    <t>Consulting &amp; Accounting</t>
  </si>
  <si>
    <t>Resto</t>
  </si>
  <si>
    <t>Food &amp; Restaurants</t>
  </si>
  <si>
    <t>Devise</t>
  </si>
  <si>
    <t>Foreign Currency Gains and Losses</t>
  </si>
  <si>
    <t>Post</t>
  </si>
  <si>
    <t>Freight &amp; Courier</t>
  </si>
  <si>
    <t>Insurance</t>
  </si>
  <si>
    <t>Insurance</t>
  </si>
  <si>
    <t>Les depenses legales</t>
  </si>
  <si>
    <t>Legal expenses</t>
  </si>
  <si>
    <t>Depense du bureau</t>
  </si>
  <si>
    <t>Office Expenses</t>
  </si>
  <si>
    <t>Charges sociales</t>
  </si>
  <si>
    <t>Social Taxes / SC</t>
  </si>
  <si>
    <t>Outils informatique &amp; Internet</t>
  </si>
  <si>
    <t>Subscriptions and IT-internet</t>
  </si>
  <si>
    <t>Telephone, internet</t>
  </si>
  <si>
    <t>Utilities</t>
  </si>
  <si>
    <t>Salaires</t>
  </si>
  <si>
    <t>Wages and services</t>
  </si>
  <si>
    <t>Location du Bureau, TTC</t>
  </si>
  <si>
    <t>Rent of the office</t>
  </si>
  <si>
    <t>Car</t>
  </si>
  <si>
    <t>Voiture</t>
  </si>
  <si>
    <t>Service gestion marketing &amp; administrative externalisé (OPI)</t>
  </si>
  <si>
    <t>Marketing management (OPI)</t>
  </si>
  <si>
    <t>Service de consulting financiere (principallement lever de fonds)</t>
  </si>
  <si>
    <t>Financial consalting &amp; services</t>
  </si>
  <si>
    <t>SAV (exceptionnel, pas dans Cout de maintenance)</t>
  </si>
  <si>
    <t>Repairs and Maintenance</t>
  </si>
  <si>
    <t>TOTAL COUTS ADMINISTRATIVES</t>
  </si>
  <si>
    <t>Salaire</t>
  </si>
  <si>
    <t>Salaire (par mois euros, q-té FTE)</t>
  </si>
  <si>
    <t>DG</t>
  </si>
  <si>
    <t>Salaire (par mois euros, q-té FTE)</t>
  </si>
  <si>
    <t>Assistante</t>
  </si>
  <si>
    <t>Salaire (par mois euros, q-té FTE)</t>
  </si>
  <si>
    <t>Directeur commercial</t>
  </si>
  <si>
    <t>Salaire (par mois euros, q-té FTE)</t>
  </si>
  <si>
    <t>Chef de projet installations</t>
  </si>
  <si>
    <t>Salaire (par mois euros, q-té FTE)</t>
  </si>
  <si>
    <t>Commercial</t>
  </si>
  <si>
    <t>Salaire (par mois euros, q-té FTE)</t>
  </si>
  <si>
    <t>Web marketologist</t>
  </si>
  <si>
    <t>Salaire (par mois euros, q-té FTE)</t>
  </si>
  <si>
    <t>R&amp;D responsable</t>
  </si>
  <si>
    <t>FTE</t>
  </si>
  <si>
    <t>Q-ty of installed cottages per month</t>
  </si>
  <si>
    <t>Partie Variable des commerciaux</t>
  </si>
  <si>
    <t>Per installation per one cottage</t>
  </si>
  <si>
    <t>Partie Variable du Salaire du Chef de projet installations</t>
  </si>
  <si>
    <t>Per installation per one cottage</t>
  </si>
  <si>
    <t>Charges sociales (%)</t>
  </si>
  <si>
    <t>Salaire</t>
  </si>
  <si>
    <t>Salaire</t>
  </si>
  <si>
    <t>Salaire (partie variab incluse)</t>
  </si>
  <si>
    <t>Salaire (partie variab incluse)</t>
  </si>
  <si>
    <t>Commerciaux</t>
  </si>
  <si>
    <t>Salaire (partie variab incluse)</t>
  </si>
  <si>
    <t>Salaire</t>
  </si>
  <si>
    <t>Salaire</t>
  </si>
  <si>
    <t>TOTAL</t>
  </si>
  <si>
    <t>Charges sociales</t>
  </si>
  <si>
    <t>DEPLACEMENT</t>
  </si>
  <si>
    <t>Deplacement (par voyage, q-té de voyages)</t>
  </si>
  <si>
    <t>En France aux clients</t>
  </si>
  <si>
    <t>Deplacement (par voyage, q-té de voyages)</t>
  </si>
  <si>
    <t>En Europe aux producteur</t>
  </si>
  <si>
    <t>Deplacement aux bureaux (avec hotel à Paris) de Directeur Commercial (pas une semaine, q-té des semaines par moi</t>
  </si>
  <si>
    <t>Deplacement</t>
  </si>
  <si>
    <t>TOTAL</t>
  </si>
  <si>
    <t>Bureau (prix par m carre par mois, la q-té des metres carrés)</t>
  </si>
  <si>
    <t>Consolidé</t>
  </si>
  <si>
    <t>Consolidated</t>
  </si>
  <si>
    <t>Réel</t>
  </si>
  <si>
    <t>Réel</t>
  </si>
  <si>
    <t>Réel</t>
  </si>
  <si>
    <t>Réel</t>
  </si>
  <si>
    <t>Réel</t>
  </si>
  <si>
    <t>Réel</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</si>
  <si>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</si>
  <si>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</si>
  <si>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</si>
  <si>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</si>
  <si>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</si>
  <si>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</si>
  <si>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</si>
  <si>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</si>
  <si>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</si>
  <si>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</si>
  <si>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</si>
  <si>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</si>
  <si>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</si>
  <si>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</si>
  <si>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</si>
  <si>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</si>
  <si>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</si>
  <si>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</si>
  <si>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</si>
  <si>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</si>
  <si>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</si>
  <si>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</si>
  <si>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</si>
  <si>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</si>
  <si>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</si>
  <si>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</si>
  <si>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</si>
  <si>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</si>
  <si>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</si>
  <si>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</si>
  <si>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</si>
  <si>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</si>
  <si>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</si>
  <si>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</si>
  <si>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</si>
  <si>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</si>
  <si>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</si>
  <si>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</si>
  <si>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</si>
  <si>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</si>
  <si>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</si>
  <si>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Budgété</t>
  </si>
  <si>
    <t>Rémunérration apporteurs d'affaires</t>
  </si>
  <si>
    <t>Expos &amp; Salons</t>
  </si>
  <si>
    <t>Expos &amp; Salons</t>
  </si>
  <si>
    <t>Création du site &amp; Promotion internet (WEB PUB)</t>
  </si>
  <si>
    <t>Internet promotion including site creation</t>
  </si>
  <si>
    <t>RP</t>
  </si>
  <si>
    <t>PR</t>
  </si>
  <si>
    <t>Dépenses marketing et autres</t>
  </si>
  <si>
    <t>Marketing spendings</t>
  </si>
  <si>
    <t>TOTAL Cout des ventes et de marketing</t>
  </si>
  <si>
    <t>Participation en Expo</t>
  </si>
  <si>
    <t>Expos &amp; Salons</t>
  </si>
  <si>
    <t>Création du site Web PUB</t>
  </si>
  <si>
    <t>Internet promotion</t>
  </si>
  <si>
    <t>PR campaign</t>
  </si>
  <si>
    <t>Plaquettes commerciales</t>
  </si>
  <si>
    <t>Autres depenses</t>
  </si>
  <si>
    <t>Expos &amp; Salons</t>
  </si>
  <si>
    <t>Internet promotion</t>
  </si>
  <si>
    <t>TOTAL</t>
  </si>
  <si>
    <t>Dépenses marketing et autres</t>
  </si>
  <si>
    <t>Pour 1 Cottage</t>
  </si>
  <si>
    <t>TVA</t>
  </si>
  <si>
    <t>MARGE BRUTE</t>
  </si>
  <si>
    <t>TOTAL</t>
  </si>
  <si>
    <t>Qté de SC vendus pendant la période</t>
  </si>
  <si>
    <t>Qté de SC vendus cumulée</t>
  </si>
  <si>
    <t>Ventes de Modules de Base, HT</t>
  </si>
  <si>
    <t>Ventes des KITs Meublé, HT</t>
  </si>
  <si>
    <t>Ventes des Installations, HT</t>
  </si>
  <si>
    <t>Location</t>
  </si>
  <si>
    <t>Ventes de Maintenance additionnelle, HT</t>
  </si>
  <si>
    <t>Ventes, C.A. HT. (TOTAL REVENUE HT)</t>
  </si>
  <si>
    <t>Coût des Modules de Base, HT</t>
  </si>
  <si>
    <t>Coût des Kits Meublés, HT</t>
  </si>
  <si>
    <t>Coût des Installations, HT</t>
  </si>
  <si>
    <t>Coût de Maintenance Hors garantie, HT</t>
  </si>
  <si>
    <t>Coût de Maintenance Additionnelle, HT</t>
  </si>
  <si>
    <t>TOTAL COUTS global du Module de Base</t>
  </si>
  <si>
    <t>MARGE BRUTE</t>
  </si>
  <si>
    <t>Cout des ventes et de marketing</t>
  </si>
  <si>
    <t>Coûts administratifs</t>
  </si>
  <si>
    <t>LOYERS CBMAT</t>
  </si>
  <si>
    <t>EBE (EBITDA)</t>
  </si>
  <si>
    <t>IS</t>
  </si>
  <si>
    <t>Résultat net (Net income)</t>
  </si>
  <si>
    <t>DEPENSES D'INVESTISSEMENT (CAPEX)  - R&amp;D et PROTOTYPE</t>
  </si>
  <si>
    <t>Variation du Fonds de Roulement</t>
  </si>
  <si>
    <t>Flux de Trésorerie internes</t>
  </si>
  <si>
    <t>EXIT (EBITDA*6)</t>
  </si>
  <si>
    <t>CFE Cash Flow to Equity</t>
  </si>
  <si>
    <t>Flux de trésorerie investisseur</t>
  </si>
  <si>
    <t>FONDS de ROULEMENTS</t>
  </si>
  <si>
    <t>Total des coûts de l'ensemble des Cottage installé</t>
  </si>
  <si>
    <t>Coût Administratif par Cottage installé</t>
  </si>
  <si>
    <t>TYPE of WORKS</t>
  </si>
  <si>
    <t>System</t>
  </si>
  <si>
    <t>ENGLISH</t>
  </si>
  <si>
    <t>Units</t>
  </si>
  <si>
    <t>Price to be paid</t>
  </si>
  <si>
    <t>Q-ty of units</t>
  </si>
  <si>
    <t>Price per unite, calculated</t>
  </si>
  <si>
    <t>Who</t>
  </si>
  <si>
    <t>Remarks</t>
  </si>
  <si>
    <t>Kit meublé</t>
  </si>
  <si>
    <t>A. Construction</t>
  </si>
  <si>
    <t>CM</t>
  </si>
  <si>
    <t>Construction Module</t>
  </si>
  <si>
    <t>Sq M</t>
  </si>
  <si>
    <t>Ozols</t>
  </si>
  <si>
    <t>The price per square meter is the same</t>
  </si>
  <si>
    <t>A. Construction</t>
  </si>
  <si>
    <t>CT</t>
  </si>
  <si>
    <t>Constructon Terrase</t>
  </si>
  <si>
    <t>Sq M</t>
  </si>
  <si>
    <t>Ozols</t>
  </si>
  <si>
    <t>The price per square meter is the same</t>
  </si>
  <si>
    <t>A. Construction</t>
  </si>
  <si>
    <t>WD</t>
  </si>
  <si>
    <t>Windows &amp; Doors</t>
  </si>
  <si>
    <t>Sq M</t>
  </si>
  <si>
    <t>Ozols</t>
  </si>
  <si>
    <t>No patio sliding door, no internal door, cheeper outer and bathroom doors. 3 windows 1.6*1.4 and doors- outer and to bathroom</t>
  </si>
  <si>
    <t>A. Construction</t>
  </si>
  <si>
    <t>WH</t>
  </si>
  <si>
    <t>Wall covering and Handrails</t>
  </si>
  <si>
    <t>Sq M</t>
  </si>
  <si>
    <t>Ozols</t>
  </si>
  <si>
    <t>Only kitchen is made with plastic and metal home-made rails are used everywhere.</t>
  </si>
  <si>
    <t>B. Equipements de base</t>
  </si>
  <si>
    <t>ES</t>
  </si>
  <si>
    <t>Electric System</t>
  </si>
  <si>
    <t>Sq M</t>
  </si>
  <si>
    <t>Ozols</t>
  </si>
  <si>
    <t>Electric network, lights, including LED floor illumination (chemin lumineuse)</t>
  </si>
  <si>
    <t>B. Equipements de base</t>
  </si>
  <si>
    <t>FI</t>
  </si>
  <si>
    <t>Fire System</t>
  </si>
  <si>
    <t>SC</t>
  </si>
  <si>
    <t>Ozols</t>
  </si>
  <si>
    <t>Panel of system, 2 smoke detectors, extiguisher</t>
  </si>
  <si>
    <t>B. Equipements de base</t>
  </si>
  <si>
    <t>HV</t>
  </si>
  <si>
    <t>HVAC Heating Ventilation Air Conditionnning</t>
  </si>
  <si>
    <t>SC</t>
  </si>
  <si>
    <t>Ozols</t>
  </si>
  <si>
    <t>Air conditionner, Ventilation for bathroom and kitchen, warm floor</t>
  </si>
  <si>
    <t>B. Equipements de base</t>
  </si>
  <si>
    <t>SH</t>
  </si>
  <si>
    <t>Smart House Controller (Domotics)</t>
  </si>
  <si>
    <t>Sq M</t>
  </si>
  <si>
    <t>Ozols</t>
  </si>
  <si>
    <t>The simplest smart house controller (Four regimes of lighting for rooms)</t>
  </si>
  <si>
    <t>B. Equipements de base</t>
  </si>
  <si>
    <t>SP</t>
  </si>
  <si>
    <t>Sewage pumps</t>
  </si>
  <si>
    <t>Pump</t>
  </si>
  <si>
    <t>Ozols</t>
  </si>
  <si>
    <t>2 sewage pumps (one for toilet, one for shower)</t>
  </si>
  <si>
    <t>B. Equipements de base</t>
  </si>
  <si>
    <t>SB</t>
  </si>
  <si>
    <t>Salle de bain equipé (+Sanitary System de la cuisine)</t>
  </si>
  <si>
    <t>SC</t>
  </si>
  <si>
    <t>Ozols</t>
  </si>
  <si>
    <t>boiler, toilet seat, thermostat, tubes, fittings. No specialised shower kit ERLAU. Lavabo simple de la cuisine</t>
  </si>
  <si>
    <t>C. Livraison &amp; Raccordement</t>
  </si>
  <si>
    <t>IS</t>
  </si>
  <si>
    <t>Installation on place</t>
  </si>
  <si>
    <t>Person*Day</t>
  </si>
  <si>
    <t>Ozols</t>
  </si>
  <si>
    <t>For assembling of 20sqm variant the team should come by it's own car, not to pay for air- tickets. To assemble it should take longer, because it's assembled on place. But we keep the manufacturing per square meter on the same level, so it means that the same job which was done in Pope, should be done in France</t>
  </si>
  <si>
    <t>C. Livraison &amp; Raccordement</t>
  </si>
  <si>
    <t>MA</t>
  </si>
  <si>
    <t>Marketing of sales of cottage</t>
  </si>
  <si>
    <t>Ozols</t>
  </si>
  <si>
    <t>Only visualisation on place (sketch and google maps) to present to future owner</t>
  </si>
  <si>
    <t>C. Livraison &amp; Raccordement</t>
  </si>
  <si>
    <t>TP</t>
  </si>
  <si>
    <t>Transport</t>
  </si>
  <si>
    <t>Truck</t>
  </si>
  <si>
    <t>Ozols</t>
  </si>
  <si>
    <t>One truck</t>
  </si>
  <si>
    <t>C. Livraison &amp; Raccordement</t>
  </si>
  <si>
    <t>UC</t>
  </si>
  <si>
    <t>Utilities Connections</t>
  </si>
  <si>
    <t>SC</t>
  </si>
  <si>
    <t>Ozols</t>
  </si>
  <si>
    <t>Water and canalisation should be cheaper, because of the fact of presence of pumps, teh internet should be cheaper also.</t>
  </si>
  <si>
    <t>C. Livraison &amp; Raccordement</t>
  </si>
  <si>
    <t>UL</t>
  </si>
  <si>
    <t>Unloading</t>
  </si>
  <si>
    <t>SC</t>
  </si>
  <si>
    <t>Ozols</t>
  </si>
  <si>
    <t>Should not need for the technic at all</t>
  </si>
  <si>
    <t>C. Livraison &amp; Raccordement</t>
  </si>
  <si>
    <t>WE</t>
  </si>
  <si>
    <t>Works &amp; Expertises other</t>
  </si>
  <si>
    <t>SC</t>
  </si>
  <si>
    <t>Ozols</t>
  </si>
  <si>
    <t>The energy consumption expertise should be considered as capex, not COGS. Currency exchange not more than 100 euros. All the figures should be fixed in euros.</t>
  </si>
  <si>
    <t>D. Options d'installation payantes</t>
  </si>
  <si>
    <t>LG</t>
  </si>
  <si>
    <t>Dossier for filing for construction permission</t>
  </si>
  <si>
    <t>hour</t>
  </si>
  <si>
    <t>Senior Cottage</t>
  </si>
  <si>
    <t>we have to find architect 2 times cheaper than for the first try</t>
  </si>
  <si>
    <t>D. Options d'installation payantes</t>
  </si>
  <si>
    <t>UC</t>
  </si>
  <si>
    <t>Preparation the in- house networks fro Utilities Connections</t>
  </si>
  <si>
    <t>Senior Cottage</t>
  </si>
  <si>
    <t>E. Kit Meublé</t>
  </si>
  <si>
    <t>AV</t>
  </si>
  <si>
    <t>Audio Video</t>
  </si>
  <si>
    <t>SC</t>
  </si>
  <si>
    <t>Ozols</t>
  </si>
  <si>
    <t>1 wall- mounted TV</t>
  </si>
  <si>
    <t>E. Kit Meublé</t>
  </si>
  <si>
    <t>FF</t>
  </si>
  <si>
    <t>Furniture Fixed</t>
  </si>
  <si>
    <t>SC</t>
  </si>
  <si>
    <t>Ozols</t>
  </si>
  <si>
    <t>Bookshelves, table, wardrobe, wc rack, wc shelf. Everything should be bought either in IKEA or in SOFACTORY.FR or in any resemble shop of prefabricated furniture</t>
  </si>
  <si>
    <t>E. Kit Meublé</t>
  </si>
  <si>
    <t>FM</t>
  </si>
  <si>
    <t>Furniture Movable</t>
  </si>
  <si>
    <t>SC</t>
  </si>
  <si>
    <t>Ozols</t>
  </si>
  <si>
    <t>Simple medicalised bed, 2 chairs, simple bedside table</t>
  </si>
  <si>
    <t>E. Kit Meublé</t>
  </si>
  <si>
    <t>KI</t>
  </si>
  <si>
    <t>Kitchen Group</t>
  </si>
  <si>
    <t>SC</t>
  </si>
  <si>
    <t>Ozols</t>
  </si>
  <si>
    <t>Furniture from IKEA (1000 euros), fridge, stove, Micro-wave. No atomated table.</t>
  </si>
  <si>
    <t>E. Kit Meublé</t>
  </si>
  <si>
    <t>LB</t>
  </si>
  <si>
    <t>Light Blinds Doors</t>
  </si>
  <si>
    <t>SC</t>
  </si>
  <si>
    <t>Ozols</t>
  </si>
  <si>
    <t>Sophisticated controller</t>
  </si>
  <si>
    <t>E. Kit Meublé</t>
  </si>
  <si>
    <t>MP</t>
  </si>
  <si>
    <t>Medical &amp; Paramedical group</t>
  </si>
  <si>
    <t>SC</t>
  </si>
  <si>
    <t>Ozols</t>
  </si>
  <si>
    <t>Turnable mirror, smell distructors. Grab rails not special, but usual and included into WH group</t>
  </si>
  <si>
    <t>E. Kit Meublé</t>
  </si>
  <si>
    <t>SE</t>
  </si>
  <si>
    <t>Small Elements</t>
  </si>
  <si>
    <t>SC</t>
  </si>
  <si>
    <t>Ozols</t>
  </si>
  <si>
    <t>Pictures on the walls and coverlet, pictograms</t>
  </si>
  <si>
    <t>F. Options additionnelles</t>
  </si>
  <si>
    <t>AR</t>
  </si>
  <si>
    <t>Architectural project</t>
  </si>
  <si>
    <t>Sq M</t>
  </si>
  <si>
    <t>Ozols</t>
  </si>
  <si>
    <t>Will not put the architectural work of creating of 20sqM model to this file. Will consider it as investment; Nevemind. It should not cost more thern 1500 euros</t>
  </si>
  <si>
    <t>F. Options additionnelles</t>
  </si>
  <si>
    <t>CR</t>
  </si>
  <si>
    <t>Construction project</t>
  </si>
  <si>
    <t>Sq M</t>
  </si>
  <si>
    <t>Ozols</t>
  </si>
  <si>
    <t>Should not be more than 500 euros, but will not put to this file, because it's not COGS</t>
  </si>
  <si>
    <t>F. Options additionnelles</t>
  </si>
  <si>
    <t>CS</t>
  </si>
  <si>
    <t>Call System</t>
  </si>
  <si>
    <t>SC</t>
  </si>
  <si>
    <t>Ozols</t>
  </si>
  <si>
    <t>Nothing</t>
  </si>
  <si>
    <t>F. Options additionnelles</t>
  </si>
  <si>
    <t>EC</t>
  </si>
  <si>
    <t>External Communication system</t>
  </si>
  <si>
    <t>SC</t>
  </si>
  <si>
    <t>Ozols</t>
  </si>
  <si>
    <t>Connecting only to the main house</t>
  </si>
  <si>
    <t>F. Options additionnelles</t>
  </si>
  <si>
    <t>FC</t>
  </si>
  <si>
    <t>Fall Control system</t>
  </si>
  <si>
    <t>SC</t>
  </si>
  <si>
    <t>Ozols</t>
  </si>
  <si>
    <t>Nothing</t>
  </si>
  <si>
    <t>F. Options additionnelles</t>
  </si>
  <si>
    <t>PC</t>
  </si>
  <si>
    <t>Program Complex</t>
  </si>
  <si>
    <t>SC</t>
  </si>
  <si>
    <t>Ozols</t>
  </si>
  <si>
    <t>Nothing</t>
  </si>
  <si>
    <t>F. Options additionnelles</t>
  </si>
  <si>
    <t>TR</t>
  </si>
  <si>
    <t>Transport System</t>
  </si>
  <si>
    <t>SC</t>
  </si>
  <si>
    <t>Ozols</t>
  </si>
  <si>
    <t>Nothing</t>
  </si>
  <si>
    <t>TOTAL</t>
  </si>
  <si>
    <t>Marge par cottage</t>
  </si>
  <si>
    <t>Prix total tout inclus HT</t>
  </si>
  <si>
    <t>Prix total tout inclus TTC</t>
  </si>
  <si>
    <t>Elements inclus</t>
  </si>
  <si>
    <t>A. Prix de revient de la construction</t>
  </si>
  <si>
    <t>B. Prix de revient des équipements de base</t>
  </si>
  <si>
    <t>C. Prix de revient de la livraison, l'installation et  du raccordement (TIC- Transportation, Installation, Connection)</t>
  </si>
  <si>
    <t>Elements optionnels</t>
  </si>
  <si>
    <t>D. Prix de revient démarches et installation payante (réseaux)</t>
  </si>
  <si>
    <t>E. Prix de revient du kit meublé</t>
  </si>
  <si>
    <t>F. Options additonnelles</t>
  </si>
  <si>
    <t>Check</t>
  </si>
  <si>
    <t>Salaire (par mois euros, q-té FTE)</t>
  </si>
  <si>
    <t>DG</t>
  </si>
  <si>
    <t>Salaire (par mois euros, q-té FTE)</t>
  </si>
  <si>
    <t>Assistante</t>
  </si>
  <si>
    <t>Salaire (par mois euros, q-té FTE)</t>
  </si>
  <si>
    <t>Directeur ajoint</t>
  </si>
  <si>
    <t>Salaire (par mois euros, q-té FTE)</t>
  </si>
  <si>
    <t>Technical assistant</t>
  </si>
  <si>
    <t>Salaire (par mois euros, q-té FTE)</t>
  </si>
  <si>
    <t>R&amp;D responsable</t>
  </si>
  <si>
    <t>FTE</t>
  </si>
  <si>
    <t>Charges sociales (%)</t>
  </si>
  <si>
    <t>Bureau (prix par m carre par mois, la q-té des metres carrés)</t>
  </si>
  <si>
    <t>Deplacement (par voyage, q-té de voyages)</t>
  </si>
  <si>
    <t>En France</t>
  </si>
  <si>
    <t>Deplacement (par voyage, q-té de voyages)</t>
  </si>
  <si>
    <t>En Europe</t>
  </si>
  <si>
    <t>Autres depenses</t>
  </si>
  <si>
    <t>Salaire</t>
  </si>
  <si>
    <t>Salaire</t>
  </si>
  <si>
    <t>Salaire</t>
  </si>
  <si>
    <t>Salaire</t>
  </si>
  <si>
    <t>Salaire</t>
  </si>
  <si>
    <t>Salaire</t>
  </si>
  <si>
    <t>TOTAL</t>
  </si>
  <si>
    <t>Charges sociales</t>
  </si>
  <si>
    <t>Bureau, TTC</t>
  </si>
  <si>
    <t>Deplacement</t>
  </si>
  <si>
    <t>Deplacement</t>
  </si>
  <si>
    <t>Deplacement</t>
  </si>
  <si>
    <t>TOTAL</t>
  </si>
  <si>
    <t>Autre dépénses</t>
  </si>
  <si>
    <t>TOTAL COUTS ADMINISTRATIVES</t>
  </si>
  <si>
    <t>Quantité de produits vendues par an</t>
  </si>
  <si>
    <t>Module de base</t>
  </si>
  <si>
    <t>Kit 'meublé'</t>
  </si>
  <si>
    <t>Service sur place</t>
  </si>
  <si>
    <t>Maintenance</t>
  </si>
  <si>
    <t>Pour 1 Cottage</t>
  </si>
  <si>
    <t>TVA</t>
  </si>
  <si>
    <t>MARGE BRUTE</t>
  </si>
  <si>
    <t>TOTAL</t>
  </si>
  <si>
    <t>Pour 1 Senior Cottage, HT, en 2015</t>
  </si>
</sst>
</file>

<file path=xl/styles.xml><?xml version="1.0" encoding="utf-8"?>
<styleSheet xmlns="http://schemas.openxmlformats.org/spreadsheetml/2006/main" xmlns:x14ac="http://schemas.microsoft.com/office/spreadsheetml/2009/9/ac" xmlns:mc="http://schemas.openxmlformats.org/markup-compatibility/2006">
  <numFmts count="11">
    <numFmt numFmtId="164" formatCode="#,##0.00\ [$€-1]"/>
    <numFmt numFmtId="165" formatCode="&quot;$&quot;#,##0\ ;&quot;$&quot;\(#,##0\)"/>
    <numFmt numFmtId="166" formatCode="[$€-2]\ #,##0.00"/>
    <numFmt numFmtId="167" formatCode="#,##0\ [$€-1]"/>
    <numFmt numFmtId="168" formatCode="_-* #,##0\ _€_-;\-* #,##0\ _€_-;_-* &quot;-&quot;??\ _€_-;_-@"/>
    <numFmt numFmtId="169" formatCode="&quot;  &quot;mmmm&quot; &quot;yyyy&quot; ::&quot;"/>
    <numFmt numFmtId="170" formatCode="#,##0.###############"/>
    <numFmt numFmtId="171" formatCode="_-* #,##0.00\ _€_-;\-* #,##0.00\ _€_-;_-* &quot;-&quot;??\ _€_-;_-@"/>
    <numFmt numFmtId="172" formatCode="#,##0\ _€"/>
    <numFmt numFmtId="173" formatCode="[$€-2]\ #,##0"/>
    <numFmt numFmtId="174" formatCode="_-* #,##0\ &quot;€&quot;_-;\-* #,##0\ &quot;€&quot;_-;_-* &quot;-&quot;??\ &quot;€&quot;_-;_-@"/>
  </numFmts>
  <fonts count="36">
    <font>
      <sz val="10.0"/>
      <name val="Arial"/>
    </font>
    <font/>
    <font>
      <sz val="10.0"/>
      <color rgb="FF000000"/>
    </font>
    <font>
      <b/>
    </font>
    <font>
      <sz val="9.0"/>
      <color rgb="FF000000"/>
      <name val="Calibri"/>
    </font>
    <font>
      <color rgb="FF000000"/>
    </font>
    <font>
      <b/>
      <sz val="9.0"/>
      <color rgb="FF000000"/>
      <name val="Calibri"/>
    </font>
    <font>
      <b/>
      <sz val="10.0"/>
      <color rgb="FF000000"/>
    </font>
    <font>
      <b/>
      <color rgb="FF000000"/>
    </font>
    <font>
      <sz val="10.0"/>
      <color rgb="FF000000"/>
      <name val="Arial"/>
    </font>
    <font>
      <sz val="12.0"/>
      <color rgb="FF000000"/>
      <name val="Calibri"/>
    </font>
    <font>
      <b/>
      <sz val="10.0"/>
      <color rgb="FF000000"/>
      <name val="Arial"/>
    </font>
    <font>
      <b/>
      <sz val="12.0"/>
      <color rgb="FF000000"/>
      <name val="Calibri"/>
    </font>
    <font>
      <i/>
      <sz val="10.0"/>
      <color rgb="FF000000"/>
      <name val="Arial"/>
    </font>
    <font>
      <i/>
      <sz val="12.0"/>
      <color rgb="FF000000"/>
      <name val="Calibri"/>
    </font>
    <font>
      <sz val="10.0"/>
    </font>
    <font>
      <sz val="9.0"/>
    </font>
    <font>
      <sz val="9.0"/>
      <color rgb="FFFF9900"/>
    </font>
    <font>
      <b/>
      <sz val="9.0"/>
      <color rgb="FFFF9900"/>
    </font>
    <font>
      <sz val="10.0"/>
      <color rgb="FF7E3794"/>
    </font>
    <font>
      <sz val="10.0"/>
      <color rgb="FF11A9CC"/>
    </font>
    <font>
      <b/>
      <sz val="10.0"/>
      <color rgb="FFF7981D"/>
    </font>
    <font>
      <sz val="10.0"/>
      <color rgb="FFF7981D"/>
    </font>
    <font>
      <b/>
      <i/>
      <sz val="12.0"/>
      <color rgb="FF0000FF"/>
      <name val="Arial"/>
    </font>
    <font>
      <b/>
      <i/>
      <sz val="12.0"/>
      <color rgb="FF0000FF"/>
    </font>
    <font>
      <b/>
      <sz val="11.0"/>
    </font>
    <font>
      <b/>
      <sz val="11.0"/>
      <color rgb="FF000000"/>
      <name val="Calibri"/>
    </font>
    <font>
      <b/>
      <i/>
      <sz val="10.0"/>
      <color rgb="FF0000FF"/>
      <name val="Arial"/>
    </font>
    <font>
      <b/>
      <i/>
      <color rgb="FF0000FF"/>
    </font>
    <font>
      <sz val="12.0"/>
      <color rgb="FFFF9900"/>
      <name val="Calibri"/>
    </font>
    <font>
      <sz val="12.0"/>
      <color rgb="FF073763"/>
      <name val="Calibri"/>
    </font>
    <font>
      <b/>
      <sz val="10.0"/>
    </font>
    <font>
      <sz val="10.0"/>
      <color rgb="FF000000"/>
      <name val="Calibri"/>
    </font>
    <font>
      <b/>
      <sz val="10.0"/>
      <color rgb="FF000000"/>
      <name val="Calibri"/>
    </font>
    <font>
      <sz val="9.0"/>
      <color rgb="FF000000"/>
      <name val="Arial"/>
    </font>
    <font>
      <b/>
      <i/>
      <sz val="12.0"/>
      <color rgb="FF000000"/>
      <name val="Calibri"/>
    </font>
  </fonts>
  <fills count="12">
    <fill>
      <patternFill patternType="none"/>
    </fill>
    <fill>
      <patternFill patternType="lightGray"/>
    </fill>
    <fill>
      <patternFill patternType="solid">
        <fgColor rgb="FFFFFFFF"/>
        <bgColor rgb="FFFFFFFF"/>
      </patternFill>
    </fill>
    <fill>
      <patternFill patternType="solid">
        <fgColor rgb="FFD8D8D8"/>
        <bgColor rgb="FFD8D8D8"/>
      </patternFill>
    </fill>
    <fill>
      <patternFill patternType="solid">
        <fgColor rgb="FFD0E0E3"/>
        <bgColor rgb="FFD0E0E3"/>
      </patternFill>
    </fill>
    <fill>
      <patternFill patternType="solid">
        <fgColor rgb="FFD9EAD3"/>
        <bgColor rgb="FFD9EAD3"/>
      </patternFill>
    </fill>
    <fill>
      <patternFill patternType="solid">
        <fgColor rgb="FFCFE2F3"/>
        <bgColor rgb="FFCFE2F3"/>
      </patternFill>
    </fill>
    <fill>
      <patternFill patternType="solid">
        <fgColor rgb="FFEFEFEF"/>
        <bgColor rgb="FFEFEFEF"/>
      </patternFill>
    </fill>
    <fill>
      <patternFill patternType="solid">
        <fgColor rgb="FFC9DAF8"/>
        <bgColor rgb="FFC9DAF8"/>
      </patternFill>
    </fill>
    <fill>
      <patternFill patternType="solid">
        <fgColor rgb="FFFFD966"/>
        <bgColor rgb="FFFFD966"/>
      </patternFill>
    </fill>
    <fill>
      <patternFill patternType="solid">
        <fgColor rgb="FFFF9900"/>
        <bgColor rgb="FFFF9900"/>
      </patternFill>
    </fill>
    <fill>
      <patternFill patternType="solid">
        <fgColor rgb="FFFF0000"/>
        <bgColor rgb="FFFF0000"/>
      </patternFill>
    </fill>
  </fills>
  <borders count="24">
    <border>
      <left/>
      <right/>
      <top/>
      <bottom/>
      <diagonal/>
    </border>
    <border>
      <left/>
      <right/>
      <top/>
      <bottom/>
    </border>
    <border>
      <left style="medium">
        <color rgb="FF000000"/>
      </left>
      <right/>
      <top/>
      <bottom/>
    </border>
    <border>
      <left style="thin">
        <color rgb="FF000000"/>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bottom/>
    </border>
    <border>
      <left/>
      <right style="thin">
        <color rgb="FF000000"/>
      </right>
      <top/>
      <bottom/>
    </border>
    <border>
      <left style="thin">
        <color rgb="FF000000"/>
      </left>
      <right/>
      <top/>
      <bottom style="thin">
        <color rgb="FF000000"/>
      </bottom>
    </border>
    <border>
      <left/>
      <right style="thin">
        <color rgb="FF000000"/>
      </right>
      <top/>
      <bottom style="thin">
        <color rgb="FF000000"/>
      </bottom>
    </border>
    <border>
      <left/>
      <right/>
      <top/>
      <bottom style="thin">
        <color rgb="FF0000FF"/>
      </bottom>
    </border>
    <border>
      <left style="medium">
        <color rgb="FF000000"/>
      </left>
      <right/>
      <top style="medium">
        <color rgb="FF000000"/>
      </top>
      <bottom/>
    </border>
    <border>
      <left/>
      <right style="medium">
        <color rgb="FF000000"/>
      </right>
      <top style="medium">
        <color rgb="FF000000"/>
      </top>
      <bottom/>
    </border>
    <border>
      <left/>
      <right/>
      <top style="medium">
        <color rgb="FF000000"/>
      </top>
      <bottom/>
    </border>
    <border>
      <left style="medium">
        <color rgb="FF000000"/>
      </left>
      <right style="medium">
        <color rgb="FF000000"/>
      </right>
      <top style="medium">
        <color rgb="FF000000"/>
      </top>
      <bottom/>
    </border>
    <border>
      <left/>
      <right style="medium">
        <color rgb="FF000000"/>
      </right>
      <top/>
      <bottom/>
    </border>
    <border>
      <left style="medium">
        <color rgb="FF000000"/>
      </left>
      <right style="medium">
        <color rgb="FF000000"/>
      </right>
      <top/>
      <bottom/>
    </border>
    <border>
      <left style="medium">
        <color rgb="FF000000"/>
      </left>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right style="medium">
        <color rgb="FF000000"/>
      </right>
      <top style="medium">
        <color rgb="FF000000"/>
      </top>
      <bottom style="medium">
        <color rgb="FF000000"/>
      </bottom>
    </border>
    <border>
      <left/>
      <right/>
      <top style="medium">
        <color rgb="FF000000"/>
      </top>
      <bottom style="medium">
        <color rgb="FF000000"/>
      </bottom>
    </border>
    <border>
      <left style="medium">
        <color rgb="FF000000"/>
      </left>
      <right style="medium">
        <color rgb="FF000000"/>
      </right>
      <top/>
      <bottom style="medium">
        <color rgb="FF000000"/>
      </bottom>
    </border>
    <border>
      <left style="medium">
        <color rgb="FF000000"/>
      </left>
      <right/>
      <top/>
      <bottom style="medium">
        <color rgb="FF000000"/>
      </bottom>
    </border>
    <border>
      <left/>
      <right style="medium">
        <color rgb="FF000000"/>
      </right>
      <top/>
      <bottom style="medium">
        <color rgb="FF000000"/>
      </bottom>
    </border>
    <border>
      <left/>
      <right/>
      <top/>
      <bottom style="medium">
        <color rgb="FF000000"/>
      </bottom>
    </border>
  </borders>
  <cellStyleXfs count="1">
    <xf fillId="0" numFmtId="0" borderId="0" fontId="0"/>
  </cellStyleXfs>
  <cellXfs count="242">
    <xf fillId="0" numFmtId="0" borderId="0" fontId="0"/>
    <xf applyAlignment="1" fillId="0" xfId="0" numFmtId="0" borderId="1" applyFont="1" fontId="1">
      <alignment horizontal="center" wrapText="1"/>
    </xf>
    <xf applyAlignment="1" fillId="0" xfId="0" numFmtId="1" borderId="1" applyFont="1" fontId="1" applyNumberFormat="1">
      <alignment wrapText="1"/>
    </xf>
    <xf applyAlignment="1" fillId="2" xfId="0" numFmtId="4" borderId="1" applyFont="1" fontId="2" applyNumberFormat="1" applyFill="1">
      <alignment wrapText="1"/>
    </xf>
    <xf applyAlignment="1" fillId="0" xfId="0" numFmtId="4" borderId="1" applyFont="1" fontId="1" applyNumberFormat="1">
      <alignment wrapText="1"/>
    </xf>
    <xf applyAlignment="1" fillId="0" xfId="0" numFmtId="3" borderId="1" applyFont="1" fontId="1" applyNumberFormat="1">
      <alignment wrapText="1"/>
    </xf>
    <xf applyAlignment="1" fillId="0" xfId="0" numFmtId="0" borderId="1" applyFont="1" fontId="3">
      <alignment wrapText="1"/>
    </xf>
    <xf applyAlignment="1" fillId="0" xfId="0" numFmtId="1" borderId="1" applyFont="1" fontId="3" applyNumberFormat="1">
      <alignment wrapText="1"/>
    </xf>
    <xf fillId="0" xfId="0" numFmtId="164" borderId="1" applyFont="1" fontId="4" applyNumberFormat="1"/>
    <xf applyAlignment="1" fillId="2" xfId="0" numFmtId="164" borderId="1" applyFont="1" fontId="2" applyNumberFormat="1">
      <alignment wrapText="1"/>
    </xf>
    <xf applyAlignment="1" fillId="0" xfId="0" numFmtId="164" borderId="1" applyFont="1" fontId="5" applyNumberFormat="1">
      <alignment wrapText="1"/>
    </xf>
    <xf fillId="0" xfId="0" numFmtId="164" borderId="1" applyFont="1" fontId="6" applyNumberFormat="1"/>
    <xf applyAlignment="1" fillId="2" xfId="0" numFmtId="164" borderId="1" applyFont="1" fontId="7" applyNumberFormat="1">
      <alignment wrapText="1"/>
    </xf>
    <xf applyAlignment="1" fillId="0" xfId="0" numFmtId="164" borderId="1" applyFont="1" fontId="8" applyNumberFormat="1">
      <alignment wrapText="1"/>
    </xf>
    <xf applyAlignment="1" fillId="0" xfId="0" numFmtId="0" borderId="1" applyFont="1" fontId="3">
      <alignment wrapText="1"/>
    </xf>
    <xf applyAlignment="1" fillId="2" xfId="0" numFmtId="10" borderId="1" applyFont="1" fontId="7" applyNumberFormat="1">
      <alignment wrapText="1"/>
    </xf>
    <xf applyAlignment="1" fillId="0" xfId="0" numFmtId="0" borderId="1" applyFont="1" fontId="1">
      <alignment wrapText="1"/>
    </xf>
    <xf applyAlignment="1" fillId="0" xfId="0" numFmtId="164" borderId="1" applyFont="1" fontId="1" applyNumberFormat="1">
      <alignment wrapText="1"/>
    </xf>
    <xf applyAlignment="1" fillId="0" xfId="0" numFmtId="0" borderId="1" applyFont="1" fontId="9">
      <alignment wrapText="1"/>
    </xf>
    <xf fillId="0" xfId="0" numFmtId="165" borderId="1" applyFont="1" fontId="10" applyNumberFormat="1"/>
    <xf fillId="0" xfId="0" numFmtId="9" borderId="1" applyFont="1" fontId="10" applyNumberFormat="1"/>
    <xf fillId="3" xfId="0" numFmtId="0" borderId="1" applyFont="1" fontId="10" applyFill="1"/>
    <xf fillId="3" xfId="0" numFmtId="166" borderId="1" applyFont="1" fontId="10" applyNumberFormat="1"/>
    <xf fillId="3" xfId="0" numFmtId="9" borderId="1" applyFont="1" fontId="10" applyNumberFormat="1"/>
    <xf fillId="0" xfId="0" numFmtId="0" borderId="1" applyFont="1" fontId="10"/>
    <xf applyAlignment="1" fillId="0" xfId="0" numFmtId="166" borderId="1" applyFont="1" fontId="10" applyNumberFormat="1">
      <alignment/>
    </xf>
    <xf applyAlignment="1" fillId="0" xfId="0" numFmtId="10" borderId="1" applyFont="1" fontId="10" applyNumberFormat="1">
      <alignment/>
    </xf>
    <xf applyAlignment="1" fillId="0" xfId="0" numFmtId="0" borderId="1" applyFont="1" fontId="11">
      <alignment wrapText="1"/>
    </xf>
    <xf fillId="0" xfId="0" numFmtId="0" borderId="1" applyFont="1" fontId="12"/>
    <xf fillId="4" xfId="0" numFmtId="166" borderId="1" applyFont="1" fontId="12" applyNumberFormat="1" applyFill="1"/>
    <xf fillId="0" xfId="0" numFmtId="9" borderId="1" applyFont="1" fontId="12" applyNumberFormat="1"/>
    <xf fillId="0" xfId="0" numFmtId="166" borderId="1" applyFont="1" fontId="10" applyNumberFormat="1"/>
    <xf fillId="4" xfId="0" numFmtId="166" borderId="1" applyFont="1" fontId="10" applyNumberFormat="1"/>
    <xf applyAlignment="1" fillId="0" xfId="0" numFmtId="0" borderId="1" applyFont="1" fontId="9">
      <alignment wrapText="1"/>
    </xf>
    <xf applyAlignment="1" fillId="0" xfId="0" numFmtId="0" borderId="1" applyFont="1" fontId="10">
      <alignment/>
    </xf>
    <xf applyAlignment="1" fillId="3" xfId="0" numFmtId="0" borderId="1" applyFont="1" fontId="9">
      <alignment wrapText="1"/>
    </xf>
    <xf applyAlignment="1" fillId="3" xfId="0" numFmtId="0" borderId="1" applyFont="1" fontId="10">
      <alignment/>
    </xf>
    <xf fillId="0" xfId="0" numFmtId="167" borderId="1" applyFont="1" fontId="10" applyNumberFormat="1"/>
    <xf applyAlignment="1" fillId="5" xfId="0" numFmtId="0" borderId="1" applyFont="1" fontId="10" applyFill="1">
      <alignment/>
    </xf>
    <xf fillId="5" xfId="0" numFmtId="0" borderId="1" applyFont="1" fontId="10"/>
    <xf fillId="0" xfId="0" numFmtId="166" borderId="1" applyFont="1" fontId="12" applyNumberFormat="1"/>
    <xf fillId="5" xfId="0" numFmtId="0" borderId="1" applyFont="1" fontId="12"/>
    <xf fillId="5" xfId="0" numFmtId="10" borderId="1" applyFont="1" fontId="12" applyNumberFormat="1"/>
    <xf applyAlignment="1" fillId="0" xfId="0" numFmtId="9" borderId="1" applyFont="1" fontId="10" applyNumberFormat="1">
      <alignment/>
    </xf>
    <xf applyAlignment="1" fillId="0" xfId="0" numFmtId="0" borderId="1" applyFont="1" fontId="13">
      <alignment wrapText="1"/>
    </xf>
    <xf fillId="0" xfId="0" numFmtId="0" borderId="1" applyFont="1" fontId="14"/>
    <xf fillId="0" xfId="0" numFmtId="166" borderId="1" applyFont="1" fontId="14" applyNumberFormat="1"/>
    <xf fillId="0" xfId="0" numFmtId="9" borderId="1" applyFont="1" fontId="14" applyNumberFormat="1"/>
    <xf applyAlignment="1" fillId="0" xfId="0" numFmtId="0" borderId="1" applyFont="1" fontId="10">
      <alignment horizontal="left"/>
    </xf>
    <xf applyAlignment="1" fillId="0" xfId="0" numFmtId="168" borderId="1" applyFont="1" fontId="10" applyNumberFormat="1">
      <alignment/>
    </xf>
    <xf applyAlignment="1" fillId="2" xfId="0" numFmtId="0" borderId="1" applyFont="1" fontId="15">
      <alignment wrapText="1"/>
    </xf>
    <xf applyAlignment="1" fillId="6" xfId="0" numFmtId="10" borderId="1" applyFont="1" fontId="10" applyNumberFormat="1" applyFill="1">
      <alignment/>
    </xf>
    <xf applyBorder="1" applyAlignment="1" fillId="0" xfId="0" numFmtId="0" borderId="2" applyFont="1" fontId="9">
      <alignment wrapText="1"/>
    </xf>
    <xf applyAlignment="1" fillId="0" xfId="0" numFmtId="169" borderId="1" applyFont="1" fontId="9" applyNumberFormat="1">
      <alignment wrapText="1"/>
    </xf>
    <xf applyAlignment="1" fillId="0" xfId="0" numFmtId="169" borderId="1" applyFont="1" fontId="1" applyNumberFormat="1">
      <alignment wrapText="1"/>
    </xf>
    <xf applyAlignment="1" fillId="0" xfId="0" numFmtId="169" borderId="1" applyFont="1" fontId="10" applyNumberFormat="1">
      <alignment/>
    </xf>
    <xf applyAlignment="1" fillId="0" xfId="0" numFmtId="166" borderId="1" applyFont="1" fontId="16" applyNumberFormat="1">
      <alignment/>
    </xf>
    <xf applyAlignment="1" fillId="0" xfId="0" numFmtId="170" borderId="1" applyFont="1" fontId="10" applyNumberFormat="1">
      <alignment/>
    </xf>
    <xf applyAlignment="1" fillId="0" xfId="0" numFmtId="166" borderId="1" applyFont="1" fontId="10" applyNumberFormat="1">
      <alignment horizontal="right"/>
    </xf>
    <xf applyAlignment="1" fillId="7" xfId="0" numFmtId="4" borderId="1" applyFont="1" fontId="17" applyNumberFormat="1" applyFill="1">
      <alignment/>
    </xf>
    <xf applyAlignment="1" fillId="0" xfId="0" numFmtId="4" borderId="1" applyFont="1" fontId="16" applyNumberFormat="1">
      <alignment/>
    </xf>
    <xf applyAlignment="1" fillId="0" xfId="0" numFmtId="4" borderId="1" applyFont="1" fontId="10" applyNumberFormat="1">
      <alignment/>
    </xf>
    <xf fillId="0" xfId="0" numFmtId="4" borderId="1" applyFont="1" fontId="10" applyNumberFormat="1"/>
    <xf applyAlignment="1" fillId="0" xfId="0" numFmtId="4" borderId="1" applyFont="1" fontId="10" applyNumberFormat="1">
      <alignment horizontal="right"/>
    </xf>
    <xf applyAlignment="1" fillId="0" xfId="0" numFmtId="4" borderId="1" applyFont="1" fontId="3" applyNumberFormat="1">
      <alignment wrapText="1"/>
    </xf>
    <xf applyAlignment="1" fillId="7" xfId="0" numFmtId="4" borderId="1" applyFont="1" fontId="18" applyNumberFormat="1">
      <alignment/>
    </xf>
    <xf applyAlignment="1" fillId="0" xfId="0" numFmtId="4" borderId="1" applyFont="1" fontId="12" applyNumberFormat="1">
      <alignment/>
    </xf>
    <xf fillId="0" xfId="0" numFmtId="4" borderId="1" applyFont="1" fontId="12" applyNumberFormat="1"/>
    <xf applyAlignment="1" fillId="0" xfId="0" numFmtId="0" borderId="1" applyFont="1" fontId="9">
      <alignment horizontal="right" wrapText="1"/>
    </xf>
    <xf applyBorder="1" applyAlignment="1" fillId="0" xfId="0" numFmtId="0" borderId="3" applyFont="1" fontId="10">
      <alignment horizontal="center"/>
    </xf>
    <xf applyBorder="1" applyAlignment="1" fillId="0" xfId="0" numFmtId="0" borderId="4" applyFont="1" fontId="10">
      <alignment horizontal="center"/>
    </xf>
    <xf applyBorder="1" applyAlignment="1" fillId="0" xfId="0" numFmtId="0" borderId="5" applyFont="1" fontId="10">
      <alignment horizontal="center"/>
    </xf>
    <xf applyBorder="1" applyAlignment="1" fillId="0" xfId="0" numFmtId="0" borderId="6" applyFont="1" fontId="10">
      <alignment horizontal="center"/>
    </xf>
    <xf applyBorder="1" applyAlignment="1" fillId="0" xfId="0" numFmtId="0" borderId="6" applyFont="1" fontId="1">
      <alignment horizontal="center" wrapText="1"/>
    </xf>
    <xf applyAlignment="1" fillId="3" xfId="0" numFmtId="166" borderId="1" applyFont="1" fontId="10" applyNumberFormat="1">
      <alignment horizontal="center"/>
    </xf>
    <xf applyAlignment="1" fillId="3" xfId="0" numFmtId="0" borderId="1" applyFont="1" fontId="10">
      <alignment horizontal="center"/>
    </xf>
    <xf applyBorder="1" fillId="3" xfId="0" numFmtId="0" borderId="5" applyFont="1" fontId="10"/>
    <xf applyBorder="1" fillId="3" xfId="0" numFmtId="0" borderId="6" applyFont="1" fontId="10"/>
    <xf applyBorder="1" fillId="0" xfId="0" numFmtId="0" borderId="5" applyFont="1" fontId="10"/>
    <xf applyBorder="1" fillId="0" xfId="0" numFmtId="0" borderId="6" applyFont="1" fontId="10"/>
    <xf applyBorder="1" applyAlignment="1" fillId="0" xfId="0" numFmtId="0" borderId="6" applyFont="1" fontId="1">
      <alignment wrapText="1"/>
    </xf>
    <xf applyAlignment="1" fillId="0" xfId="0" numFmtId="9" borderId="1" applyFont="1" fontId="1" applyNumberFormat="1">
      <alignment wrapText="1"/>
    </xf>
    <xf applyAlignment="1" fillId="0" xfId="0" numFmtId="0" borderId="1" applyFont="1" fontId="3">
      <alignment horizontal="right" wrapText="1"/>
    </xf>
    <xf applyAlignment="1" fillId="0" xfId="0" numFmtId="9" borderId="1" applyFont="1" fontId="1" applyNumberFormat="1">
      <alignment wrapText="1"/>
    </xf>
    <xf applyBorder="1" applyAlignment="1" fillId="0" xfId="0" numFmtId="0" borderId="5" applyFont="1" fontId="1">
      <alignment wrapText="1"/>
    </xf>
    <xf applyAlignment="1" fillId="0" xfId="0" numFmtId="9" borderId="1" applyFont="1" fontId="3" applyNumberFormat="1">
      <alignment wrapText="1"/>
    </xf>
    <xf applyAlignment="1" fillId="0" xfId="0" numFmtId="166" borderId="1" applyFont="1" fontId="1" applyNumberFormat="1">
      <alignment wrapText="1"/>
    </xf>
    <xf applyBorder="1" applyAlignment="1" fillId="0" xfId="0" numFmtId="0" borderId="7" applyFont="1" fontId="3">
      <alignment wrapText="1"/>
    </xf>
    <xf applyBorder="1" applyAlignment="1" fillId="0" xfId="0" numFmtId="0" borderId="8" applyFont="1" fontId="3">
      <alignment wrapText="1"/>
    </xf>
    <xf applyAlignment="1" fillId="0" xfId="0" numFmtId="0" borderId="1" applyFont="1" fontId="1">
      <alignment horizontal="right" wrapText="1"/>
    </xf>
    <xf applyAlignment="1" fillId="8" xfId="0" numFmtId="14" borderId="1" applyFont="1" fontId="1" applyNumberFormat="1" applyFill="1">
      <alignment wrapText="1"/>
    </xf>
    <xf applyAlignment="1" fillId="0" xfId="0" numFmtId="14" borderId="1" applyFont="1" fontId="1" applyNumberFormat="1">
      <alignment wrapText="1"/>
    </xf>
    <xf applyAlignment="1" fillId="8" xfId="0" numFmtId="0" borderId="1" applyFont="1" fontId="1">
      <alignment wrapText="1"/>
    </xf>
    <xf applyAlignment="1" fillId="2" xfId="0" numFmtId="4" borderId="1" applyFont="1" fontId="15" applyNumberFormat="1">
      <alignment wrapText="1"/>
    </xf>
    <xf applyAlignment="1" fillId="8" xfId="0" numFmtId="4" borderId="1" applyFont="1" fontId="1" applyNumberFormat="1">
      <alignment wrapText="1"/>
    </xf>
    <xf applyAlignment="1" fillId="0" xfId="0" numFmtId="4" borderId="1" applyFont="1" fontId="1" applyNumberFormat="1">
      <alignment wrapText="1"/>
    </xf>
    <xf applyAlignment="1" fillId="0" xfId="0" numFmtId="4" borderId="1" applyFont="1" fontId="9" applyNumberFormat="1">
      <alignment wrapText="1"/>
    </xf>
    <xf applyAlignment="1" fillId="8" xfId="0" numFmtId="3" borderId="1" applyFont="1" fontId="1" applyNumberFormat="1">
      <alignment wrapText="1"/>
    </xf>
    <xf applyAlignment="1" fillId="0" xfId="0" numFmtId="3" borderId="1" applyFont="1" fontId="3" applyNumberFormat="1">
      <alignment wrapText="1"/>
    </xf>
    <xf applyAlignment="1" fillId="8" xfId="0" numFmtId="3" borderId="1" applyFont="1" fontId="3" applyNumberFormat="1">
      <alignment wrapText="1"/>
    </xf>
    <xf applyAlignment="1" fillId="0" xfId="0" numFmtId="3" borderId="1" applyFont="1" fontId="3" applyNumberFormat="1">
      <alignment wrapText="1"/>
    </xf>
    <xf applyAlignment="1" fillId="0" xfId="0" numFmtId="1" borderId="1" applyFont="1" fontId="1" applyNumberFormat="1">
      <alignment wrapText="1"/>
    </xf>
    <xf applyAlignment="1" fillId="8" xfId="0" numFmtId="1" borderId="1" applyFont="1" fontId="1" applyNumberFormat="1">
      <alignment wrapText="1"/>
    </xf>
    <xf applyAlignment="1" fillId="8" xfId="0" numFmtId="0" borderId="1" applyFont="1" fontId="1">
      <alignment wrapText="1"/>
    </xf>
    <xf applyAlignment="1" fillId="8" xfId="0" numFmtId="0" borderId="1" applyFont="1" fontId="3">
      <alignment wrapText="1"/>
    </xf>
    <xf fillId="0" xfId="0" numFmtId="166" borderId="1" applyFont="1" fontId="4" applyNumberFormat="1"/>
    <xf applyAlignment="1" fillId="8" xfId="0" numFmtId="0" borderId="1" applyFont="1" fontId="19">
      <alignment wrapText="1"/>
    </xf>
    <xf applyAlignment="1" fillId="0" xfId="0" numFmtId="166" borderId="1" applyFont="1" fontId="4" applyNumberFormat="1">
      <alignment/>
    </xf>
    <xf applyAlignment="1" fillId="8" xfId="0" numFmtId="0" borderId="1" applyFont="1" fontId="20">
      <alignment wrapText="1"/>
    </xf>
    <xf applyAlignment="1" fillId="2" xfId="0" numFmtId="0" borderId="1" applyFont="1" fontId="20">
      <alignment wrapText="1"/>
    </xf>
    <xf applyAlignment="1" fillId="8" xfId="0" numFmtId="166" borderId="1" applyFont="1" fontId="20" applyNumberFormat="1">
      <alignment wrapText="1"/>
    </xf>
    <xf applyAlignment="1" fillId="2" xfId="0" numFmtId="166" borderId="1" applyFont="1" fontId="20" applyNumberFormat="1">
      <alignment wrapText="1"/>
    </xf>
    <xf fillId="0" xfId="0" numFmtId="166" borderId="1" applyFont="1" fontId="6" applyNumberFormat="1"/>
    <xf applyAlignment="1" fillId="8" xfId="0" numFmtId="164" borderId="1" applyFont="1" fontId="2" applyNumberFormat="1">
      <alignment wrapText="1"/>
    </xf>
    <xf applyAlignment="1" fillId="0" xfId="0" numFmtId="164" borderId="1" applyFont="1" fontId="4" applyNumberFormat="1">
      <alignment/>
    </xf>
    <xf applyAlignment="1" fillId="8" xfId="0" numFmtId="164" borderId="1" applyFont="1" fontId="2" applyNumberFormat="1">
      <alignment wrapText="1"/>
    </xf>
    <xf applyAlignment="1" fillId="2" xfId="0" numFmtId="164" borderId="1" applyFont="1" fontId="2" applyNumberFormat="1">
      <alignment wrapText="1"/>
    </xf>
    <xf applyAlignment="1" fillId="8" xfId="0" numFmtId="164" borderId="1" applyFont="1" fontId="5" applyNumberFormat="1">
      <alignment wrapText="1"/>
    </xf>
    <xf fillId="0" xfId="0" numFmtId="0" borderId="1" applyFont="1" fontId="6"/>
    <xf applyAlignment="1" fillId="8" xfId="0" numFmtId="164" borderId="1" applyFont="1" fontId="8" applyNumberFormat="1">
      <alignment wrapText="1"/>
    </xf>
    <xf fillId="7" xfId="0" numFmtId="0" borderId="1" applyFont="1" fontId="6"/>
    <xf applyAlignment="1" fillId="7" xfId="0" numFmtId="164" borderId="1" applyFont="1" fontId="8" applyNumberFormat="1">
      <alignment wrapText="1"/>
    </xf>
    <xf applyAlignment="1" fillId="7" xfId="0" numFmtId="0" borderId="1" applyFont="1" fontId="6">
      <alignment/>
    </xf>
    <xf applyAlignment="1" fillId="7" xfId="0" numFmtId="164" borderId="1" applyFont="1" fontId="21" applyNumberFormat="1">
      <alignment wrapText="1"/>
    </xf>
    <xf fillId="0" xfId="0" numFmtId="0" borderId="1" applyFont="1" fontId="4"/>
    <xf applyAlignment="1" fillId="8" xfId="0" numFmtId="164" borderId="1" applyFont="1" fontId="22" applyNumberFormat="1">
      <alignment wrapText="1"/>
    </xf>
    <xf applyAlignment="1" fillId="2" xfId="0" numFmtId="164" borderId="1" applyFont="1" fontId="22" applyNumberFormat="1">
      <alignment wrapText="1"/>
    </xf>
    <xf applyAlignment="1" fillId="6" xfId="0" numFmtId="169" borderId="1" applyFont="1" fontId="10" applyNumberFormat="1">
      <alignment/>
    </xf>
    <xf applyBorder="1" applyAlignment="1" fillId="0" xfId="0" numFmtId="0" borderId="9" applyFont="1" fontId="23">
      <alignment wrapText="1"/>
    </xf>
    <xf applyBorder="1" applyAlignment="1" fillId="0" xfId="0" numFmtId="0" borderId="9" applyFont="1" fontId="24">
      <alignment wrapText="1"/>
    </xf>
    <xf applyBorder="1" applyAlignment="1" fillId="6" xfId="0" numFmtId="0" borderId="9" applyFont="1" fontId="24">
      <alignment wrapText="1"/>
    </xf>
    <xf applyBorder="1" applyAlignment="1" fillId="0" xfId="0" numFmtId="0" borderId="9" applyFont="1" fontId="24">
      <alignment wrapText="1"/>
    </xf>
    <xf applyAlignment="1" fillId="6" xfId="0" numFmtId="166" borderId="1" applyFont="1" fontId="16" applyNumberFormat="1">
      <alignment/>
    </xf>
    <xf applyAlignment="1" fillId="7" xfId="0" numFmtId="166" borderId="1" applyFont="1" fontId="17" applyNumberFormat="1">
      <alignment/>
    </xf>
    <xf applyAlignment="1" fillId="0" xfId="0" numFmtId="0" borderId="1" applyFont="1" fontId="16">
      <alignment/>
    </xf>
    <xf applyAlignment="1" fillId="0" xfId="0" numFmtId="0" borderId="1" applyFont="1" fontId="25">
      <alignment wrapText="1"/>
    </xf>
    <xf applyAlignment="1" fillId="0" xfId="0" numFmtId="166" borderId="1" applyFont="1" fontId="25" applyNumberFormat="1">
      <alignment/>
    </xf>
    <xf fillId="0" xfId="0" numFmtId="166" borderId="1" applyFont="1" fontId="26" applyNumberFormat="1"/>
    <xf applyAlignment="1" fillId="6" xfId="0" numFmtId="166" borderId="1" applyFont="1" fontId="25" applyNumberFormat="1">
      <alignment/>
    </xf>
    <xf fillId="6" xfId="0" numFmtId="166" borderId="1" applyFont="1" fontId="12" applyNumberFormat="1"/>
    <xf applyBorder="1" applyAlignment="1" fillId="0" xfId="0" numFmtId="0" borderId="9" applyFont="1" fontId="27">
      <alignment wrapText="1"/>
    </xf>
    <xf applyBorder="1" applyAlignment="1" fillId="0" xfId="0" numFmtId="0" borderId="9" applyFont="1" fontId="27">
      <alignment wrapText="1"/>
    </xf>
    <xf applyBorder="1" applyAlignment="1" fillId="0" xfId="0" numFmtId="0" borderId="9" applyFont="1" fontId="28">
      <alignment wrapText="1"/>
    </xf>
    <xf applyBorder="1" applyAlignment="1" fillId="6" xfId="0" numFmtId="0" borderId="9" applyFont="1" fontId="28">
      <alignment wrapText="1"/>
    </xf>
    <xf fillId="6" xfId="0" numFmtId="170" borderId="1" applyFont="1" fontId="10" applyNumberFormat="1"/>
    <xf applyAlignment="1" fillId="6" xfId="0" numFmtId="170" borderId="1" applyFont="1" fontId="10" applyNumberFormat="1">
      <alignment/>
    </xf>
    <xf fillId="0" xfId="0" numFmtId="170" borderId="1" applyFont="1" fontId="10" applyNumberFormat="1"/>
    <xf fillId="7" xfId="0" numFmtId="170" borderId="1" applyFont="1" fontId="29" applyNumberFormat="1"/>
    <xf fillId="6" xfId="0" numFmtId="3" borderId="1" applyFont="1" fontId="29" applyNumberFormat="1"/>
    <xf fillId="7" xfId="0" numFmtId="3" borderId="1" applyFont="1" fontId="29" applyNumberFormat="1"/>
    <xf fillId="9" xfId="0" numFmtId="166" borderId="1" applyFont="1" fontId="30" applyNumberFormat="1" applyFill="1"/>
    <xf applyAlignment="1" fillId="6" xfId="0" numFmtId="166" borderId="1" applyFont="1" fontId="30" applyNumberFormat="1">
      <alignment/>
    </xf>
    <xf applyAlignment="1" fillId="9" xfId="0" numFmtId="166" borderId="1" applyFont="1" fontId="30" applyNumberFormat="1">
      <alignment/>
    </xf>
    <xf fillId="6" xfId="0" numFmtId="166" borderId="1" applyFont="1" fontId="30" applyNumberFormat="1"/>
    <xf applyAlignment="1" fillId="0" xfId="0" numFmtId="10" borderId="1" applyFont="1" fontId="9" applyNumberFormat="1">
      <alignment wrapText="1"/>
    </xf>
    <xf fillId="6" xfId="0" numFmtId="166" borderId="1" applyFont="1" fontId="10" applyNumberFormat="1"/>
    <xf applyAlignment="1" fillId="6" xfId="0" numFmtId="0" borderId="1" applyFont="1" fontId="1">
      <alignment wrapText="1"/>
    </xf>
    <xf applyAlignment="1" fillId="6" xfId="0" numFmtId="0" borderId="1" applyFont="1" fontId="9">
      <alignment wrapText="1"/>
    </xf>
    <xf applyAlignment="1" fillId="0" xfId="0" numFmtId="0" borderId="1" applyFont="1" fontId="9">
      <alignment wrapText="1"/>
    </xf>
    <xf applyAlignment="1" fillId="0" xfId="0" numFmtId="1" borderId="1" applyFont="1" fontId="9" applyNumberFormat="1">
      <alignment wrapText="1"/>
    </xf>
    <xf applyAlignment="1" fillId="6" xfId="0" numFmtId="0" borderId="1" applyFont="1" fontId="9">
      <alignment wrapText="1"/>
    </xf>
    <xf applyAlignment="1" fillId="6" xfId="0" numFmtId="0" borderId="1" applyFont="1" fontId="9">
      <alignment wrapText="1"/>
    </xf>
    <xf applyAlignment="1" fillId="6" xfId="0" numFmtId="164" borderId="1" applyFont="1" fontId="16" applyNumberFormat="1">
      <alignment/>
    </xf>
    <xf applyAlignment="1" fillId="0" xfId="0" numFmtId="0" borderId="1" applyFont="1" fontId="6">
      <alignment/>
    </xf>
    <xf applyAlignment="1" fillId="6" xfId="0" numFmtId="164" borderId="1" applyFont="1" fontId="31" applyNumberFormat="1">
      <alignment/>
    </xf>
    <xf applyAlignment="1" fillId="0" xfId="0" numFmtId="166" borderId="1" applyFont="1" fontId="9" applyNumberFormat="1">
      <alignment wrapText="1"/>
    </xf>
    <xf fillId="0" xfId="0" numFmtId="166" borderId="1" applyFont="1" fontId="32" applyNumberFormat="1"/>
    <xf fillId="0" xfId="0" numFmtId="166" borderId="1" applyFont="1" fontId="33" applyNumberFormat="1"/>
    <xf applyAlignment="1" fillId="0" xfId="0" numFmtId="0" borderId="1" applyFont="1" fontId="15">
      <alignment wrapText="1"/>
    </xf>
    <xf applyAlignment="1" fillId="0" xfId="0" numFmtId="10" borderId="1" applyFont="1" fontId="9" applyNumberFormat="1">
      <alignment wrapText="1"/>
    </xf>
    <xf applyBorder="1" applyAlignment="1" fillId="0" xfId="0" numFmtId="0" borderId="10" applyFont="1" fontId="10">
      <alignment/>
    </xf>
    <xf applyBorder="1" applyAlignment="1" fillId="3" xfId="0" numFmtId="9" borderId="11" applyFont="1" fontId="13" applyNumberFormat="1">
      <alignment wrapText="1"/>
    </xf>
    <xf applyBorder="1" applyAlignment="1" fillId="0" xfId="0" numFmtId="0" borderId="10" applyFont="1" fontId="10">
      <alignment horizontal="right"/>
    </xf>
    <xf applyBorder="1" applyAlignment="1" fillId="3" xfId="0" numFmtId="9" borderId="12" applyFont="1" fontId="13" applyNumberFormat="1">
      <alignment wrapText="1"/>
    </xf>
    <xf applyBorder="1" fillId="0" xfId="0" numFmtId="0" borderId="13" applyFont="1" fontId="4"/>
    <xf applyBorder="1" applyAlignment="1" fillId="0" xfId="0" numFmtId="0" borderId="2" applyFont="1" fontId="10">
      <alignment horizontal="right"/>
    </xf>
    <xf applyBorder="1" applyAlignment="1" fillId="3" xfId="0" numFmtId="9" borderId="14" applyFont="1" fontId="14" applyNumberFormat="1">
      <alignment horizontal="right"/>
    </xf>
    <xf applyBorder="1" applyAlignment="1" fillId="0" xfId="0" numFmtId="3" borderId="2" applyFont="1" fontId="10" applyNumberFormat="1">
      <alignment horizontal="right"/>
    </xf>
    <xf applyAlignment="1" fillId="3" xfId="0" numFmtId="9" borderId="1" applyFont="1" fontId="14" applyNumberFormat="1">
      <alignment horizontal="right"/>
    </xf>
    <xf applyBorder="1" fillId="3" xfId="0" numFmtId="9" borderId="14" applyFont="1" fontId="14" applyNumberFormat="1"/>
    <xf applyBorder="1" fillId="0" xfId="0" numFmtId="0" borderId="15" applyFont="1" fontId="4"/>
    <xf applyBorder="1" applyAlignment="1" fillId="0" xfId="0" numFmtId="3" borderId="2" applyFont="1" fontId="10" applyNumberFormat="1">
      <alignment horizontal="right"/>
    </xf>
    <xf applyAlignment="1" fillId="3" xfId="0" numFmtId="3" borderId="1" applyFont="1" fontId="14" applyNumberFormat="1">
      <alignment horizontal="right"/>
    </xf>
    <xf applyAlignment="1" fillId="0" xfId="0" numFmtId="3" borderId="1" applyFont="1" fontId="10" applyNumberFormat="1">
      <alignment horizontal="right"/>
    </xf>
    <xf applyBorder="1" applyAlignment="1" fillId="0" xfId="0" numFmtId="0" borderId="15" applyFont="1" fontId="34">
      <alignment wrapText="1"/>
    </xf>
    <xf applyBorder="1" fillId="0" xfId="0" numFmtId="3" borderId="2" applyFont="1" fontId="10" applyNumberFormat="1"/>
    <xf fillId="3" xfId="0" numFmtId="9" borderId="1" applyFont="1" fontId="14" applyNumberFormat="1"/>
    <xf applyBorder="1" fillId="0" xfId="0" numFmtId="166" borderId="15" applyFont="1" fontId="4" applyNumberFormat="1"/>
    <xf applyBorder="1" fillId="0" xfId="0" numFmtId="166" borderId="16" applyFont="1" fontId="6" applyNumberFormat="1"/>
    <xf applyBorder="1" fillId="0" xfId="0" numFmtId="3" borderId="17" applyFont="1" fontId="12" applyNumberFormat="1"/>
    <xf applyBorder="1" fillId="3" xfId="0" numFmtId="9" borderId="18" applyFont="1" fontId="35" applyNumberFormat="1"/>
    <xf applyBorder="1" fillId="3" xfId="0" numFmtId="3" borderId="17" applyFont="1" fontId="35" applyNumberFormat="1"/>
    <xf applyBorder="1" applyAlignment="1" fillId="0" xfId="0" numFmtId="3" borderId="17" applyFont="1" fontId="12" applyNumberFormat="1">
      <alignment horizontal="right"/>
    </xf>
    <xf applyBorder="1" fillId="3" xfId="0" numFmtId="9" borderId="18" applyFont="1" fontId="14" applyNumberFormat="1"/>
    <xf applyBorder="1" fillId="0" xfId="0" numFmtId="0" borderId="16" applyFont="1" fontId="6"/>
    <xf applyBorder="1" fillId="3" xfId="0" numFmtId="9" borderId="19" applyFont="1" fontId="14" applyNumberFormat="1"/>
    <xf applyBorder="1" fillId="3" xfId="0" numFmtId="9" borderId="19" applyFont="1" fontId="35" applyNumberFormat="1"/>
    <xf fillId="0" xfId="0" numFmtId="10" borderId="1" applyFont="1" fontId="12" applyNumberFormat="1"/>
    <xf applyBorder="1" applyAlignment="1" fillId="0" xfId="0" numFmtId="3" borderId="2" applyFont="1" fontId="10" applyNumberFormat="1">
      <alignment/>
    </xf>
    <xf applyBorder="1" fillId="3" xfId="0" numFmtId="9" borderId="14" applyFont="1" fontId="35" applyNumberFormat="1"/>
    <xf fillId="3" xfId="0" numFmtId="9" borderId="1" applyFont="1" fontId="35" applyNumberFormat="1"/>
    <xf fillId="0" xfId="0" numFmtId="171" borderId="1" applyFont="1" fontId="12" applyNumberFormat="1"/>
    <xf applyBorder="1" fillId="0" xfId="0" numFmtId="166" borderId="15" applyFont="1" fontId="6" applyNumberFormat="1"/>
    <xf applyBorder="1" applyAlignment="1" fillId="0" xfId="0" numFmtId="3" borderId="2" applyFont="1" fontId="12" applyNumberFormat="1">
      <alignment/>
    </xf>
    <xf applyBorder="1" applyAlignment="1" fillId="0" xfId="0" numFmtId="3" borderId="2" applyFont="1" fontId="12" applyNumberFormat="1">
      <alignment horizontal="right"/>
    </xf>
    <xf applyBorder="1" fillId="0" xfId="0" numFmtId="3" borderId="2" applyFont="1" fontId="12" applyNumberFormat="1"/>
    <xf applyBorder="1" fillId="3" xfId="0" numFmtId="172" borderId="14" applyFont="1" fontId="35" applyNumberFormat="1"/>
    <xf fillId="3" xfId="0" numFmtId="172" borderId="1" applyFont="1" fontId="35" applyNumberFormat="1"/>
    <xf applyBorder="1" fillId="3" xfId="0" numFmtId="172" borderId="14" applyFont="1" fontId="14" applyNumberFormat="1"/>
    <xf applyBorder="1" fillId="0" xfId="0" numFmtId="166" borderId="20" applyFont="1" fontId="6" applyNumberFormat="1"/>
    <xf applyBorder="1" fillId="0" xfId="0" numFmtId="3" borderId="21" applyFont="1" fontId="12" applyNumberFormat="1"/>
    <xf applyBorder="1" fillId="3" xfId="0" numFmtId="9" borderId="22" applyFont="1" fontId="35" applyNumberFormat="1"/>
    <xf applyBorder="1" fillId="3" xfId="0" numFmtId="172" borderId="22" applyFont="1" fontId="35" applyNumberFormat="1"/>
    <xf applyBorder="1" applyAlignment="1" fillId="0" xfId="0" numFmtId="3" borderId="21" applyFont="1" fontId="12" applyNumberFormat="1">
      <alignment horizontal="right"/>
    </xf>
    <xf applyBorder="1" fillId="3" xfId="0" numFmtId="172" borderId="23" applyFont="1" fontId="35" applyNumberFormat="1"/>
    <xf fillId="0" xfId="0" numFmtId="3" borderId="1" applyFont="1" fontId="10" applyNumberFormat="1"/>
    <xf fillId="0" xfId="0" numFmtId="172" borderId="1" applyFont="1" fontId="14" applyNumberFormat="1"/>
    <xf applyAlignment="1" fillId="0" xfId="0" numFmtId="0" borderId="1" applyFont="1" fontId="9">
      <alignment vertical="top"/>
    </xf>
    <xf applyAlignment="1" fillId="0" xfId="0" numFmtId="0" borderId="1" applyFont="1" fontId="9">
      <alignment vertical="top"/>
    </xf>
    <xf applyAlignment="1" fillId="8" xfId="0" numFmtId="0" borderId="1" applyFont="1" fontId="9">
      <alignment vertical="top"/>
    </xf>
    <xf applyAlignment="1" fillId="6" xfId="0" numFmtId="0" borderId="1" applyFont="1" fontId="9">
      <alignment vertical="top"/>
    </xf>
    <xf fillId="0" xfId="0" numFmtId="0" borderId="1" applyFont="1" fontId="9"/>
    <xf applyAlignment="1" fillId="0" xfId="0" numFmtId="3" borderId="1" applyFont="1" fontId="9" applyNumberFormat="1">
      <alignment vertical="top"/>
    </xf>
    <xf applyAlignment="1" fillId="0" xfId="0" numFmtId="3" borderId="1" applyFont="1" fontId="9" applyNumberFormat="1">
      <alignment vertical="top"/>
    </xf>
    <xf applyAlignment="1" fillId="8" xfId="0" numFmtId="173" borderId="1" applyFont="1" fontId="9" applyNumberFormat="1">
      <alignment vertical="top"/>
    </xf>
    <xf applyAlignment="1" fillId="6" xfId="0" numFmtId="0" borderId="1" applyFont="1" fontId="9">
      <alignment vertical="top"/>
    </xf>
    <xf applyAlignment="1" fillId="8" xfId="0" numFmtId="166" borderId="1" applyFont="1" fontId="9" applyNumberFormat="1">
      <alignment vertical="top"/>
    </xf>
    <xf applyAlignment="1" fillId="8" xfId="0" numFmtId="166" borderId="1" applyFont="1" fontId="9" applyNumberFormat="1">
      <alignment vertical="top"/>
    </xf>
    <xf applyAlignment="1" fillId="2" xfId="0" numFmtId="3" borderId="1" applyFont="1" fontId="15" applyNumberFormat="1">
      <alignment wrapText="1"/>
    </xf>
    <xf applyAlignment="1" fillId="0" xfId="0" numFmtId="0" borderId="1" applyFont="1" fontId="9">
      <alignment/>
    </xf>
    <xf applyAlignment="1" fillId="10" xfId="0" numFmtId="173" borderId="1" applyFont="1" fontId="9" applyNumberFormat="1" applyFill="1">
      <alignment vertical="top"/>
    </xf>
    <xf applyAlignment="1" fillId="11" xfId="0" numFmtId="173" borderId="1" applyFont="1" fontId="9" applyNumberFormat="1" applyFill="1">
      <alignment vertical="top"/>
    </xf>
    <xf applyAlignment="1" fillId="8" xfId="0" numFmtId="174" borderId="1" applyFont="1" fontId="9" applyNumberFormat="1">
      <alignment vertical="top"/>
    </xf>
    <xf applyAlignment="1" fillId="0" xfId="0" numFmtId="170" borderId="1" applyFont="1" fontId="11" applyNumberFormat="1">
      <alignment vertical="top"/>
    </xf>
    <xf applyAlignment="1" fillId="8" xfId="0" numFmtId="174" borderId="1" applyFont="1" fontId="11" applyNumberFormat="1">
      <alignment vertical="top"/>
    </xf>
    <xf applyAlignment="1" fillId="6" xfId="0" numFmtId="170" borderId="1" applyFont="1" fontId="11" applyNumberFormat="1">
      <alignment vertical="top"/>
    </xf>
    <xf applyAlignment="1" fillId="8" xfId="0" numFmtId="170" borderId="1" applyFont="1" fontId="11" applyNumberFormat="1">
      <alignment vertical="top"/>
    </xf>
    <xf fillId="0" xfId="0" numFmtId="170" borderId="1" applyFont="1" fontId="11" applyNumberFormat="1"/>
    <xf applyAlignment="1" fillId="0" xfId="0" numFmtId="0" borderId="1" applyFont="1" fontId="11">
      <alignment vertical="top" horizontal="right"/>
    </xf>
    <xf applyAlignment="1" fillId="0" xfId="0" numFmtId="166" borderId="1" applyFont="1" fontId="9" applyNumberFormat="1">
      <alignment vertical="top"/>
    </xf>
    <xf fillId="0" xfId="0" numFmtId="49" borderId="1" applyFont="1" fontId="10" applyNumberFormat="1"/>
    <xf applyAlignment="1" fillId="0" xfId="0" numFmtId="166" borderId="1" applyFont="1" fontId="11" applyNumberFormat="1">
      <alignment wrapText="1"/>
    </xf>
  </cellXfs>
  <cellStyles count="1">
    <cellStyle builtinId="0" name="Normal" xfId="0"/>
  </cellStyles>
  <dxfs count="8">
    <dxf>
      <font>
        <color rgb="FFFF0000"/>
      </font>
      <fill>
        <patternFill patternType="none"/>
      </fill>
      <alignment wrapText="1"/>
      <border>
        <left/>
        <right/>
        <top/>
        <bottom/>
      </border>
    </dxf>
    <dxf>
      <font>
        <color rgb="FFFF0000"/>
      </font>
      <fill>
        <patternFill patternType="none"/>
      </fill>
      <alignment/>
      <border>
        <left/>
        <right/>
        <top/>
        <bottom/>
      </border>
    </dxf>
    <dxf>
      <font/>
      <fill>
        <patternFill patternType="solid">
          <fgColor rgb="FFF9CB9C"/>
          <bgColor rgb="FFF9CB9C"/>
        </patternFill>
      </fill>
      <alignment wrapText="1"/>
      <border>
        <left/>
        <right/>
        <top/>
        <bottom/>
      </border>
    </dxf>
    <dxf>
      <font/>
      <fill>
        <patternFill patternType="solid">
          <fgColor rgb="FFE6B8AF"/>
          <bgColor rgb="FFE6B8AF"/>
        </patternFill>
      </fill>
      <alignment wrapText="1"/>
      <border>
        <left/>
        <right/>
        <top/>
        <bottom/>
      </border>
    </dxf>
    <dxf>
      <font/>
      <fill>
        <patternFill patternType="solid">
          <fgColor rgb="FFFFF2CC"/>
          <bgColor rgb="FFFFF2CC"/>
        </patternFill>
      </fill>
      <alignment wrapText="1"/>
      <border>
        <left/>
        <right/>
        <top/>
        <bottom/>
      </border>
    </dxf>
    <dxf>
      <font/>
      <fill>
        <patternFill patternType="solid">
          <fgColor rgb="FFD9EAD3"/>
          <bgColor rgb="FFD9EAD3"/>
        </patternFill>
      </fill>
      <alignment wrapText="1"/>
      <border>
        <left/>
        <right/>
        <top/>
        <bottom/>
      </border>
    </dxf>
    <dxf>
      <font/>
      <fill>
        <patternFill patternType="solid">
          <fgColor rgb="FFD0E0E3"/>
          <bgColor rgb="FFD0E0E3"/>
        </patternFill>
      </fill>
      <alignment wrapText="1"/>
      <border>
        <left/>
        <right/>
        <top/>
        <bottom/>
      </border>
    </dxf>
    <dxf>
      <font/>
      <fill>
        <patternFill patternType="solid">
          <fgColor rgb="FFCFE2F3"/>
          <bgColor rgb="FFCFE2F3"/>
        </patternFill>
      </fill>
      <alignment wrapText="1"/>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Target="worksheets/sheet13.xml" Type="http://schemas.openxmlformats.org/officeDocument/2006/relationships/worksheet" Id="rId15"/><Relationship Target="worksheets/sheet12.xml" Type="http://schemas.openxmlformats.org/officeDocument/2006/relationships/worksheet" Id="rId14"/><Relationship Target="sharedStrings.xml" Type="http://schemas.openxmlformats.org/officeDocument/2006/relationships/sharedStrings" Id="rId2"/><Relationship Target="worksheets/sheet10.xml" Type="http://schemas.openxmlformats.org/officeDocument/2006/relationships/worksheet" Id="rId12"/><Relationship Target="worksheets/sheet11.xml" Type="http://schemas.openxmlformats.org/officeDocument/2006/relationships/worksheet" Id="rId13"/><Relationship Target="styles.xml" Type="http://schemas.openxmlformats.org/officeDocument/2006/relationships/styles" Id="rId1"/><Relationship Target="worksheets/sheet2.xml" Type="http://schemas.openxmlformats.org/officeDocument/2006/relationships/worksheet" Id="rId4"/><Relationship Target="worksheets/sheet8.xml" Type="http://schemas.openxmlformats.org/officeDocument/2006/relationships/worksheet" Id="rId10"/><Relationship Target="worksheets/sheet1.xml" Type="http://schemas.openxmlformats.org/officeDocument/2006/relationships/worksheet" Id="rId3"/><Relationship Target="worksheets/sheet9.xml" Type="http://schemas.openxmlformats.org/officeDocument/2006/relationships/worksheet" Id="rId11"/><Relationship Target="worksheets/sheet7.xml" Type="http://schemas.openxmlformats.org/officeDocument/2006/relationships/worksheet" Id="rId9"/><Relationship Target="worksheets/sheet4.xml" Type="http://schemas.openxmlformats.org/officeDocument/2006/relationships/worksheet" Id="rId6"/><Relationship Target="worksheets/sheet3.xml" Type="http://schemas.openxmlformats.org/officeDocument/2006/relationships/worksheet" Id="rId5"/><Relationship Target="worksheets/sheet6.xml" Type="http://schemas.openxmlformats.org/officeDocument/2006/relationships/worksheet" Id="rId8"/><Relationship Target="worksheets/sheet5.xml" Type="http://schemas.openxmlformats.org/officeDocument/2006/relationships/worksheet" Id="rId7"/></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Ventes et Resultat net</a:t>
            </a:r>
          </a:p>
        </c:rich>
      </c:tx>
      <c:overlay val="0"/>
    </c:title>
    <c:plotArea>
      <c:layout/>
      <c:lineChart>
        <c:ser>
          <c:idx val="0"/>
          <c:order val="0"/>
          <c:tx>
            <c:strRef>
              <c:f>Graphics!$A$15</c:f>
            </c:strRef>
          </c:tx>
          <c:spPr>
            <a:ln w="25400" cmpd="sng">
              <a:solidFill>
                <a:srgbClr val="4684EE"/>
              </a:solidFill>
            </a:ln>
          </c:spPr>
          <c:marker>
            <c:symbol val="none"/>
          </c:marker>
          <c:cat>
            <c:strRef>
              <c:f>Graphics!$B$14:$F$14</c:f>
            </c:strRef>
          </c:cat>
          <c:val>
            <c:numRef>
              <c:f>Graphics!$B$15:$F$15</c:f>
            </c:numRef>
          </c:val>
          <c:smooth val="0"/>
        </c:ser>
        <c:ser>
          <c:idx val="1"/>
          <c:order val="1"/>
          <c:tx>
            <c:strRef>
              <c:f>Graphics!$A$16</c:f>
            </c:strRef>
          </c:tx>
          <c:spPr>
            <a:ln w="25400" cmpd="sng">
              <a:solidFill>
                <a:srgbClr val="DC3912"/>
              </a:solidFill>
            </a:ln>
          </c:spPr>
          <c:marker>
            <c:symbol val="none"/>
          </c:marker>
          <c:cat>
            <c:strRef>
              <c:f>Graphics!$B$14:$F$14</c:f>
            </c:strRef>
          </c:cat>
          <c:val>
            <c:numRef>
              <c:f>Graphics!$B$16:$F$16</c:f>
            </c:numRef>
          </c:val>
          <c:smooth val="0"/>
        </c:ser>
        <c:ser>
          <c:idx val="2"/>
          <c:order val="2"/>
          <c:tx>
            <c:strRef>
              <c:f>Graphics!$A$17</c:f>
            </c:strRef>
          </c:tx>
          <c:spPr>
            <a:ln w="25400" cmpd="sng">
              <a:solidFill>
                <a:srgbClr val="FF9900"/>
              </a:solidFill>
            </a:ln>
          </c:spPr>
          <c:marker>
            <c:symbol val="none"/>
          </c:marker>
          <c:cat>
            <c:strRef>
              <c:f>Graphics!$B$14:$F$14</c:f>
            </c:strRef>
          </c:cat>
          <c:val>
            <c:numRef>
              <c:f>Graphics!$B$17:$F$17</c:f>
            </c:numRef>
          </c:val>
          <c:smooth val="0"/>
        </c:ser>
        <c:axId val="442724728"/>
        <c:axId val="128639048"/>
      </c:lineChart>
      <c:catAx>
        <c:axId val="442724728"/>
        <c:scaling>
          <c:orientation val="minMax"/>
        </c:scaling>
        <c:delete val="0"/>
        <c:axPos val="b"/>
        <c:txPr>
          <a:bodyPr/>
          <a:lstStyle/>
          <a:p>
            <a:pPr>
              <a:defRPr/>
            </a:pPr>
          </a:p>
        </c:txPr>
        <c:crossAx val="128639048"/>
      </c:catAx>
      <c:valAx>
        <c:axId val="128639048"/>
        <c:scaling>
          <c:orientation val="minMax"/>
        </c:scaling>
        <c:delete val="0"/>
        <c:axPos val="l"/>
        <c:majorGridlines>
          <c:spPr>
            <a:ln>
              <a:solidFill>
                <a:srgbClr val="B7B7B7"/>
              </a:solidFill>
            </a:ln>
          </c:spPr>
        </c:majorGridlines>
        <c:title>
          <c:tx>
            <c:rich>
              <a:bodyPr/>
              <a:lstStyle/>
              <a:p>
                <a:pPr>
                  <a:defRPr/>
                </a:pPr>
                <a:r>
                  <a:t>Ventes, C.A. HT</a:t>
                </a:r>
              </a:p>
            </c:rich>
          </c:tx>
          <c:overlay val="0"/>
        </c:title>
        <c:numFmt sourceLinked="1" formatCode="General"/>
        <c:tickLblPos val="nextTo"/>
        <c:spPr>
          <a:ln w="47625">
            <a:noFill/>
          </a:ln>
        </c:spPr>
        <c:txPr>
          <a:bodyPr/>
          <a:lstStyle/>
          <a:p>
            <a:pPr>
              <a:defRPr/>
            </a:pPr>
          </a:p>
        </c:txPr>
        <c:crossAx val="442724728"/>
      </c:valAx>
    </c:plotArea>
    <c:legend>
      <c:legendPos val="r"/>
      <c:overlay val="0"/>
    </c:legend>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Trésorerie de l'investisseur</a:t>
            </a:r>
          </a:p>
        </c:rich>
      </c:tx>
      <c:overlay val="0"/>
    </c:title>
    <c:plotArea>
      <c:layout/>
      <c:barChart>
        <c:barDir val="col"/>
        <c:ser>
          <c:idx val="0"/>
          <c:order val="0"/>
          <c:tx>
            <c:strRef>
              <c:f>Graphics!$A$38</c:f>
            </c:strRef>
          </c:tx>
          <c:spPr>
            <a:solidFill>
              <a:srgbClr val="4684EE"/>
            </a:solidFill>
          </c:spPr>
          <c:cat>
            <c:strRef>
              <c:f>Graphics!$B$37:$F$37</c:f>
            </c:strRef>
          </c:cat>
          <c:val>
            <c:numRef>
              <c:f>Graphics!$B$38:$F$38</c:f>
            </c:numRef>
          </c:val>
        </c:ser>
        <c:ser>
          <c:idx val="1"/>
          <c:order val="1"/>
          <c:tx>
            <c:strRef>
              <c:f>Graphics!$A$39</c:f>
            </c:strRef>
          </c:tx>
          <c:spPr>
            <a:solidFill>
              <a:srgbClr val="DC3912"/>
            </a:solidFill>
          </c:spPr>
          <c:cat>
            <c:strRef>
              <c:f>Graphics!$B$37:$F$37</c:f>
            </c:strRef>
          </c:cat>
          <c:val>
            <c:numRef>
              <c:f>Graphics!$B$39:$F$39</c:f>
            </c:numRef>
          </c:val>
        </c:ser>
        <c:ser>
          <c:idx val="2"/>
          <c:order val="2"/>
          <c:tx>
            <c:strRef>
              <c:f>Graphics!$A$40</c:f>
            </c:strRef>
          </c:tx>
          <c:spPr>
            <a:solidFill>
              <a:srgbClr val="FF9900"/>
            </a:solidFill>
          </c:spPr>
          <c:cat>
            <c:strRef>
              <c:f>Graphics!$B$37:$F$37</c:f>
            </c:strRef>
          </c:cat>
          <c:val>
            <c:numRef>
              <c:f>Graphics!$B$40:$F$40</c:f>
            </c:numRef>
          </c:val>
        </c:ser>
        <c:axId val="2109142976"/>
        <c:axId val="2096717651"/>
      </c:barChart>
      <c:catAx>
        <c:axId val="2109142976"/>
        <c:scaling>
          <c:orientation val="minMax"/>
        </c:scaling>
        <c:delete val="0"/>
        <c:axPos val="b"/>
        <c:txPr>
          <a:bodyPr/>
          <a:lstStyle/>
          <a:p>
            <a:pPr>
              <a:defRPr/>
            </a:pPr>
          </a:p>
        </c:txPr>
        <c:crossAx val="2096717651"/>
      </c:catAx>
      <c:valAx>
        <c:axId val="2096717651"/>
        <c:scaling>
          <c:orientation val="minMax"/>
        </c:scaling>
        <c:delete val="0"/>
        <c:axPos val="l"/>
        <c:majorGridlines>
          <c:spPr>
            <a:ln>
              <a:solidFill>
                <a:srgbClr val="B7B7B7"/>
              </a:solidFill>
            </a:ln>
          </c:spPr>
        </c:majorGridlines>
        <c:title>
          <c:tx>
            <c:rich>
              <a:bodyPr/>
              <a:lstStyle/>
              <a:p>
                <a:pPr>
                  <a:defRPr/>
                </a:pPr>
                <a:r>
                  <a:t/>
                </a:r>
              </a:p>
            </c:rich>
          </c:tx>
          <c:overlay val="0"/>
        </c:title>
        <c:numFmt sourceLinked="1" formatCode="General"/>
        <c:tickLblPos val="nextTo"/>
        <c:spPr>
          <a:ln w="47625">
            <a:noFill/>
          </a:ln>
        </c:spPr>
        <c:txPr>
          <a:bodyPr/>
          <a:lstStyle/>
          <a:p>
            <a:pPr>
              <a:defRPr/>
            </a:pPr>
          </a:p>
        </c:txPr>
        <c:crossAx val="2109142976"/>
      </c:valAx>
    </c:plotArea>
    <c:legend>
      <c:legendPos val="t"/>
      <c:overlay val="0"/>
    </c:legend>
  </c:chart>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49 900 Euros </a:t>
            </a:r>
          </a:p>
        </c:rich>
      </c:tx>
      <c:overlay val="0"/>
    </c:title>
    <c:plotArea>
      <c:layout/>
      <c:pie3DChart>
        <c:varyColors val="1"/>
        <c:ser>
          <c:idx val="0"/>
          <c:order val="0"/>
          <c:dPt>
            <c:idx val="0"/>
            <c:spPr>
              <a:solidFill>
                <a:srgbClr val="4684EE"/>
              </a:solidFill>
            </c:spPr>
          </c:dPt>
          <c:dPt>
            <c:idx val="1"/>
            <c:spPr>
              <a:solidFill>
                <a:srgbClr val="DC3912"/>
              </a:solidFill>
            </c:spPr>
          </c:dPt>
          <c:dPt>
            <c:idx val="2"/>
            <c:spPr>
              <a:solidFill>
                <a:srgbClr val="FF9900"/>
              </a:solidFill>
            </c:spPr>
          </c:dPt>
          <c:dPt>
            <c:idx val="3"/>
            <c:spPr>
              <a:solidFill>
                <a:srgbClr val="008000"/>
              </a:solidFill>
            </c:spPr>
          </c:dPt>
          <c:dPt>
            <c:idx val="4"/>
            <c:spPr>
              <a:solidFill>
                <a:srgbClr val="666666"/>
              </a:solidFill>
            </c:spPr>
          </c:dPt>
          <c:dPt>
            <c:idx val="5"/>
            <c:spPr>
              <a:solidFill>
                <a:srgbClr val="4942CC"/>
              </a:solidFill>
            </c:spPr>
          </c:dPt>
          <c:dPt>
            <c:idx val="6"/>
            <c:spPr>
              <a:solidFill>
                <a:srgbClr val="CB4AC5"/>
              </a:solidFill>
            </c:spPr>
          </c:dPt>
          <c:dPt>
            <c:idx val="7"/>
            <c:spPr>
              <a:solidFill>
                <a:srgbClr val="D6AE00"/>
              </a:solidFill>
            </c:spPr>
          </c:dPt>
          <c:dPt>
            <c:idx val="8"/>
            <c:spPr>
              <a:solidFill>
                <a:srgbClr val="336699"/>
              </a:solidFill>
            </c:spPr>
          </c:dPt>
          <c:dPt>
            <c:idx val="9"/>
            <c:spPr>
              <a:solidFill>
                <a:srgbClr val="DD4477"/>
              </a:solidFill>
            </c:spPr>
          </c:dPt>
          <c:dPt>
            <c:idx val="10"/>
            <c:spPr>
              <a:solidFill>
                <a:srgbClr val="AAAA11"/>
              </a:solidFill>
            </c:spPr>
          </c:dPt>
          <c:dPt>
            <c:idx val="11"/>
            <c:spPr>
              <a:solidFill>
                <a:srgbClr val="66AA00"/>
              </a:solidFill>
            </c:spPr>
          </c:dPt>
          <c:dPt>
            <c:idx val="12"/>
            <c:spPr>
              <a:solidFill>
                <a:srgbClr val="888888"/>
              </a:solidFill>
            </c:spPr>
          </c:dPt>
          <c:dPt>
            <c:idx val="13"/>
            <c:spPr>
              <a:solidFill>
                <a:srgbClr val="994499"/>
              </a:solidFill>
            </c:spPr>
          </c:dPt>
          <c:dPt>
            <c:idx val="14"/>
            <c:spPr>
              <a:solidFill>
                <a:srgbClr val="DD5511"/>
              </a:solidFill>
            </c:spPr>
          </c:dPt>
          <c:dPt>
            <c:idx val="15"/>
            <c:spPr>
              <a:solidFill>
                <a:srgbClr val="22AA99"/>
              </a:solidFill>
            </c:spPr>
          </c:dPt>
          <c:dPt>
            <c:idx val="16"/>
            <c:spPr>
              <a:solidFill>
                <a:srgbClr val="999999"/>
              </a:solidFill>
            </c:spPr>
          </c:dPt>
          <c:dPt>
            <c:idx val="17"/>
            <c:spPr>
              <a:solidFill>
                <a:srgbClr val="705770"/>
              </a:solidFill>
            </c:spPr>
          </c:dPt>
          <c:dPt>
            <c:idx val="18"/>
            <c:spPr>
              <a:solidFill>
                <a:srgbClr val="109618"/>
              </a:solidFill>
            </c:spPr>
          </c:dPt>
          <c:dPt>
            <c:idx val="19"/>
            <c:spPr>
              <a:solidFill>
                <a:srgbClr val="A32929"/>
              </a:solidFill>
            </c:spPr>
          </c:dPt>
          <c:dLbls>
            <c:showLegendKey val="0"/>
            <c:showVal val="0"/>
            <c:showCatName val="0"/>
            <c:showSerName val="0"/>
            <c:showPercent val="0"/>
            <c:showBubbleSize val="0"/>
            <c:showLeaderLines val="1"/>
          </c:dLbls>
          <c:cat>
            <c:strRef>
              <c:f>Graphics!$A$2:$A$6</c:f>
            </c:strRef>
          </c:cat>
          <c:val>
            <c:numRef>
              <c:f>Graphics!$B$2:$B$6</c:f>
            </c:numRef>
          </c:val>
        </c:ser>
        <c:dLbls>
          <c:showLegendKey val="0"/>
          <c:showVal val="0"/>
          <c:showCatName val="0"/>
          <c:showSerName val="0"/>
          <c:showPercent val="0"/>
          <c:showBubbleSize val="0"/>
        </c:dLbls>
      </c:pie3DChart>
    </c:plotArea>
    <c:legend>
      <c:legendPos val="r"/>
      <c:overlay val="0"/>
    </c:legend>
  </c:chart>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Produits vendue par an</a:t>
            </a:r>
          </a:p>
        </c:rich>
      </c:tx>
      <c:overlay val="0"/>
    </c:title>
    <c:plotArea>
      <c:layout/>
      <c:barChart>
        <c:barDir val="col"/>
        <c:ser>
          <c:idx val="0"/>
          <c:order val="0"/>
          <c:tx>
            <c:strRef>
              <c:f>'Ventes (OLD)'!$A$2</c:f>
            </c:strRef>
          </c:tx>
          <c:spPr>
            <a:solidFill>
              <a:srgbClr val="4684EE"/>
            </a:solidFill>
          </c:spPr>
          <c:cat>
            <c:strRef>
              <c:f>'Ventes (OLD)'!$B$1:$E$1</c:f>
            </c:strRef>
          </c:cat>
          <c:val>
            <c:numRef>
              <c:f>'Ventes (OLD)'!$B$2:$E$2</c:f>
            </c:numRef>
          </c:val>
        </c:ser>
        <c:ser>
          <c:idx val="1"/>
          <c:order val="1"/>
          <c:tx>
            <c:strRef>
              <c:f>'Ventes (OLD)'!$A$3</c:f>
            </c:strRef>
          </c:tx>
          <c:spPr>
            <a:solidFill>
              <a:srgbClr val="DC3912"/>
            </a:solidFill>
          </c:spPr>
          <c:cat>
            <c:strRef>
              <c:f>'Ventes (OLD)'!$B$1:$E$1</c:f>
            </c:strRef>
          </c:cat>
          <c:val>
            <c:numRef>
              <c:f>'Ventes (OLD)'!$B$3:$E$3</c:f>
            </c:numRef>
          </c:val>
        </c:ser>
        <c:ser>
          <c:idx val="2"/>
          <c:order val="2"/>
          <c:tx>
            <c:strRef>
              <c:f>'Ventes (OLD)'!$A$4</c:f>
            </c:strRef>
          </c:tx>
          <c:spPr>
            <a:solidFill>
              <a:srgbClr val="FF9900"/>
            </a:solidFill>
          </c:spPr>
          <c:cat>
            <c:strRef>
              <c:f>'Ventes (OLD)'!$B$1:$E$1</c:f>
            </c:strRef>
          </c:cat>
          <c:val>
            <c:numRef>
              <c:f>'Ventes (OLD)'!$B$4:$E$4</c:f>
            </c:numRef>
          </c:val>
        </c:ser>
        <c:ser>
          <c:idx val="3"/>
          <c:order val="3"/>
          <c:tx>
            <c:strRef>
              <c:f>'Ventes (OLD)'!$A$5</c:f>
            </c:strRef>
          </c:tx>
          <c:spPr>
            <a:solidFill>
              <a:srgbClr val="008000"/>
            </a:solidFill>
          </c:spPr>
          <c:cat>
            <c:strRef>
              <c:f>'Ventes (OLD)'!$B$1:$E$1</c:f>
            </c:strRef>
          </c:cat>
          <c:val>
            <c:numRef>
              <c:f>'Ventes (OLD)'!$B$5:$E$5</c:f>
            </c:numRef>
          </c:val>
        </c:ser>
        <c:axId val="1940259845"/>
        <c:axId val="2110101566"/>
      </c:barChart>
      <c:catAx>
        <c:axId val="1940259845"/>
        <c:scaling>
          <c:orientation val="minMax"/>
        </c:scaling>
        <c:delete val="0"/>
        <c:axPos val="b"/>
        <c:title>
          <c:tx>
            <c:rich>
              <a:bodyPr/>
              <a:lstStyle/>
              <a:p>
                <a:pPr>
                  <a:defRPr/>
                </a:pPr>
                <a:r>
                  <a:t>Ans</a:t>
                </a:r>
              </a:p>
            </c:rich>
          </c:tx>
          <c:overlay val="0"/>
        </c:title>
        <c:txPr>
          <a:bodyPr/>
          <a:lstStyle/>
          <a:p>
            <a:pPr>
              <a:defRPr/>
            </a:pPr>
          </a:p>
        </c:txPr>
        <c:crossAx val="2110101566"/>
      </c:catAx>
      <c:valAx>
        <c:axId val="2110101566"/>
        <c:scaling>
          <c:orientation val="minMax"/>
        </c:scaling>
        <c:delete val="0"/>
        <c:axPos val="l"/>
        <c:majorGridlines>
          <c:spPr>
            <a:ln>
              <a:solidFill>
                <a:srgbClr val="B7B7B7"/>
              </a:solidFill>
            </a:ln>
          </c:spPr>
        </c:majorGridlines>
        <c:title>
          <c:tx>
            <c:rich>
              <a:bodyPr/>
              <a:lstStyle/>
              <a:p>
                <a:pPr>
                  <a:defRPr/>
                </a:pPr>
                <a:r>
                  <a:t>Q-té</a:t>
                </a:r>
              </a:p>
            </c:rich>
          </c:tx>
          <c:overlay val="0"/>
        </c:title>
        <c:numFmt sourceLinked="1" formatCode="General"/>
        <c:tickLblPos val="nextTo"/>
        <c:spPr>
          <a:ln w="47625">
            <a:noFill/>
          </a:ln>
        </c:spPr>
        <c:txPr>
          <a:bodyPr/>
          <a:lstStyle/>
          <a:p>
            <a:pPr>
              <a:defRPr/>
            </a:pPr>
          </a:p>
        </c:txPr>
        <c:crossAx val="1940259845"/>
      </c:valAx>
    </c:plotArea>
    <c:legend>
      <c:legendPos val="r"/>
      <c:overlay val="0"/>
    </c:legend>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44167 Euros</a:t>
            </a:r>
          </a:p>
        </c:rich>
      </c:tx>
      <c:overlay val="0"/>
    </c:title>
    <c:plotArea>
      <c:layout/>
      <c:pie3DChart>
        <c:varyColors val="1"/>
        <c:ser>
          <c:idx val="0"/>
          <c:order val="0"/>
          <c:dPt>
            <c:idx val="0"/>
            <c:spPr>
              <a:solidFill>
                <a:srgbClr val="4684EE"/>
              </a:solidFill>
            </c:spPr>
          </c:dPt>
          <c:dPt>
            <c:idx val="1"/>
            <c:spPr>
              <a:solidFill>
                <a:srgbClr val="DC3912"/>
              </a:solidFill>
            </c:spPr>
          </c:dPt>
          <c:dPt>
            <c:idx val="2"/>
            <c:spPr>
              <a:solidFill>
                <a:srgbClr val="FF9900"/>
              </a:solidFill>
            </c:spPr>
          </c:dPt>
          <c:dPt>
            <c:idx val="3"/>
            <c:spPr>
              <a:solidFill>
                <a:srgbClr val="008000"/>
              </a:solidFill>
            </c:spPr>
          </c:dPt>
          <c:dPt>
            <c:idx val="4"/>
            <c:spPr>
              <a:solidFill>
                <a:srgbClr val="666666"/>
              </a:solidFill>
            </c:spPr>
          </c:dPt>
          <c:dPt>
            <c:idx val="5"/>
            <c:spPr>
              <a:solidFill>
                <a:srgbClr val="4942CC"/>
              </a:solidFill>
            </c:spPr>
          </c:dPt>
          <c:dPt>
            <c:idx val="6"/>
            <c:spPr>
              <a:solidFill>
                <a:srgbClr val="CB4AC5"/>
              </a:solidFill>
            </c:spPr>
          </c:dPt>
          <c:dPt>
            <c:idx val="7"/>
            <c:spPr>
              <a:solidFill>
                <a:srgbClr val="D6AE00"/>
              </a:solidFill>
            </c:spPr>
          </c:dPt>
          <c:dPt>
            <c:idx val="8"/>
            <c:spPr>
              <a:solidFill>
                <a:srgbClr val="336699"/>
              </a:solidFill>
            </c:spPr>
          </c:dPt>
          <c:dPt>
            <c:idx val="9"/>
            <c:spPr>
              <a:solidFill>
                <a:srgbClr val="DD4477"/>
              </a:solidFill>
            </c:spPr>
          </c:dPt>
          <c:dPt>
            <c:idx val="10"/>
            <c:spPr>
              <a:solidFill>
                <a:srgbClr val="AAAA11"/>
              </a:solidFill>
            </c:spPr>
          </c:dPt>
          <c:dPt>
            <c:idx val="11"/>
            <c:spPr>
              <a:solidFill>
                <a:srgbClr val="66AA00"/>
              </a:solidFill>
            </c:spPr>
          </c:dPt>
          <c:dPt>
            <c:idx val="12"/>
            <c:spPr>
              <a:solidFill>
                <a:srgbClr val="888888"/>
              </a:solidFill>
            </c:spPr>
          </c:dPt>
          <c:dPt>
            <c:idx val="13"/>
            <c:spPr>
              <a:solidFill>
                <a:srgbClr val="994499"/>
              </a:solidFill>
            </c:spPr>
          </c:dPt>
          <c:dPt>
            <c:idx val="14"/>
            <c:spPr>
              <a:solidFill>
                <a:srgbClr val="DD5511"/>
              </a:solidFill>
            </c:spPr>
          </c:dPt>
          <c:dPt>
            <c:idx val="15"/>
            <c:spPr>
              <a:solidFill>
                <a:srgbClr val="22AA99"/>
              </a:solidFill>
            </c:spPr>
          </c:dPt>
          <c:dPt>
            <c:idx val="16"/>
            <c:spPr>
              <a:solidFill>
                <a:srgbClr val="999999"/>
              </a:solidFill>
            </c:spPr>
          </c:dPt>
          <c:dPt>
            <c:idx val="17"/>
            <c:spPr>
              <a:solidFill>
                <a:srgbClr val="705770"/>
              </a:solidFill>
            </c:spPr>
          </c:dPt>
          <c:dPt>
            <c:idx val="18"/>
            <c:spPr>
              <a:solidFill>
                <a:srgbClr val="109618"/>
              </a:solidFill>
            </c:spPr>
          </c:dPt>
          <c:dPt>
            <c:idx val="19"/>
            <c:spPr>
              <a:solidFill>
                <a:srgbClr val="A32929"/>
              </a:solidFill>
            </c:spPr>
          </c:dPt>
          <c:dLbls>
            <c:showLegendKey val="0"/>
            <c:showVal val="0"/>
            <c:showCatName val="0"/>
            <c:showSerName val="0"/>
            <c:showPercent val="0"/>
            <c:showBubbleSize val="0"/>
            <c:showLeaderLines val="1"/>
          </c:dLbls>
          <c:cat>
            <c:strRef>
              <c:f>'Graphics (OLD)'!$A$38:$A$42</c:f>
            </c:strRef>
          </c:cat>
          <c:val>
            <c:numRef>
              <c:f>'Graphics (OLD)'!$B$38:$B$42</c:f>
            </c:numRef>
          </c:val>
        </c:ser>
        <c:dLbls>
          <c:showLegendKey val="0"/>
          <c:showVal val="0"/>
          <c:showCatName val="0"/>
          <c:showSerName val="0"/>
          <c:showPercent val="0"/>
          <c:showBubbleSize val="0"/>
        </c:dLbls>
      </c:pie3DChart>
    </c:plotArea>
    <c:legend>
      <c:legendPos val="r"/>
      <c:overlay val="0"/>
    </c:legend>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44 167 euros. Total</a:t>
            </a:r>
          </a:p>
        </c:rich>
      </c:tx>
      <c:overlay val="0"/>
    </c:title>
    <c:plotArea>
      <c:layout/>
      <c:pie3DChart>
        <c:varyColors val="1"/>
        <c:ser>
          <c:idx val="0"/>
          <c:order val="0"/>
          <c:tx>
            <c:strRef>
              <c:f>'Graphics (OLD)'!$B$11</c:f>
            </c:strRef>
          </c:tx>
          <c:dPt>
            <c:idx val="0"/>
            <c:spPr>
              <a:solidFill>
                <a:srgbClr val="4684EE"/>
              </a:solidFill>
            </c:spPr>
          </c:dPt>
          <c:dPt>
            <c:idx val="1"/>
            <c:spPr>
              <a:solidFill>
                <a:srgbClr val="DC3912"/>
              </a:solidFill>
            </c:spPr>
          </c:dPt>
          <c:dPt>
            <c:idx val="2"/>
            <c:spPr>
              <a:solidFill>
                <a:srgbClr val="FF9900"/>
              </a:solidFill>
            </c:spPr>
          </c:dPt>
          <c:dPt>
            <c:idx val="3"/>
            <c:spPr>
              <a:solidFill>
                <a:srgbClr val="008000"/>
              </a:solidFill>
            </c:spPr>
          </c:dPt>
          <c:dPt>
            <c:idx val="4"/>
            <c:spPr>
              <a:solidFill>
                <a:srgbClr val="666666"/>
              </a:solidFill>
            </c:spPr>
          </c:dPt>
          <c:dPt>
            <c:idx val="5"/>
            <c:spPr>
              <a:solidFill>
                <a:srgbClr val="4942CC"/>
              </a:solidFill>
            </c:spPr>
          </c:dPt>
          <c:dPt>
            <c:idx val="6"/>
            <c:spPr>
              <a:solidFill>
                <a:srgbClr val="CB4AC5"/>
              </a:solidFill>
            </c:spPr>
          </c:dPt>
          <c:dPt>
            <c:idx val="7"/>
            <c:spPr>
              <a:solidFill>
                <a:srgbClr val="D6AE00"/>
              </a:solidFill>
            </c:spPr>
          </c:dPt>
          <c:dPt>
            <c:idx val="8"/>
            <c:spPr>
              <a:solidFill>
                <a:srgbClr val="336699"/>
              </a:solidFill>
            </c:spPr>
          </c:dPt>
          <c:dPt>
            <c:idx val="9"/>
            <c:spPr>
              <a:solidFill>
                <a:srgbClr val="DD4477"/>
              </a:solidFill>
            </c:spPr>
          </c:dPt>
          <c:dPt>
            <c:idx val="10"/>
            <c:spPr>
              <a:solidFill>
                <a:srgbClr val="AAAA11"/>
              </a:solidFill>
            </c:spPr>
          </c:dPt>
          <c:dPt>
            <c:idx val="11"/>
            <c:spPr>
              <a:solidFill>
                <a:srgbClr val="66AA00"/>
              </a:solidFill>
            </c:spPr>
          </c:dPt>
          <c:dPt>
            <c:idx val="12"/>
            <c:spPr>
              <a:solidFill>
                <a:srgbClr val="888888"/>
              </a:solidFill>
            </c:spPr>
          </c:dPt>
          <c:dPt>
            <c:idx val="13"/>
            <c:spPr>
              <a:solidFill>
                <a:srgbClr val="994499"/>
              </a:solidFill>
            </c:spPr>
          </c:dPt>
          <c:dPt>
            <c:idx val="14"/>
            <c:spPr>
              <a:solidFill>
                <a:srgbClr val="DD5511"/>
              </a:solidFill>
            </c:spPr>
          </c:dPt>
          <c:dPt>
            <c:idx val="15"/>
            <c:spPr>
              <a:solidFill>
                <a:srgbClr val="22AA99"/>
              </a:solidFill>
            </c:spPr>
          </c:dPt>
          <c:dPt>
            <c:idx val="16"/>
            <c:spPr>
              <a:solidFill>
                <a:srgbClr val="999999"/>
              </a:solidFill>
            </c:spPr>
          </c:dPt>
          <c:dPt>
            <c:idx val="17"/>
            <c:spPr>
              <a:solidFill>
                <a:srgbClr val="705770"/>
              </a:solidFill>
            </c:spPr>
          </c:dPt>
          <c:dPt>
            <c:idx val="18"/>
            <c:spPr>
              <a:solidFill>
                <a:srgbClr val="109618"/>
              </a:solidFill>
            </c:spPr>
          </c:dPt>
          <c:dPt>
            <c:idx val="19"/>
            <c:spPr>
              <a:solidFill>
                <a:srgbClr val="A32929"/>
              </a:solidFill>
            </c:spPr>
          </c:dPt>
          <c:dLbls>
            <c:showLegendKey val="0"/>
            <c:showVal val="0"/>
            <c:showCatName val="0"/>
            <c:showSerName val="0"/>
            <c:showPercent val="0"/>
            <c:showBubbleSize val="0"/>
            <c:showLeaderLines val="1"/>
          </c:dLbls>
          <c:cat>
            <c:strRef>
              <c:f>'Graphics (OLD)'!$A$12:$A$15</c:f>
            </c:strRef>
          </c:cat>
          <c:val>
            <c:numRef>
              <c:f>'Graphics (OLD)'!$B$12:$B$15</c:f>
            </c:numRef>
          </c:val>
        </c:ser>
        <c:dLbls>
          <c:showLegendKey val="0"/>
          <c:showVal val="0"/>
          <c:showCatName val="0"/>
          <c:showSerName val="0"/>
          <c:showPercent val="0"/>
          <c:showBubbleSize val="0"/>
        </c:dLbls>
      </c:pie3DChart>
    </c:plotArea>
    <c:legend>
      <c:legendPos val="r"/>
      <c:overlay val="0"/>
    </c:legend>
  </c:chart>
</c:chartSpace>
</file>

<file path=xl/charts/chart7.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Ventes et Resultat net</a:t>
            </a:r>
          </a:p>
        </c:rich>
      </c:tx>
      <c:overlay val="0"/>
    </c:title>
    <c:plotArea>
      <c:layout/>
      <c:lineChart>
        <c:ser>
          <c:idx val="0"/>
          <c:order val="0"/>
          <c:tx>
            <c:strRef>
              <c:f>'Graphics (OLD)'!$A$47</c:f>
            </c:strRef>
          </c:tx>
          <c:spPr>
            <a:ln w="25400" cmpd="sng">
              <a:solidFill>
                <a:srgbClr val="4684EE"/>
              </a:solidFill>
            </a:ln>
          </c:spPr>
          <c:marker>
            <c:symbol val="none"/>
          </c:marker>
          <c:cat>
            <c:strRef>
              <c:f>'Graphics (OLD)'!$B$46:$F$46</c:f>
            </c:strRef>
          </c:cat>
          <c:val>
            <c:numRef>
              <c:f>'Graphics (OLD)'!$B$47:$F$47</c:f>
            </c:numRef>
          </c:val>
          <c:smooth val="0"/>
        </c:ser>
        <c:ser>
          <c:idx val="1"/>
          <c:order val="1"/>
          <c:tx>
            <c:strRef>
              <c:f>'Graphics (OLD)'!$A$48</c:f>
            </c:strRef>
          </c:tx>
          <c:spPr>
            <a:ln w="25400" cmpd="sng">
              <a:solidFill>
                <a:srgbClr val="DC3912"/>
              </a:solidFill>
            </a:ln>
          </c:spPr>
          <c:marker>
            <c:symbol val="none"/>
          </c:marker>
          <c:cat>
            <c:strRef>
              <c:f>'Graphics (OLD)'!$B$46:$F$46</c:f>
            </c:strRef>
          </c:cat>
          <c:val>
            <c:numRef>
              <c:f>'Graphics (OLD)'!$B$48:$F$48</c:f>
            </c:numRef>
          </c:val>
          <c:smooth val="0"/>
        </c:ser>
        <c:ser>
          <c:idx val="2"/>
          <c:order val="2"/>
          <c:tx>
            <c:strRef>
              <c:f>'Graphics (OLD)'!$A$49</c:f>
            </c:strRef>
          </c:tx>
          <c:spPr>
            <a:ln w="25400" cmpd="sng">
              <a:solidFill>
                <a:srgbClr val="FF9900"/>
              </a:solidFill>
            </a:ln>
          </c:spPr>
          <c:marker>
            <c:symbol val="none"/>
          </c:marker>
          <c:cat>
            <c:strRef>
              <c:f>'Graphics (OLD)'!$B$46:$F$46</c:f>
            </c:strRef>
          </c:cat>
          <c:val>
            <c:numRef>
              <c:f>'Graphics (OLD)'!$B$49:$F$49</c:f>
            </c:numRef>
          </c:val>
          <c:smooth val="0"/>
        </c:ser>
        <c:axId val="1355734698"/>
        <c:axId val="587564536"/>
      </c:lineChart>
      <c:catAx>
        <c:axId val="1355734698"/>
        <c:scaling>
          <c:orientation val="minMax"/>
        </c:scaling>
        <c:delete val="0"/>
        <c:axPos val="b"/>
        <c:txPr>
          <a:bodyPr/>
          <a:lstStyle/>
          <a:p>
            <a:pPr>
              <a:defRPr/>
            </a:pPr>
          </a:p>
        </c:txPr>
        <c:crossAx val="587564536"/>
      </c:catAx>
      <c:valAx>
        <c:axId val="587564536"/>
        <c:scaling>
          <c:orientation val="minMax"/>
        </c:scaling>
        <c:delete val="0"/>
        <c:axPos val="l"/>
        <c:majorGridlines>
          <c:spPr>
            <a:ln>
              <a:solidFill>
                <a:srgbClr val="B7B7B7"/>
              </a:solidFill>
            </a:ln>
          </c:spPr>
        </c:majorGridlines>
        <c:title>
          <c:tx>
            <c:rich>
              <a:bodyPr/>
              <a:lstStyle/>
              <a:p>
                <a:pPr>
                  <a:defRPr/>
                </a:pPr>
                <a:r>
                  <a:t>Ventes, C.A. HT</a:t>
                </a:r>
              </a:p>
            </c:rich>
          </c:tx>
          <c:overlay val="0"/>
        </c:title>
        <c:numFmt sourceLinked="1" formatCode="General"/>
        <c:tickLblPos val="nextTo"/>
        <c:spPr>
          <a:ln w="47625">
            <a:noFill/>
          </a:ln>
        </c:spPr>
        <c:txPr>
          <a:bodyPr/>
          <a:lstStyle/>
          <a:p>
            <a:pPr>
              <a:defRPr/>
            </a:pPr>
          </a:p>
        </c:txPr>
        <c:crossAx val="1355734698"/>
      </c:valAx>
    </c:plotArea>
    <c:legend>
      <c:legendPos val="r"/>
      <c:overlay val="0"/>
    </c:legend>
  </c:chart>
</c:chartSpace>
</file>

<file path=xl/charts/chart8.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Trésorerie de l'investisseur</a:t>
            </a:r>
          </a:p>
        </c:rich>
      </c:tx>
      <c:overlay val="0"/>
    </c:title>
    <c:plotArea>
      <c:layout/>
      <c:barChart>
        <c:barDir val="col"/>
        <c:ser>
          <c:idx val="0"/>
          <c:order val="0"/>
          <c:tx>
            <c:strRef>
              <c:f>'Graphics (OLD)'!$A$70</c:f>
            </c:strRef>
          </c:tx>
          <c:spPr>
            <a:solidFill>
              <a:srgbClr val="4684EE"/>
            </a:solidFill>
          </c:spPr>
          <c:cat>
            <c:strRef>
              <c:f>'Graphics (OLD)'!$B$69:$F$69</c:f>
            </c:strRef>
          </c:cat>
          <c:val>
            <c:numRef>
              <c:f>'Graphics (OLD)'!$B$70:$F$70</c:f>
            </c:numRef>
          </c:val>
        </c:ser>
        <c:ser>
          <c:idx val="1"/>
          <c:order val="1"/>
          <c:tx>
            <c:strRef>
              <c:f>'Graphics (OLD)'!$A$71</c:f>
            </c:strRef>
          </c:tx>
          <c:spPr>
            <a:solidFill>
              <a:srgbClr val="DC3912"/>
            </a:solidFill>
          </c:spPr>
          <c:cat>
            <c:strRef>
              <c:f>'Graphics (OLD)'!$B$69:$F$69</c:f>
            </c:strRef>
          </c:cat>
          <c:val>
            <c:numRef>
              <c:f>'Graphics (OLD)'!$B$71:$F$71</c:f>
            </c:numRef>
          </c:val>
        </c:ser>
        <c:ser>
          <c:idx val="2"/>
          <c:order val="2"/>
          <c:tx>
            <c:strRef>
              <c:f>'Graphics (OLD)'!$A$72</c:f>
            </c:strRef>
          </c:tx>
          <c:spPr>
            <a:solidFill>
              <a:srgbClr val="FF9900"/>
            </a:solidFill>
          </c:spPr>
          <c:cat>
            <c:strRef>
              <c:f>'Graphics (OLD)'!$B$69:$F$69</c:f>
            </c:strRef>
          </c:cat>
          <c:val>
            <c:numRef>
              <c:f>'Graphics (OLD)'!$B$72:$F$72</c:f>
            </c:numRef>
          </c:val>
        </c:ser>
        <c:axId val="277859200"/>
        <c:axId val="1396382330"/>
      </c:barChart>
      <c:catAx>
        <c:axId val="277859200"/>
        <c:scaling>
          <c:orientation val="minMax"/>
        </c:scaling>
        <c:delete val="0"/>
        <c:axPos val="b"/>
        <c:txPr>
          <a:bodyPr/>
          <a:lstStyle/>
          <a:p>
            <a:pPr>
              <a:defRPr/>
            </a:pPr>
          </a:p>
        </c:txPr>
        <c:crossAx val="1396382330"/>
      </c:catAx>
      <c:valAx>
        <c:axId val="1396382330"/>
        <c:scaling>
          <c:orientation val="minMax"/>
        </c:scaling>
        <c:delete val="0"/>
        <c:axPos val="l"/>
        <c:majorGridlines>
          <c:spPr>
            <a:ln>
              <a:solidFill>
                <a:srgbClr val="B7B7B7"/>
              </a:solidFill>
            </a:ln>
          </c:spPr>
        </c:majorGridlines>
        <c:title>
          <c:tx>
            <c:rich>
              <a:bodyPr/>
              <a:lstStyle/>
              <a:p>
                <a:pPr>
                  <a:defRPr/>
                </a:pPr>
                <a:r>
                  <a:t/>
                </a:r>
              </a:p>
            </c:rich>
          </c:tx>
          <c:overlay val="0"/>
        </c:title>
        <c:numFmt sourceLinked="1" formatCode="General"/>
        <c:tickLblPos val="nextTo"/>
        <c:spPr>
          <a:ln w="47625">
            <a:noFill/>
          </a:ln>
        </c:spPr>
        <c:txPr>
          <a:bodyPr/>
          <a:lstStyle/>
          <a:p>
            <a:pPr>
              <a:defRPr/>
            </a:pPr>
          </a:p>
        </c:txPr>
        <c:crossAx val="277859200"/>
      </c:valAx>
    </c:plotArea>
    <c:legend>
      <c:legendPos val="t"/>
      <c:overlay val="0"/>
    </c:legend>
  </c:chart>
</c:chartSpace>
</file>

<file path=xl/charts/chart9.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a:defRPr b="1" sz="1600">
                <a:solidFill>
                  <a:srgbClr val="000000"/>
                </a:solidFill>
              </a:defRPr>
            </a:pPr>
            <a:r>
              <a:t>49 900 Euros </a:t>
            </a:r>
          </a:p>
        </c:rich>
      </c:tx>
      <c:overlay val="0"/>
    </c:title>
    <c:plotArea>
      <c:layout/>
      <c:pie3DChart>
        <c:varyColors val="1"/>
        <c:ser>
          <c:idx val="0"/>
          <c:order val="0"/>
          <c:dPt>
            <c:idx val="0"/>
            <c:spPr>
              <a:solidFill>
                <a:srgbClr val="4684EE"/>
              </a:solidFill>
            </c:spPr>
          </c:dPt>
          <c:dPt>
            <c:idx val="1"/>
            <c:spPr>
              <a:solidFill>
                <a:srgbClr val="DC3912"/>
              </a:solidFill>
            </c:spPr>
          </c:dPt>
          <c:dPt>
            <c:idx val="2"/>
            <c:spPr>
              <a:solidFill>
                <a:srgbClr val="FF9900"/>
              </a:solidFill>
            </c:spPr>
          </c:dPt>
          <c:dPt>
            <c:idx val="3"/>
            <c:spPr>
              <a:solidFill>
                <a:srgbClr val="008000"/>
              </a:solidFill>
            </c:spPr>
          </c:dPt>
          <c:dPt>
            <c:idx val="4"/>
            <c:spPr>
              <a:solidFill>
                <a:srgbClr val="666666"/>
              </a:solidFill>
            </c:spPr>
          </c:dPt>
          <c:dPt>
            <c:idx val="5"/>
            <c:spPr>
              <a:solidFill>
                <a:srgbClr val="4942CC"/>
              </a:solidFill>
            </c:spPr>
          </c:dPt>
          <c:dPt>
            <c:idx val="6"/>
            <c:spPr>
              <a:solidFill>
                <a:srgbClr val="CB4AC5"/>
              </a:solidFill>
            </c:spPr>
          </c:dPt>
          <c:dPt>
            <c:idx val="7"/>
            <c:spPr>
              <a:solidFill>
                <a:srgbClr val="D6AE00"/>
              </a:solidFill>
            </c:spPr>
          </c:dPt>
          <c:dPt>
            <c:idx val="8"/>
            <c:spPr>
              <a:solidFill>
                <a:srgbClr val="336699"/>
              </a:solidFill>
            </c:spPr>
          </c:dPt>
          <c:dPt>
            <c:idx val="9"/>
            <c:spPr>
              <a:solidFill>
                <a:srgbClr val="DD4477"/>
              </a:solidFill>
            </c:spPr>
          </c:dPt>
          <c:dPt>
            <c:idx val="10"/>
            <c:spPr>
              <a:solidFill>
                <a:srgbClr val="AAAA11"/>
              </a:solidFill>
            </c:spPr>
          </c:dPt>
          <c:dPt>
            <c:idx val="11"/>
            <c:spPr>
              <a:solidFill>
                <a:srgbClr val="66AA00"/>
              </a:solidFill>
            </c:spPr>
          </c:dPt>
          <c:dPt>
            <c:idx val="12"/>
            <c:spPr>
              <a:solidFill>
                <a:srgbClr val="888888"/>
              </a:solidFill>
            </c:spPr>
          </c:dPt>
          <c:dPt>
            <c:idx val="13"/>
            <c:spPr>
              <a:solidFill>
                <a:srgbClr val="994499"/>
              </a:solidFill>
            </c:spPr>
          </c:dPt>
          <c:dPt>
            <c:idx val="14"/>
            <c:spPr>
              <a:solidFill>
                <a:srgbClr val="DD5511"/>
              </a:solidFill>
            </c:spPr>
          </c:dPt>
          <c:dPt>
            <c:idx val="15"/>
            <c:spPr>
              <a:solidFill>
                <a:srgbClr val="22AA99"/>
              </a:solidFill>
            </c:spPr>
          </c:dPt>
          <c:dPt>
            <c:idx val="16"/>
            <c:spPr>
              <a:solidFill>
                <a:srgbClr val="999999"/>
              </a:solidFill>
            </c:spPr>
          </c:dPt>
          <c:dPt>
            <c:idx val="17"/>
            <c:spPr>
              <a:solidFill>
                <a:srgbClr val="705770"/>
              </a:solidFill>
            </c:spPr>
          </c:dPt>
          <c:dPt>
            <c:idx val="18"/>
            <c:spPr>
              <a:solidFill>
                <a:srgbClr val="109618"/>
              </a:solidFill>
            </c:spPr>
          </c:dPt>
          <c:dPt>
            <c:idx val="19"/>
            <c:spPr>
              <a:solidFill>
                <a:srgbClr val="A32929"/>
              </a:solidFill>
            </c:spPr>
          </c:dPt>
          <c:dLbls>
            <c:showLegendKey val="0"/>
            <c:showVal val="0"/>
            <c:showCatName val="0"/>
            <c:showSerName val="0"/>
            <c:showPercent val="0"/>
            <c:showBubbleSize val="0"/>
            <c:showLeaderLines val="1"/>
          </c:dLbls>
          <c:cat>
            <c:strRef>
              <c:f>'Graphics (OLD)'!$A$2:$A$6</c:f>
            </c:strRef>
          </c:cat>
          <c:val>
            <c:numRef>
              <c:f>'Graphics (OLD)'!$B$2:$B$6</c:f>
            </c:numRef>
          </c:val>
        </c:ser>
        <c:dLbls>
          <c:showLegendKey val="0"/>
          <c:showVal val="0"/>
          <c:showCatName val="0"/>
          <c:showSerName val="0"/>
          <c:showPercent val="0"/>
          <c:showBubbleSize val="0"/>
        </c:dLbls>
      </c:pie3DChart>
    </c:plotArea>
    <c:legend>
      <c:legendPos val="r"/>
      <c:overlay val="0"/>
    </c:legend>
  </c:chart>
</c:chartSpace>
</file>

<file path=xl/drawings/_rels/drawing12.xml.rels><?xml version="1.0" encoding="UTF-8" standalone="yes"?><Relationships xmlns="http://schemas.openxmlformats.org/package/2006/relationships"><Relationship Target="../charts/chart4.xml" Type="http://schemas.openxmlformats.org/officeDocument/2006/relationships/chart" Id="rId1"/></Relationships>
</file>

<file path=xl/drawings/_rels/drawing13.xml.rels><?xml version="1.0" encoding="UTF-8" standalone="yes"?><Relationships xmlns="http://schemas.openxmlformats.org/package/2006/relationships"><Relationship Target="../charts/chart6.xml" Type="http://schemas.openxmlformats.org/officeDocument/2006/relationships/chart" Id="rId2"/><Relationship Target="../charts/chart5.xml" Type="http://schemas.openxmlformats.org/officeDocument/2006/relationships/chart" Id="rId1"/><Relationship Target="../charts/chart8.xml" Type="http://schemas.openxmlformats.org/officeDocument/2006/relationships/chart" Id="rId4"/><Relationship Target="../charts/chart7.xml" Type="http://schemas.openxmlformats.org/officeDocument/2006/relationships/chart" Id="rId3"/><Relationship Target="../charts/chart9.xml" Type="http://schemas.openxmlformats.org/officeDocument/2006/relationships/chart" Id="rId5"/></Relationships>
</file>

<file path=xl/drawings/_rels/drawing8.xml.rels><?xml version="1.0" encoding="UTF-8" standalone="yes"?><Relationships xmlns="http://schemas.openxmlformats.org/package/2006/relationships"><Relationship Target="../charts/chart2.xml" Type="http://schemas.openxmlformats.org/officeDocument/2006/relationships/chart" Id="rId2"/><Relationship Target="../charts/chart1.xml" Type="http://schemas.openxmlformats.org/officeDocument/2006/relationships/chart" Id="rId1"/><Relationship Target="../charts/chart3.xml" Type="http://schemas.openxmlformats.org/officeDocument/2006/relationships/chart" Id="rId3"/></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762000" x="8858250"/>
    <xdr:ext cy="2705100" cx="10496550"/>
    <xdr:graphicFrame>
      <xdr:nvGraphicFramePr>
        <xdr:cNvPr id="4" name="Chart 4"/>
        <xdr:cNvGraphicFramePr/>
      </xdr:nvGraphicFramePr>
      <xdr:xfrm>
        <a:off y="0" x="0"/>
        <a:ext cy="0" cx="0"/>
      </xdr:xfrm>
      <a:graphic>
        <a:graphicData uri="http://schemas.openxmlformats.org/drawingml/2006/chart">
          <c:chart r:id="rId1"/>
        </a:graphicData>
      </a:graphic>
    </xdr:graphicFrame>
    <xdr:clientData fLocksWithSheet="0"/>
  </xdr:absoluteAnchor>
</xdr:wsD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4705350" x="7410450"/>
    <xdr:ext cy="2057400" cx="3248025"/>
    <xdr:graphicFrame>
      <xdr:nvGraphicFramePr>
        <xdr:cNvPr id="5" name="Chart 5"/>
        <xdr:cNvGraphicFramePr/>
      </xdr:nvGraphicFramePr>
      <xdr:xfrm>
        <a:off y="0" x="0"/>
        <a:ext cy="0" cx="0"/>
      </xdr:xfrm>
      <a:graphic>
        <a:graphicData uri="http://schemas.openxmlformats.org/drawingml/2006/chart">
          <c:chart r:id="rId1"/>
        </a:graphicData>
      </a:graphic>
    </xdr:graphicFrame>
    <xdr:clientData fLocksWithSheet="0"/>
  </xdr:absoluteAnchor>
  <xdr:absoluteAnchor>
    <xdr:pos y="619125" x="9315450"/>
    <xdr:ext cy="3629025" cx="6286500"/>
    <xdr:graphicFrame>
      <xdr:nvGraphicFramePr>
        <xdr:cNvPr id="6" name="Chart 6"/>
        <xdr:cNvGraphicFramePr/>
      </xdr:nvGraphicFramePr>
      <xdr:xfrm>
        <a:off y="0" x="0"/>
        <a:ext cy="0" cx="0"/>
      </xdr:xfrm>
      <a:graphic>
        <a:graphicData uri="http://schemas.openxmlformats.org/drawingml/2006/chart">
          <c:chart r:id="rId2"/>
        </a:graphicData>
      </a:graphic>
    </xdr:graphicFrame>
    <xdr:clientData fLocksWithSheet="0"/>
  </xdr:absoluteAnchor>
  <xdr:absoluteAnchor>
    <xdr:pos y="6343650" x="10991850"/>
    <xdr:ext cy="2324100" cx="4162425"/>
    <xdr:graphicFrame>
      <xdr:nvGraphicFramePr>
        <xdr:cNvPr id="7" name="Chart 7"/>
        <xdr:cNvGraphicFramePr/>
      </xdr:nvGraphicFramePr>
      <xdr:xfrm>
        <a:off y="0" x="0"/>
        <a:ext cy="0" cx="0"/>
      </xdr:xfrm>
      <a:graphic>
        <a:graphicData uri="http://schemas.openxmlformats.org/drawingml/2006/chart">
          <c:chart r:id="rId3"/>
        </a:graphicData>
      </a:graphic>
    </xdr:graphicFrame>
    <xdr:clientData fLocksWithSheet="0"/>
  </xdr:absoluteAnchor>
  <xdr:absoluteAnchor>
    <xdr:pos y="17516475" x="2095500"/>
    <xdr:ext cy="4076700" cx="10182225"/>
    <xdr:graphicFrame>
      <xdr:nvGraphicFramePr>
        <xdr:cNvPr id="8" name="Chart 8"/>
        <xdr:cNvGraphicFramePr/>
      </xdr:nvGraphicFramePr>
      <xdr:xfrm>
        <a:off y="0" x="0"/>
        <a:ext cy="0" cx="0"/>
      </xdr:xfrm>
      <a:graphic>
        <a:graphicData uri="http://schemas.openxmlformats.org/drawingml/2006/chart">
          <c:chart r:id="rId4"/>
        </a:graphicData>
      </a:graphic>
    </xdr:graphicFrame>
    <xdr:clientData fLocksWithSheet="0"/>
  </xdr:absoluteAnchor>
  <xdr:absoluteAnchor>
    <xdr:pos y="342900" x="7219950"/>
    <xdr:ext cy="876300" cx="1657350"/>
    <xdr:graphicFrame>
      <xdr:nvGraphicFramePr>
        <xdr:cNvPr id="9" name="Chart 9"/>
        <xdr:cNvGraphicFramePr/>
      </xdr:nvGraphicFramePr>
      <xdr:xfrm>
        <a:off y="0" x="0"/>
        <a:ext cy="0" cx="0"/>
      </xdr:xfrm>
      <a:graphic>
        <a:graphicData uri="http://schemas.openxmlformats.org/drawingml/2006/chart">
          <c:chart r:id="rId5"/>
        </a:graphicData>
      </a:graphic>
    </xdr:graphicFrame>
    <xdr:clientData fLocksWithSheet="0"/>
  </xdr:absolute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absoluteAnchor>
    <xdr:pos y="1971675" x="10991850"/>
    <xdr:ext cy="2324100" cx="4162425"/>
    <xdr:graphicFrame>
      <xdr:nvGraphicFramePr>
        <xdr:cNvPr id="1" name="Chart 1"/>
        <xdr:cNvGraphicFramePr/>
      </xdr:nvGraphicFramePr>
      <xdr:xfrm>
        <a:off y="0" x="0"/>
        <a:ext cy="0" cx="0"/>
      </xdr:xfrm>
      <a:graphic>
        <a:graphicData uri="http://schemas.openxmlformats.org/drawingml/2006/chart">
          <c:chart r:id="rId1"/>
        </a:graphicData>
      </a:graphic>
    </xdr:graphicFrame>
    <xdr:clientData fLocksWithSheet="0"/>
  </xdr:absoluteAnchor>
  <xdr:absoluteAnchor>
    <xdr:pos y="12449175" x="2095500"/>
    <xdr:ext cy="4076700" cx="10182225"/>
    <xdr:graphicFrame>
      <xdr:nvGraphicFramePr>
        <xdr:cNvPr id="2" name="Chart 2"/>
        <xdr:cNvGraphicFramePr/>
      </xdr:nvGraphicFramePr>
      <xdr:xfrm>
        <a:off y="0" x="0"/>
        <a:ext cy="0" cx="0"/>
      </xdr:xfrm>
      <a:graphic>
        <a:graphicData uri="http://schemas.openxmlformats.org/drawingml/2006/chart">
          <c:chart r:id="rId2"/>
        </a:graphicData>
      </a:graphic>
    </xdr:graphicFrame>
    <xdr:clientData fLocksWithSheet="0"/>
  </xdr:absoluteAnchor>
  <xdr:absoluteAnchor>
    <xdr:pos y="342900" x="7219950"/>
    <xdr:ext cy="876300" cx="1657350"/>
    <xdr:graphicFrame>
      <xdr:nvGraphicFramePr>
        <xdr:cNvPr id="3" name="Chart 3"/>
        <xdr:cNvGraphicFramePr/>
      </xdr:nvGraphicFramePr>
      <xdr:xfrm>
        <a:off y="0" x="0"/>
        <a:ext cy="0" cx="0"/>
      </xdr:xfrm>
      <a:graphic>
        <a:graphicData uri="http://schemas.openxmlformats.org/drawingml/2006/chart">
          <c:chart r:id="rId3"/>
        </a:graphicData>
      </a:graphic>
    </xdr:graphicFrame>
    <xdr:clientData fLocksWithSheet="0"/>
  </xdr:absolute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Target="../drawings/drawing1.xml" Type="http://schemas.openxmlformats.org/officeDocument/2006/relationships/drawing" Id="rId1"/></Relationships>
</file>

<file path=xl/worksheets/_rels/sheet10.xml.rels><?xml version="1.0" encoding="UTF-8" standalone="yes"?><Relationships xmlns="http://schemas.openxmlformats.org/package/2006/relationships"><Relationship Target="../drawings/drawing10.xml" Type="http://schemas.openxmlformats.org/officeDocument/2006/relationships/drawing" Id="rId1"/></Relationships>
</file>

<file path=xl/worksheets/_rels/sheet11.xml.rels><?xml version="1.0" encoding="UTF-8" standalone="yes"?><Relationships xmlns="http://schemas.openxmlformats.org/package/2006/relationships"><Relationship Target="../drawings/drawing11.xml" Type="http://schemas.openxmlformats.org/officeDocument/2006/relationships/drawing" Id="rId1"/></Relationships>
</file>

<file path=xl/worksheets/_rels/sheet12.xml.rels><?xml version="1.0" encoding="UTF-8" standalone="yes"?><Relationships xmlns="http://schemas.openxmlformats.org/package/2006/relationships"><Relationship Target="../drawings/drawing12.xml" Type="http://schemas.openxmlformats.org/officeDocument/2006/relationships/drawing" Id="rId1"/></Relationships>
</file>

<file path=xl/worksheets/_rels/sheet13.xml.rels><?xml version="1.0" encoding="UTF-8" standalone="yes"?><Relationships xmlns="http://schemas.openxmlformats.org/package/2006/relationships"><Relationship Target="../drawings/drawing13.xml" Type="http://schemas.openxmlformats.org/officeDocument/2006/relationships/drawing" Id="rId1"/></Relationships>
</file>

<file path=xl/worksheets/_rels/sheet2.xml.rels><?xml version="1.0" encoding="UTF-8" standalone="yes"?><Relationships xmlns="http://schemas.openxmlformats.org/package/2006/relationships"><Relationship Target="../drawings/drawing2.xml" Type="http://schemas.openxmlformats.org/officeDocument/2006/relationships/drawing" Id="rId1"/></Relationships>
</file>

<file path=xl/worksheets/_rels/sheet3.xml.rels><?xml version="1.0" encoding="UTF-8" standalone="yes"?><Relationships xmlns="http://schemas.openxmlformats.org/package/2006/relationships"><Relationship Target="../drawings/drawing3.xml" Type="http://schemas.openxmlformats.org/officeDocument/2006/relationships/drawing" Id="rId1"/></Relationships>
</file>

<file path=xl/worksheets/_rels/sheet4.xml.rels><?xml version="1.0" encoding="UTF-8" standalone="yes"?><Relationships xmlns="http://schemas.openxmlformats.org/package/2006/relationships"><Relationship Target="../drawings/drawing4.xml" Type="http://schemas.openxmlformats.org/officeDocument/2006/relationships/drawing" Id="rId1"/></Relationships>
</file>

<file path=xl/worksheets/_rels/sheet5.xml.rels><?xml version="1.0" encoding="UTF-8" standalone="yes"?><Relationships xmlns="http://schemas.openxmlformats.org/package/2006/relationships"><Relationship Target="../drawings/drawing5.xml" Type="http://schemas.openxmlformats.org/officeDocument/2006/relationships/drawing" Id="rId1"/></Relationships>
</file>

<file path=xl/worksheets/_rels/sheet6.xml.rels><?xml version="1.0" encoding="UTF-8" standalone="yes"?><Relationships xmlns="http://schemas.openxmlformats.org/package/2006/relationships"><Relationship Target="../drawings/drawing6.xml" Type="http://schemas.openxmlformats.org/officeDocument/2006/relationships/drawing" Id="rId1"/></Relationships>
</file>

<file path=xl/worksheets/_rels/sheet7.xml.rels><?xml version="1.0" encoding="UTF-8" standalone="yes"?><Relationships xmlns="http://schemas.openxmlformats.org/package/2006/relationships"><Relationship Target="../drawings/drawing7.xml" Type="http://schemas.openxmlformats.org/officeDocument/2006/relationships/drawing" Id="rId1"/></Relationships>
</file>

<file path=xl/worksheets/_rels/sheet8.xml.rels><?xml version="1.0" encoding="UTF-8" standalone="yes"?><Relationships xmlns="http://schemas.openxmlformats.org/package/2006/relationships"><Relationship Target="../drawings/drawing8.xml" Type="http://schemas.openxmlformats.org/officeDocument/2006/relationships/drawing" Id="rId1"/></Relationships>
</file>

<file path=xl/worksheets/_rels/sheet9.xml.rels><?xml version="1.0" encoding="UTF-8" standalone="yes"?><Relationships xmlns="http://schemas.openxmlformats.org/package/2006/relationships"><Relationship Target="../drawings/drawing9.xml" Type="http://schemas.openxmlformats.org/officeDocument/2006/relationships/drawing"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B2" ySplit="1.0" xSplit="1.0" activePane="bottomRight" state="frozen"/>
      <selection sqref="B1" activeCell="B1" pane="topRight"/>
      <selection sqref="A2" activeCell="A2" pane="bottomLeft"/>
      <selection sqref="B2" activeCell="B2" pane="bottomRight"/>
    </sheetView>
  </sheetViews>
  <sheetFormatPr customHeight="1" defaultColWidth="17.29" defaultRowHeight="15.75"/>
  <cols>
    <col min="1" customWidth="1" max="1" width="59.14"/>
  </cols>
  <sheetData>
    <row r="1">
      <c s="1" r="B1">
        <v>2014.0</v>
      </c>
      <c s="1" r="C1">
        <v>2015.0</v>
      </c>
      <c s="1" r="D1">
        <v>2016.0</v>
      </c>
      <c s="1" r="E1">
        <v>2017.0</v>
      </c>
      <c s="1" r="F1">
        <v>2018.0</v>
      </c>
    </row>
    <row r="2">
      <c t="str" r="A2">
        <f>Mensuel!A3</f>
        <v>Q-té des cottages loués sans CB pour la période</v>
      </c>
      <c t="str" r="B2">
        <f>sumif(Mensuel!$2:$2,B$1,Mensuel!3:3)</f>
        <v>1</v>
      </c>
      <c t="str" s="2" r="C2">
        <f>sumif(Mensuel!$2:$2,C$1,Mensuel!3:3)</f>
        <v>0</v>
      </c>
      <c t="str" r="D2">
        <f>sumif(Mensuel!$2:$2,D$1,Mensuel!3:3)</f>
        <v>0</v>
      </c>
      <c t="str" r="E2">
        <f>sumif(Mensuel!$2:$2,E$1,Mensuel!3:3)</f>
        <v>0</v>
      </c>
      <c t="str" s="2" r="F2">
        <f>sumif(Mensuel!$2:$2,F$1,Mensuel!3:3)</f>
        <v>0</v>
      </c>
      <c s="3" r="G2"/>
    </row>
    <row r="3">
      <c t="str" s="4" r="A3">
        <f>Mensuel!A4</f>
        <v>Q-té des cottages loués avec CB pour la période</v>
      </c>
      <c t="str" s="2" r="B3">
        <f>sumif(Mensuel!$2:$2,B$1,Mensuel!4:4)</f>
        <v>3</v>
      </c>
      <c t="str" s="2" r="C3">
        <f>sumif(Mensuel!$2:$2,C$1,Mensuel!4:4)</f>
        <v>19</v>
      </c>
      <c t="str" s="5" r="D3">
        <f>sumif(Mensuel!$2:$2,D$1,Mensuel!4:4)</f>
        <v>48</v>
      </c>
      <c t="str" s="2" r="E3">
        <f>sumif(Mensuel!$2:$2,E$1,Mensuel!4:4)</f>
        <v>81</v>
      </c>
      <c t="str" s="2" r="F3">
        <f>sumif(Mensuel!$2:$2,F$1,Mensuel!4:4)</f>
        <v>84</v>
      </c>
      <c s="3" r="G3"/>
    </row>
    <row r="4">
      <c t="str" s="4" r="A4">
        <f>Mensuel!A5</f>
        <v>Q-té des cottages vendus (Achat des SC) pour la période</v>
      </c>
      <c t="str" r="B4">
        <f>sumif(Mensuel!$2:$2,B$1,Mensuel!5:5)</f>
        <v>2</v>
      </c>
      <c t="str" s="2" r="C4">
        <f>sumif(Mensuel!$2:$2,C$1,Mensuel!5:5)</f>
        <v>13</v>
      </c>
      <c t="str" s="2" r="D4">
        <f>sumif(Mensuel!$2:$2,D$1,Mensuel!5:5)</f>
        <v>32</v>
      </c>
      <c t="str" s="2" r="E4">
        <f>sumif(Mensuel!$2:$2,E$1,Mensuel!5:5)</f>
        <v>54</v>
      </c>
      <c t="str" s="2" r="F4">
        <f>sumif(Mensuel!$2:$2,F$1,Mensuel!5:5)</f>
        <v>56</v>
      </c>
      <c s="3" r="G4"/>
    </row>
    <row r="5">
      <c t="str" r="A5">
        <f>Mensuel!A6</f>
        <v>Q-té des cottages vendus par apporteur pour la période</v>
      </c>
      <c t="str" r="B5">
        <f>sumif(Mensuel!$2:$2,B$1,Mensuel!6:6)</f>
        <v>0</v>
      </c>
      <c t="str" s="5" r="C5">
        <f>sumif(Mensuel!$2:$2,C$1,Mensuel!6:6)</f>
        <v>24</v>
      </c>
      <c t="str" s="5" r="D5">
        <f>sumif(Mensuel!$2:$2,D$1,Mensuel!6:6)</f>
        <v>104</v>
      </c>
      <c t="str" r="E5">
        <f>sumif(Mensuel!$2:$2,E$1,Mensuel!6:6)</f>
        <v>120</v>
      </c>
      <c t="str" r="F5">
        <f>sumif(Mensuel!$2:$2,F$1,Mensuel!6:6)</f>
        <v>120</v>
      </c>
      <c s="3" r="G5"/>
      <c s="6" r="H5"/>
      <c s="6" r="I5"/>
      <c s="6" r="J5"/>
      <c s="6" r="K5"/>
      <c s="6" r="L5"/>
      <c s="6" r="M5"/>
      <c s="6" r="N5"/>
      <c s="6" r="O5"/>
      <c s="6" r="P5"/>
      <c s="6" r="Q5"/>
      <c s="6" r="R5"/>
      <c s="6" r="S5"/>
      <c s="6" r="T5"/>
      <c s="6" r="U5"/>
      <c s="6" r="V5"/>
      <c s="6" r="W5"/>
      <c s="6" r="X5"/>
      <c s="6" r="Y5"/>
      <c s="6" r="Z5"/>
    </row>
    <row r="6">
      <c t="str" s="6" r="A6">
        <f>Mensuel!A7</f>
        <v>Cottages installés</v>
      </c>
      <c t="str" s="7" r="B6">
        <f>sumif(Mensuel!$2:$2,B$1,Mensuel!7:7)</f>
        <v>6</v>
      </c>
      <c t="str" s="7" r="C6">
        <f>sumif(Mensuel!$2:$2,C$1,Mensuel!7:7)</f>
        <v>55</v>
      </c>
      <c t="str" s="7" r="D6">
        <f>sumif(Mensuel!$2:$2,D$1,Mensuel!7:7)</f>
        <v>184</v>
      </c>
      <c t="str" s="7" r="E6">
        <f>sumif(Mensuel!$2:$2,E$1,Mensuel!7:7)</f>
        <v>254</v>
      </c>
      <c t="str" s="7" r="F6">
        <f>sumif(Mensuel!$2:$2,F$1,Mensuel!7:7)</f>
        <v>260</v>
      </c>
      <c s="3" r="G6"/>
      <c s="6" r="H6"/>
      <c s="6" r="I6"/>
      <c s="6" r="J6"/>
      <c s="6" r="K6"/>
      <c s="6" r="L6"/>
      <c s="6" r="M6"/>
      <c s="6" r="N6"/>
      <c s="6" r="O6"/>
      <c s="6" r="P6"/>
      <c s="6" r="Q6"/>
      <c s="6" r="R6"/>
      <c s="6" r="S6"/>
      <c s="6" r="T6"/>
      <c s="6" r="U6"/>
      <c s="6" r="V6"/>
      <c s="6" r="W6"/>
      <c s="6" r="X6"/>
      <c s="6" r="Y6"/>
      <c s="6" r="Z6"/>
    </row>
    <row r="7">
      <c t="str" s="2" r="A7">
        <f>Mensuel!A8</f>
        <v>Q-té cumulée de cottages loués sans CB</v>
      </c>
      <c t="str" s="2" r="B7">
        <f>Mensuel!M8</f>
        <v>1</v>
      </c>
      <c t="str" s="2" r="C7">
        <f>Mensuel!Y8</f>
        <v>1</v>
      </c>
      <c t="str" s="2" r="D7">
        <f>Mensuel!AK8</f>
        <v>1</v>
      </c>
      <c t="str" s="2" r="E7">
        <f>Mensuel!AW8</f>
        <v>1</v>
      </c>
      <c t="str" s="2" r="F7">
        <f>Mensuel!AX8</f>
        <v>1</v>
      </c>
      <c s="3" r="G7"/>
    </row>
    <row r="8">
      <c t="str" r="A8">
        <f>Mensuel!A9</f>
        <v>Q-té cumulée de cottages loués avec CB</v>
      </c>
      <c t="str" s="2" r="B8">
        <f>Mensuel!M9</f>
        <v>3</v>
      </c>
      <c t="str" s="5" r="C8">
        <f>Mensuel!Y9</f>
        <v>22</v>
      </c>
      <c t="str" s="5" r="D8">
        <f>Mensuel!AK9</f>
        <v>70</v>
      </c>
      <c t="str" s="5" r="E8">
        <f>Mensuel!AW9</f>
        <v>151</v>
      </c>
      <c t="str" s="2" r="F8">
        <f>Mensuel!AX9</f>
        <v>235</v>
      </c>
      <c s="3" r="G8"/>
    </row>
    <row r="9">
      <c t="str" r="A9">
        <f>Mensuel!A10</f>
        <v>Q-té cumulée de cottages vendus (tous canaux)</v>
      </c>
      <c t="str" s="4" r="B9">
        <f>Mensuel!M10</f>
        <v>2,00</v>
      </c>
      <c t="str" s="5" r="C9">
        <f>Mensuel!Y10</f>
        <v>38</v>
      </c>
      <c t="str" s="5" r="D9">
        <f>Mensuel!AK10</f>
        <v>174</v>
      </c>
      <c t="str" s="5" r="E9">
        <f>Mensuel!AW10</f>
        <v>348</v>
      </c>
      <c t="str" s="2" r="F9">
        <f>Mensuel!AX10</f>
        <v>524</v>
      </c>
      <c s="3" r="G9"/>
    </row>
    <row r="10">
      <c t="str" s="6" r="A10">
        <f>Mensuel!A11</f>
        <v>TOTAL COTTAGES INSTALLES</v>
      </c>
      <c t="str" s="6" r="B10">
        <f>Mensuel!M11</f>
        <v>6</v>
      </c>
      <c t="str" s="6" r="C10">
        <f>Mensuel!Y11</f>
        <v>61</v>
      </c>
      <c t="str" s="6" r="D10">
        <f>Mensuel!AK11</f>
        <v>245</v>
      </c>
      <c t="str" s="6" r="E10">
        <f>Mensuel!AW11</f>
        <v>500</v>
      </c>
      <c t="str" s="7" r="F10">
        <f>Mensuel!AX11</f>
        <v>760</v>
      </c>
      <c s="3" r="G10"/>
      <c s="6" r="H10"/>
      <c s="6" r="I10"/>
      <c s="6" r="J10"/>
      <c s="6" r="K10"/>
      <c s="6" r="L10"/>
      <c s="6" r="M10"/>
      <c s="6" r="N10"/>
      <c s="6" r="O10"/>
      <c s="6" r="P10"/>
      <c s="6" r="Q10"/>
      <c s="6" r="R10"/>
      <c s="6" r="S10"/>
      <c s="6" r="T10"/>
      <c s="6" r="U10"/>
      <c s="6" r="V10"/>
      <c s="6" r="W10"/>
      <c s="6" r="X10"/>
      <c s="6" r="Y10"/>
      <c s="6" r="Z10"/>
    </row>
    <row r="11">
      <c t="str" s="8" r="A11">
        <f>Mensuel!A12</f>
        <v>Ventes de Modules de Base, HT</v>
      </c>
      <c t="str" s="9" r="B11">
        <f>sumif(Mensuel!$2:$2,B$1,Mensuel!12:12)</f>
        <v>83 316,67 €</v>
      </c>
      <c t="str" s="9" r="C11">
        <f>sumif(Mensuel!$2:$2,C$1,Mensuel!12:12)</f>
        <v>1 512 968,18 €</v>
      </c>
      <c t="str" s="9" r="D11">
        <f>sumif(Mensuel!$2:$2,D$1,Mensuel!12:12)</f>
        <v>5 671 309,96 €</v>
      </c>
      <c t="str" s="9" r="E11">
        <f>sumif(Mensuel!$2:$2,E$1,Mensuel!12:12)</f>
        <v>7 239 551,80 €</v>
      </c>
      <c t="str" s="9" r="F11">
        <f>sumif(Mensuel!$2:$2,F$1,Mensuel!12:12)</f>
        <v>7 338 532,00 €</v>
      </c>
      <c s="3" r="G11"/>
      <c s="9" r="H11"/>
      <c s="9" r="I11"/>
      <c s="9" r="J11"/>
      <c s="9" r="K11"/>
      <c s="9" r="L11"/>
      <c s="9" r="M11"/>
      <c s="9" r="N11"/>
      <c s="9" r="O11"/>
      <c s="9" r="P11"/>
      <c s="9" r="Q11"/>
      <c s="9" r="R11"/>
      <c s="9" r="S11"/>
      <c s="9" r="T11"/>
      <c s="9" r="U11"/>
      <c s="9" r="V11"/>
      <c s="9" r="W11"/>
      <c s="9" r="X11"/>
      <c s="9" r="Y11"/>
      <c s="9" r="Z11"/>
      <c s="9" r="AA11"/>
      <c s="9" r="AB11"/>
      <c s="9" r="AC11"/>
      <c s="9" r="AD11"/>
      <c s="9" r="AE11"/>
      <c s="9" r="AF11"/>
      <c s="9" r="AG11"/>
      <c s="9" r="AH11"/>
      <c s="9" r="AI11"/>
      <c s="9" r="AJ11"/>
      <c s="9" r="AK11"/>
      <c s="9" r="AL11"/>
      <c s="9" r="AM11"/>
      <c s="9" r="AN11"/>
      <c s="9" r="AO11"/>
      <c s="9" r="AP11"/>
      <c s="9" r="AQ11"/>
      <c s="9" r="AR11"/>
      <c s="9" r="AS11"/>
      <c s="9" r="AT11"/>
      <c s="9" r="AU11"/>
      <c s="9" r="AV11"/>
      <c s="9" r="AW11"/>
      <c s="10" r="AX11"/>
      <c s="10" r="AY11"/>
      <c s="10" r="AZ11"/>
      <c s="10" r="BA11"/>
      <c s="10" r="BB11"/>
    </row>
    <row r="12">
      <c t="str" s="8" r="A12">
        <f>Mensuel!A13</f>
        <v>Ventes des KITs Meublés, HT</v>
      </c>
      <c t="str" s="9" r="B12">
        <f>sumif(Mensuel!$2:$2,B$1,Mensuel!13:13)</f>
        <v>3 888,00 €</v>
      </c>
      <c t="str" s="9" r="C12">
        <f>sumif(Mensuel!$2:$2,C$1,Mensuel!13:13)</f>
        <v>35 832,13 €</v>
      </c>
      <c t="str" s="9" r="D12">
        <f>sumif(Mensuel!$2:$2,D$1,Mensuel!13:13)</f>
        <v>119 294,64 €</v>
      </c>
      <c t="str" s="9" r="E12">
        <f>sumif(Mensuel!$2:$2,E$1,Mensuel!13:13)</f>
        <v>164 890,08 €</v>
      </c>
      <c t="str" s="9" r="F12">
        <f>sumif(Mensuel!$2:$2,F$1,Mensuel!13:13)</f>
        <v>168 739,20 €</v>
      </c>
      <c s="3" r="G12"/>
      <c s="9" r="H12"/>
      <c s="9" r="I12"/>
      <c s="9" r="J12"/>
      <c s="9" r="K12"/>
      <c s="9" r="L12"/>
      <c s="9" r="M12"/>
      <c s="9" r="N12"/>
      <c s="9" r="O12"/>
      <c s="9" r="P12"/>
      <c s="9" r="Q12"/>
      <c s="9" r="R12"/>
      <c s="9" r="S12"/>
      <c s="9" r="T12"/>
      <c s="9" r="U12"/>
      <c s="9" r="V12"/>
      <c s="9" r="W12"/>
      <c s="9" r="X12"/>
      <c s="9" r="Y12"/>
      <c s="9" r="Z12"/>
      <c s="9" r="AA12"/>
      <c s="9" r="AB12"/>
      <c s="9" r="AC12"/>
      <c s="9" r="AD12"/>
      <c s="9" r="AE12"/>
      <c s="9" r="AF12"/>
      <c s="9" r="AG12"/>
      <c s="9" r="AH12"/>
      <c s="9" r="AI12"/>
      <c s="9" r="AJ12"/>
      <c s="9" r="AK12"/>
      <c s="9" r="AL12"/>
      <c s="9" r="AM12"/>
      <c s="9" r="AN12"/>
      <c s="9" r="AO12"/>
      <c s="9" r="AP12"/>
      <c s="9" r="AQ12"/>
      <c s="9" r="AR12"/>
      <c s="9" r="AS12"/>
      <c s="9" r="AT12"/>
      <c s="9" r="AU12"/>
      <c s="9" r="AV12"/>
      <c s="9" r="AW12"/>
      <c s="10" r="AX12"/>
      <c s="10" r="AY12"/>
      <c s="10" r="AZ12"/>
      <c s="10" r="BA12"/>
      <c s="10" r="BB12"/>
    </row>
    <row r="13">
      <c t="str" s="8" r="A13">
        <f>Mensuel!A14</f>
        <v>Ventes des Installations, HT</v>
      </c>
      <c t="str" s="9" r="B13">
        <f>sumif(Mensuel!$2:$2,B$1,Mensuel!14:14)</f>
        <v>2 010,00 €</v>
      </c>
      <c t="str" s="9" r="C13">
        <f>sumif(Mensuel!$2:$2,C$1,Mensuel!14:14)</f>
        <v>18 524,33 €</v>
      </c>
      <c t="str" s="9" r="D13">
        <f>sumif(Mensuel!$2:$2,D$1,Mensuel!14:14)</f>
        <v>61 672,38 €</v>
      </c>
      <c t="str" s="9" r="E13">
        <f>sumif(Mensuel!$2:$2,E$1,Mensuel!14:14)</f>
        <v>85 244,10 €</v>
      </c>
      <c t="str" s="9" r="F13">
        <f>sumif(Mensuel!$2:$2,F$1,Mensuel!14:14)</f>
        <v>87 234,00 €</v>
      </c>
      <c s="3" r="G13"/>
      <c s="9" r="H13"/>
      <c s="9" r="I13"/>
      <c s="9" r="J13"/>
      <c s="9" r="K13"/>
      <c s="9" r="L13"/>
      <c s="9" r="M13"/>
      <c s="9" r="N13"/>
      <c s="9" r="O13"/>
      <c s="9" r="P13"/>
      <c s="9" r="Q13"/>
      <c s="9" r="R13"/>
      <c s="9" r="S13"/>
      <c s="9" r="T13"/>
      <c s="9" r="U13"/>
      <c s="9" r="V13"/>
      <c s="9" r="W13"/>
      <c s="9" r="X13"/>
      <c s="9" r="Y13"/>
      <c s="9" r="Z13"/>
      <c s="9" r="AA13"/>
      <c s="9" r="AB13"/>
      <c s="9" r="AC13"/>
      <c s="9" r="AD13"/>
      <c s="9" r="AE13"/>
      <c s="9" r="AF13"/>
      <c s="9" r="AG13"/>
      <c s="9" r="AH13"/>
      <c s="9" r="AI13"/>
      <c s="9" r="AJ13"/>
      <c s="9" r="AK13"/>
      <c s="9" r="AL13"/>
      <c s="9" r="AM13"/>
      <c s="9" r="AN13"/>
      <c s="9" r="AO13"/>
      <c s="9" r="AP13"/>
      <c s="9" r="AQ13"/>
      <c s="9" r="AR13"/>
      <c s="9" r="AS13"/>
      <c s="9" r="AT13"/>
      <c s="9" r="AU13"/>
      <c s="9" r="AV13"/>
      <c s="9" r="AW13"/>
      <c s="10" r="AX13"/>
      <c s="10" r="AY13"/>
      <c s="10" r="AZ13"/>
      <c s="10" r="BA13"/>
      <c s="10" r="BB13"/>
    </row>
    <row r="14">
      <c t="str" s="8" r="A14">
        <f>Mensuel!A15</f>
        <v>Location des cottages sans CB</v>
      </c>
      <c t="str" s="9" r="B14">
        <f>sumif(Mensuel!$2:$2,B$1,Mensuel!15:15)</f>
        <v>7 700,00 €</v>
      </c>
      <c t="str" s="9" r="C14">
        <f>sumif(Mensuel!$2:$2,C$1,Mensuel!15:15)</f>
        <v>8 400,00 €</v>
      </c>
      <c t="str" s="9" r="D14">
        <f>sumif(Mensuel!$2:$2,D$1,Mensuel!15:15)</f>
        <v>8 400,00 €</v>
      </c>
      <c t="str" s="9" r="E14">
        <f>sumif(Mensuel!$2:$2,E$1,Mensuel!15:15)</f>
        <v>8 400,00 €</v>
      </c>
      <c t="str" s="9" r="F14">
        <f>sumif(Mensuel!$2:$2,F$1,Mensuel!15:15)</f>
        <v>8 400,00 €</v>
      </c>
      <c s="3" r="G14"/>
      <c s="9" r="H14"/>
      <c s="9" r="I14"/>
      <c s="9" r="J14"/>
      <c s="9" r="K14"/>
      <c s="9" r="L14"/>
      <c s="9" r="M14"/>
      <c s="9" r="N14"/>
      <c s="9" r="O14"/>
      <c s="9" r="P14"/>
      <c s="9" r="Q14"/>
      <c s="9" r="R14"/>
      <c s="9" r="S14"/>
      <c s="9" r="T14"/>
      <c s="9" r="U14"/>
      <c s="9" r="V14"/>
      <c s="9" r="W14"/>
      <c s="9" r="X14"/>
      <c s="9" r="Y14"/>
      <c s="9" r="Z14"/>
      <c s="9" r="AA14"/>
      <c s="9" r="AB14"/>
      <c s="9" r="AC14"/>
      <c s="9" r="AD14"/>
      <c s="9" r="AE14"/>
      <c s="9" r="AF14"/>
      <c s="9" r="AG14"/>
      <c s="9" r="AH14"/>
      <c s="9" r="AI14"/>
      <c s="9" r="AJ14"/>
      <c s="9" r="AK14"/>
      <c s="9" r="AL14"/>
      <c s="9" r="AM14"/>
      <c s="9" r="AN14"/>
      <c s="9" r="AO14"/>
      <c s="9" r="AP14"/>
      <c s="9" r="AQ14"/>
      <c s="9" r="AR14"/>
      <c s="9" r="AS14"/>
      <c s="9" r="AT14"/>
      <c s="9" r="AU14"/>
      <c s="9" r="AV14"/>
      <c s="9" r="AW14"/>
      <c s="10" r="AX14"/>
      <c s="10" r="AY14"/>
      <c s="10" r="AZ14"/>
      <c s="10" r="BA14"/>
      <c s="10" r="BB14"/>
    </row>
    <row r="15">
      <c t="str" s="8" r="A15">
        <f>Mensuel!A16</f>
        <v>Location des cottages avec CB</v>
      </c>
      <c t="str" s="9" r="B15">
        <f>sumif(Mensuel!$2:$2,B$1,Mensuel!16:16)</f>
        <v>2 940,00 €</v>
      </c>
      <c t="str" s="9" r="C15">
        <f>sumif(Mensuel!$2:$2,C$1,Mensuel!16:16)</f>
        <v>101 505,60 €</v>
      </c>
      <c t="str" s="9" r="D15">
        <f>sumif(Mensuel!$2:$2,D$1,Mensuel!16:16)</f>
        <v>396 748,80 €</v>
      </c>
      <c t="str" s="9" r="E15">
        <f>sumif(Mensuel!$2:$2,E$1,Mensuel!16:16)</f>
        <v>949 132,80 €</v>
      </c>
      <c t="str" s="9" r="F15">
        <f>sumif(Mensuel!$2:$2,F$1,Mensuel!16:16)</f>
        <v>1 972 756,80 €</v>
      </c>
      <c s="3" r="G15"/>
      <c s="9" r="H15"/>
      <c s="9" r="I15"/>
      <c s="9" r="J15"/>
      <c s="9" r="K15"/>
      <c s="9" r="L15"/>
      <c s="9" r="M15"/>
      <c s="9" r="N15"/>
      <c s="9" r="O15"/>
      <c s="9" r="P15"/>
      <c s="9" r="Q15"/>
      <c s="9" r="R15"/>
      <c s="9" r="S15"/>
      <c s="9" r="T15"/>
      <c s="9" r="U15"/>
      <c s="9" r="V15"/>
      <c s="9" r="W15"/>
      <c s="9" r="X15"/>
      <c s="9" r="Y15"/>
      <c s="9" r="Z15"/>
      <c s="9" r="AA15"/>
      <c s="9" r="AB15"/>
      <c s="9" r="AC15"/>
      <c s="9" r="AD15"/>
      <c s="9" r="AE15"/>
      <c s="9" r="AF15"/>
      <c s="9" r="AG15"/>
      <c s="9" r="AH15"/>
      <c s="9" r="AI15"/>
      <c s="9" r="AJ15"/>
      <c s="9" r="AK15"/>
      <c s="9" r="AL15"/>
      <c s="9" r="AM15"/>
      <c s="9" r="AN15"/>
      <c s="9" r="AO15"/>
      <c s="9" r="AP15"/>
      <c s="9" r="AQ15"/>
      <c s="9" r="AR15"/>
      <c s="9" r="AS15"/>
      <c s="9" r="AT15"/>
      <c s="9" r="AU15"/>
      <c s="9" r="AV15"/>
      <c s="9" r="AW15"/>
      <c s="10" r="AX15"/>
      <c s="10" r="AY15"/>
      <c s="10" r="AZ15"/>
      <c s="10" r="BA15"/>
      <c s="10" r="BB15"/>
    </row>
    <row r="16">
      <c t="str" s="8" r="A16">
        <f>Mensuel!A17</f>
        <v>Ventes de Maintenance additionnelle, HT</v>
      </c>
      <c t="str" s="9" r="B16">
        <f>sumif(Mensuel!$2:$2,B$1,Mensuel!17:17)</f>
        <v>150,00 €</v>
      </c>
      <c t="str" s="9" r="C16">
        <f>sumif(Mensuel!$2:$2,C$1,Mensuel!17:17)</f>
        <v>3 172,33 €</v>
      </c>
      <c t="str" s="9" r="D16">
        <f>sumif(Mensuel!$2:$2,D$1,Mensuel!17:17)</f>
        <v>15 817,82 €</v>
      </c>
      <c t="str" s="9" r="E16">
        <f>sumif(Mensuel!$2:$2,E$1,Mensuel!17:17)</f>
        <v>38 215,32 €</v>
      </c>
      <c t="str" s="9" r="F16">
        <f>sumif(Mensuel!$2:$2,F$1,Mensuel!17:17)</f>
        <v>76 025,32 €</v>
      </c>
      <c s="3" r="G16"/>
      <c s="9" r="H16"/>
      <c s="9" r="I16"/>
      <c s="9" r="J16"/>
      <c s="9" r="K16"/>
      <c s="9" r="L16"/>
      <c s="9" r="M16"/>
      <c s="9" r="N16"/>
      <c s="9" r="O16"/>
      <c s="9" r="P16"/>
      <c s="9" r="Q16"/>
      <c s="9" r="R16"/>
      <c s="9" r="S16"/>
      <c s="9" r="T16"/>
      <c s="9" r="U16"/>
      <c s="9" r="V16"/>
      <c s="9" r="W16"/>
      <c s="9" r="X16"/>
      <c s="9" r="Y16"/>
      <c s="9" r="Z16"/>
      <c s="9" r="AA16"/>
      <c s="9" r="AB16"/>
      <c s="9" r="AC16"/>
      <c s="9" r="AD16"/>
      <c s="9" r="AE16"/>
      <c s="9" r="AF16"/>
      <c s="9" r="AG16"/>
      <c s="9" r="AH16"/>
      <c s="9" r="AI16"/>
      <c s="9" r="AJ16"/>
      <c s="9" r="AK16"/>
      <c s="9" r="AL16"/>
      <c s="9" r="AM16"/>
      <c s="9" r="AN16"/>
      <c s="9" r="AO16"/>
      <c s="9" r="AP16"/>
      <c s="9" r="AQ16"/>
      <c s="9" r="AR16"/>
      <c s="9" r="AS16"/>
      <c s="9" r="AT16"/>
      <c s="9" r="AU16"/>
      <c s="9" r="AV16"/>
      <c s="9" r="AW16"/>
      <c s="10" r="AX16"/>
      <c s="10" r="AY16"/>
      <c s="10" r="AZ16"/>
      <c s="10" r="BA16"/>
      <c s="10" r="BB16"/>
    </row>
    <row r="17">
      <c t="str" s="11" r="A17">
        <f>Mensuel!A18</f>
        <v>Ventes, C.A. HT. (TOTAL REVENUE HT)</v>
      </c>
      <c t="str" s="12" r="B17">
        <f>sumif(Mensuel!$2:$2,B$1,Mensuel!18:18)</f>
        <v>100 004,67 €</v>
      </c>
      <c t="str" s="12" r="C17">
        <f>sumif(Mensuel!$2:$2,C$1,Mensuel!18:18)</f>
        <v>1 680 402,57 €</v>
      </c>
      <c t="str" s="12" r="D17">
        <f>sumif(Mensuel!$2:$2,D$1,Mensuel!18:18)</f>
        <v>6 273 243,60 €</v>
      </c>
      <c t="str" s="12" r="E17">
        <f>sumif(Mensuel!$2:$2,E$1,Mensuel!18:18)</f>
        <v>8 485 434,10 €</v>
      </c>
      <c t="str" s="12" r="F17">
        <f>sumif(Mensuel!$2:$2,F$1,Mensuel!18:18)</f>
        <v>9 651 687,32 €</v>
      </c>
      <c s="3" r="G17"/>
      <c s="12" r="H17"/>
      <c s="12" r="I17"/>
      <c s="12" r="J17"/>
      <c s="12" r="K17"/>
      <c s="12" r="L17"/>
      <c s="12" r="M17"/>
      <c s="12" r="N17"/>
      <c s="12" r="O17"/>
      <c s="12" r="P17"/>
      <c s="12" r="Q17"/>
      <c s="12" r="R17"/>
      <c s="12" r="S17"/>
      <c s="12" r="T17"/>
      <c s="12" r="U17"/>
      <c s="12" r="V17"/>
      <c s="12" r="W17"/>
      <c s="12" r="X17"/>
      <c s="12" r="Y17"/>
      <c s="12" r="Z17"/>
      <c s="12" r="AA17"/>
      <c s="12" r="AB17"/>
      <c s="12" r="AC17"/>
      <c s="12" r="AD17"/>
      <c s="12" r="AE17"/>
      <c s="12" r="AF17"/>
      <c s="12" r="AG17"/>
      <c s="12" r="AH17"/>
      <c s="12" r="AI17"/>
      <c s="12" r="AJ17"/>
      <c s="12" r="AK17"/>
      <c s="12" r="AL17"/>
      <c s="12" r="AM17"/>
      <c s="12" r="AN17"/>
      <c s="12" r="AO17"/>
      <c s="12" r="AP17"/>
      <c s="12" r="AQ17"/>
      <c s="12" r="AR17"/>
      <c s="12" r="AS17"/>
      <c s="12" r="AT17"/>
      <c s="12" r="AU17"/>
      <c s="12" r="AV17"/>
      <c s="12" r="AW17"/>
      <c s="13" r="AX17"/>
      <c s="13" r="AY17"/>
      <c s="13" r="AZ17"/>
      <c s="13" r="BA17"/>
      <c s="13" r="BB17"/>
    </row>
    <row r="18">
      <c t="str" s="8" r="A18">
        <f>Mensuel!A19</f>
        <v>Coût des Modules de Base, HT</v>
      </c>
      <c t="str" s="9" r="B18">
        <f>sumif(Mensuel!$2:$2,B$1,Mensuel!19:19)</f>
        <v>-52 300,00 €</v>
      </c>
      <c t="str" s="9" r="C18">
        <f>sumif(Mensuel!$2:$2,C$1,Mensuel!19:19)</f>
        <v>-913 228,68 €</v>
      </c>
      <c t="str" s="9" r="D18">
        <f>sumif(Mensuel!$2:$2,D$1,Mensuel!19:19)</f>
        <v>-3 163 249,99 €</v>
      </c>
      <c t="str" s="9" r="E18">
        <f>sumif(Mensuel!$2:$2,E$1,Mensuel!19:19)</f>
        <v>-3 978 226,83 €</v>
      </c>
      <c t="str" s="9" r="F18">
        <f>sumif(Mensuel!$2:$2,F$1,Mensuel!19:19)</f>
        <v>-3 973 280,73 €</v>
      </c>
      <c s="3" r="G18"/>
      <c s="9" r="H18"/>
      <c s="9" r="I18"/>
      <c s="9" r="J18"/>
      <c s="9" r="K18"/>
      <c s="9" r="L18"/>
      <c s="9" r="M18"/>
      <c s="9" r="N18"/>
      <c s="9" r="O18"/>
      <c s="9" r="P18"/>
      <c s="9" r="Q18"/>
      <c s="9" r="R18"/>
      <c s="9" r="S18"/>
      <c s="9" r="T18"/>
      <c s="9" r="U18"/>
      <c s="9" r="V18"/>
      <c s="9" r="W18"/>
      <c s="9" r="X18"/>
      <c s="9" r="Y18"/>
      <c s="9" r="Z18"/>
      <c s="9" r="AA18"/>
      <c s="9" r="AB18"/>
      <c s="9" r="AC18"/>
      <c s="9" r="AD18"/>
      <c s="9" r="AE18"/>
      <c s="9" r="AF18"/>
      <c s="9" r="AG18"/>
      <c s="9" r="AH18"/>
      <c s="9" r="AI18"/>
      <c s="9" r="AJ18"/>
      <c s="9" r="AK18"/>
      <c s="9" r="AL18"/>
      <c s="9" r="AM18"/>
      <c s="9" r="AN18"/>
      <c s="9" r="AO18"/>
      <c s="9" r="AP18"/>
      <c s="9" r="AQ18"/>
      <c s="9" r="AR18"/>
      <c s="9" r="AS18"/>
      <c s="9" r="AT18"/>
      <c s="9" r="AU18"/>
      <c s="9" r="AV18"/>
      <c s="9" r="AW18"/>
      <c s="10" r="AX18"/>
      <c s="10" r="AY18"/>
      <c s="10" r="AZ18"/>
      <c s="10" r="BA18"/>
      <c s="10" r="BB18"/>
    </row>
    <row r="19">
      <c t="str" s="8" r="A19">
        <f>Mensuel!A20</f>
        <v>Coût des Kits Meublés, HT</v>
      </c>
      <c t="str" s="9" r="B19">
        <f>sumif(Mensuel!$2:$2,B$1,Mensuel!20:20)</f>
        <v>-3 240,00 €</v>
      </c>
      <c t="str" s="9" r="C19">
        <f>sumif(Mensuel!$2:$2,C$1,Mensuel!20:20)</f>
        <v>-29 860,11 €</v>
      </c>
      <c t="str" s="9" r="D19">
        <f>sumif(Mensuel!$2:$2,D$1,Mensuel!20:20)</f>
        <v>-99 412,20 €</v>
      </c>
      <c t="str" s="9" r="E19">
        <f>sumif(Mensuel!$2:$2,E$1,Mensuel!20:20)</f>
        <v>-137 408,40 €</v>
      </c>
      <c t="str" s="9" r="F19">
        <f>sumif(Mensuel!$2:$2,F$1,Mensuel!20:20)</f>
        <v>-140 616,00 €</v>
      </c>
      <c s="3" r="G19"/>
      <c s="9" r="H19"/>
      <c s="9" r="I19"/>
      <c s="9" r="J19"/>
      <c s="9" r="K19"/>
      <c s="9" r="L19"/>
      <c s="9" r="M19"/>
      <c s="9" r="N19"/>
      <c s="9" r="O19"/>
      <c s="9" r="P19"/>
      <c s="9" r="Q19"/>
      <c s="9" r="R19"/>
      <c s="9" r="S19"/>
      <c s="9" r="T19"/>
      <c s="9" r="U19"/>
      <c s="9" r="V19"/>
      <c s="9" r="W19"/>
      <c s="9" r="X19"/>
      <c s="9" r="Y19"/>
      <c s="9" r="Z19"/>
      <c s="9" r="AA19"/>
      <c s="9" r="AB19"/>
      <c s="9" r="AC19"/>
      <c s="9" r="AD19"/>
      <c s="9" r="AE19"/>
      <c s="9" r="AF19"/>
      <c s="9" r="AG19"/>
      <c s="9" r="AH19"/>
      <c s="9" r="AI19"/>
      <c s="9" r="AJ19"/>
      <c s="9" r="AK19"/>
      <c s="9" r="AL19"/>
      <c s="9" r="AM19"/>
      <c s="9" r="AN19"/>
      <c s="9" r="AO19"/>
      <c s="9" r="AP19"/>
      <c s="9" r="AQ19"/>
      <c s="9" r="AR19"/>
      <c s="9" r="AS19"/>
      <c s="9" r="AT19"/>
      <c s="9" r="AU19"/>
      <c s="9" r="AV19"/>
      <c s="9" r="AW19"/>
      <c s="10" r="AX19"/>
      <c s="10" r="AY19"/>
      <c s="10" r="AZ19"/>
      <c s="10" r="BA19"/>
      <c s="10" r="BB19"/>
    </row>
    <row r="20">
      <c t="str" s="8" r="A20">
        <f>Mensuel!A21</f>
        <v>Coût des déménagements et stockage des SC loués, HT</v>
      </c>
      <c t="str" s="9" r="B20">
        <f>sumif(Mensuel!$2:$2,B$1,Mensuel!21:21)</f>
        <v>0,00 €</v>
      </c>
      <c t="str" s="9" r="C20">
        <f>sumif(Mensuel!$2:$2,C$1,Mensuel!21:21)</f>
        <v>0,00 €</v>
      </c>
      <c t="str" s="9" r="D20">
        <f>sumif(Mensuel!$2:$2,D$1,Mensuel!21:21)</f>
        <v>0,00 €</v>
      </c>
      <c t="str" s="9" r="E20">
        <f>sumif(Mensuel!$2:$2,E$1,Mensuel!21:21)</f>
        <v>-15 000,00 €</v>
      </c>
      <c t="str" s="9" r="F20">
        <f>sumif(Mensuel!$2:$2,F$1,Mensuel!21:21)</f>
        <v>-103 890,00 €</v>
      </c>
      <c s="3" r="G20"/>
      <c s="9" r="H20"/>
      <c s="9" r="I20"/>
      <c s="9" r="J20"/>
      <c s="9" r="K20"/>
      <c s="9" r="L20"/>
      <c s="9" r="M20"/>
      <c s="9" r="N20"/>
      <c s="9" r="O20"/>
      <c s="9" r="P20"/>
      <c s="9" r="Q20"/>
      <c s="9" r="R20"/>
      <c s="9" r="S20"/>
      <c s="9" r="T20"/>
      <c s="9" r="U20"/>
      <c s="9" r="V20"/>
      <c s="9" r="W20"/>
      <c s="9" r="X20"/>
      <c s="9" r="Y20"/>
      <c s="9" r="Z20"/>
      <c s="9" r="AA20"/>
      <c s="9" r="AB20"/>
      <c s="9" r="AC20"/>
      <c s="9" r="AD20"/>
      <c s="9" r="AE20"/>
      <c s="9" r="AF20"/>
      <c s="9" r="AG20"/>
      <c s="9" r="AH20"/>
      <c s="9" r="AI20"/>
      <c s="9" r="AJ20"/>
      <c s="9" r="AK20"/>
      <c s="9" r="AL20"/>
      <c s="9" r="AM20"/>
      <c s="9" r="AN20"/>
      <c s="9" r="AO20"/>
      <c s="9" r="AP20"/>
      <c s="9" r="AQ20"/>
      <c s="9" r="AR20"/>
      <c s="9" r="AS20"/>
      <c s="9" r="AT20"/>
      <c s="9" r="AU20"/>
      <c s="9" r="AV20"/>
      <c s="9" r="AW20"/>
      <c s="10" r="AX20"/>
      <c s="10" r="AY20"/>
      <c s="10" r="AZ20"/>
      <c s="10" r="BA20"/>
      <c s="10" r="BB20"/>
    </row>
    <row r="21">
      <c t="str" s="8" r="A21">
        <f>Mensuel!A22</f>
        <v>Coût de Maintenance Hors garantie, HT</v>
      </c>
      <c t="str" s="9" r="B21">
        <f>sumif(Mensuel!$2:$2,B$1,Mensuel!22:22)</f>
        <v>-900,00 €</v>
      </c>
      <c t="str" s="9" r="C21">
        <f>sumif(Mensuel!$2:$2,C$1,Mensuel!22:22)</f>
        <v>-19 033,98 €</v>
      </c>
      <c t="str" s="9" r="D21">
        <f>sumif(Mensuel!$2:$2,D$1,Mensuel!22:22)</f>
        <v>-94 906,90 €</v>
      </c>
      <c t="str" s="9" r="E21">
        <f>sumif(Mensuel!$2:$2,E$1,Mensuel!22:22)</f>
        <v>-229 291,90 €</v>
      </c>
      <c t="str" s="9" r="F21">
        <f>sumif(Mensuel!$2:$2,F$1,Mensuel!22:22)</f>
        <v>-456 151,90 €</v>
      </c>
      <c s="3" r="G21"/>
      <c s="9" r="H21"/>
      <c s="9" r="I21"/>
      <c s="9" r="J21"/>
      <c s="9" r="K21"/>
      <c s="9" r="L21"/>
      <c s="9" r="M21"/>
      <c s="9" r="N21"/>
      <c s="9" r="O21"/>
      <c s="9" r="P21"/>
      <c s="9" r="Q21"/>
      <c s="9" r="R21"/>
      <c s="9" r="S21"/>
      <c s="9" r="T21"/>
      <c s="9" r="U21"/>
      <c s="9" r="V21"/>
      <c s="9" r="W21"/>
      <c s="9" r="X21"/>
      <c s="9" r="Y21"/>
      <c s="9" r="Z21"/>
      <c s="9" r="AA21"/>
      <c s="9" r="AB21"/>
      <c s="9" r="AC21"/>
      <c s="9" r="AD21"/>
      <c s="9" r="AE21"/>
      <c s="9" r="AF21"/>
      <c s="9" r="AG21"/>
      <c s="9" r="AH21"/>
      <c s="9" r="AI21"/>
      <c s="9" r="AJ21"/>
      <c s="9" r="AK21"/>
      <c s="9" r="AL21"/>
      <c s="9" r="AM21"/>
      <c s="9" r="AN21"/>
      <c s="9" r="AO21"/>
      <c s="9" r="AP21"/>
      <c s="9" r="AQ21"/>
      <c s="9" r="AR21"/>
      <c s="9" r="AS21"/>
      <c s="9" r="AT21"/>
      <c s="9" r="AU21"/>
      <c s="9" r="AV21"/>
      <c s="9" r="AW21"/>
      <c s="10" r="AX21"/>
      <c s="10" r="AY21"/>
      <c s="10" r="AZ21"/>
      <c s="10" r="BA21"/>
      <c s="10" r="BB21"/>
    </row>
    <row r="22">
      <c t="str" s="8" r="A22">
        <f>Mensuel!A23</f>
        <v>Coût de Maintenance Additionnelle, HT</v>
      </c>
      <c t="str" s="9" r="B22">
        <f>sumif(Mensuel!$2:$2,B$1,Mensuel!23:23)</f>
        <v>-90,00 €</v>
      </c>
      <c t="str" s="9" r="C22">
        <f>sumif(Mensuel!$2:$2,C$1,Mensuel!23:23)</f>
        <v>-1 903,40 €</v>
      </c>
      <c t="str" s="9" r="D22">
        <f>sumif(Mensuel!$2:$2,D$1,Mensuel!23:23)</f>
        <v>-9 490,69 €</v>
      </c>
      <c t="str" s="9" r="E22">
        <f>sumif(Mensuel!$2:$2,E$1,Mensuel!23:23)</f>
        <v>-22 929,19 €</v>
      </c>
      <c t="str" s="9" r="F22">
        <f>sumif(Mensuel!$2:$2,F$1,Mensuel!23:23)</f>
        <v>-33 615,19 €</v>
      </c>
      <c s="3" r="G22"/>
      <c s="9" r="H22"/>
      <c s="9" r="I22"/>
      <c s="9" r="J22"/>
      <c s="9" r="K22"/>
      <c s="9" r="L22"/>
      <c s="9" r="M22"/>
      <c s="9" r="N22"/>
      <c s="9" r="O22"/>
      <c s="9" r="P22"/>
      <c s="9" r="Q22"/>
      <c s="9" r="R22"/>
      <c s="9" r="S22"/>
      <c s="9" r="T22"/>
      <c s="9" r="U22"/>
      <c s="9" r="V22"/>
      <c s="9" r="W22"/>
      <c s="9" r="X22"/>
      <c s="9" r="Y22"/>
      <c s="9" r="Z22"/>
      <c s="9" r="AA22"/>
      <c s="9" r="AB22"/>
      <c s="9" r="AC22"/>
      <c s="9" r="AD22"/>
      <c s="9" r="AE22"/>
      <c s="9" r="AF22"/>
      <c s="9" r="AG22"/>
      <c s="9" r="AH22"/>
      <c s="9" r="AI22"/>
      <c s="9" r="AJ22"/>
      <c s="9" r="AK22"/>
      <c s="9" r="AL22"/>
      <c s="9" r="AM22"/>
      <c s="9" r="AN22"/>
      <c s="9" r="AO22"/>
      <c s="9" r="AP22"/>
      <c s="9" r="AQ22"/>
      <c s="9" r="AR22"/>
      <c s="9" r="AS22"/>
      <c s="9" r="AT22"/>
      <c s="9" r="AU22"/>
      <c s="9" r="AV22"/>
      <c s="9" r="AW22"/>
      <c s="10" r="AX22"/>
      <c s="10" r="AY22"/>
      <c s="10" r="AZ22"/>
      <c s="10" r="BA22"/>
      <c s="10" r="BB22"/>
    </row>
    <row r="23">
      <c t="str" s="11" r="A23">
        <f>Mensuel!A24</f>
        <v>TOTAL COUTS global du Module de Base</v>
      </c>
      <c t="str" s="12" r="B23">
        <f>sumif(Mensuel!$2:$2,B$1,Mensuel!24:24)</f>
        <v>-56 530,00 €</v>
      </c>
      <c t="str" s="12" r="C23">
        <f>sumif(Mensuel!$2:$2,C$1,Mensuel!24:24)</f>
        <v>-964 026,17 €</v>
      </c>
      <c t="str" s="12" r="D23">
        <f>sumif(Mensuel!$2:$2,D$1,Mensuel!24:24)</f>
        <v>-3 367 059,78 €</v>
      </c>
      <c t="str" s="12" r="E23">
        <f>sumif(Mensuel!$2:$2,E$1,Mensuel!24:24)</f>
        <v>-4 382 856,32 €</v>
      </c>
      <c t="str" s="12" r="F23">
        <f>sumif(Mensuel!$2:$2,F$1,Mensuel!24:24)</f>
        <v>-4 707 553,82 €</v>
      </c>
      <c s="3" r="G23"/>
      <c s="12" r="H23"/>
      <c s="12" r="I23"/>
      <c s="12" r="J23"/>
      <c s="12" r="K23"/>
      <c s="12" r="L23"/>
      <c s="12" r="M23"/>
      <c s="12" r="N23"/>
      <c s="12" r="O23"/>
      <c s="12" r="P23"/>
      <c s="12" r="Q23"/>
      <c s="12" r="R23"/>
      <c s="12" r="S23"/>
      <c s="12" r="T23"/>
      <c s="12" r="U23"/>
      <c s="12" r="V23"/>
      <c s="12" r="W23"/>
      <c s="12" r="X23"/>
      <c s="12" r="Y23"/>
      <c s="12" r="Z23"/>
      <c s="12" r="AA23"/>
      <c s="12" r="AB23"/>
      <c s="12" r="AC23"/>
      <c s="12" r="AD23"/>
      <c s="12" r="AE23"/>
      <c s="12" r="AF23"/>
      <c s="12" r="AG23"/>
      <c s="12" r="AH23"/>
      <c s="12" r="AI23"/>
      <c s="12" r="AJ23"/>
      <c s="12" r="AK23"/>
      <c s="12" r="AL23"/>
      <c s="12" r="AM23"/>
      <c s="12" r="AN23"/>
      <c s="12" r="AO23"/>
      <c s="12" r="AP23"/>
      <c s="12" r="AQ23"/>
      <c s="12" r="AR23"/>
      <c s="12" r="AS23"/>
      <c s="12" r="AT23"/>
      <c s="12" r="AU23"/>
      <c s="12" r="AV23"/>
      <c s="12" r="AW23"/>
      <c s="13" r="AX23"/>
      <c s="13" r="AY23"/>
      <c s="13" r="AZ23"/>
      <c s="13" r="BA23"/>
      <c s="13" r="BB23"/>
    </row>
    <row r="24">
      <c t="str" s="11" r="A24">
        <f>Mensuel!A25</f>
        <v>MARGE BRUTE</v>
      </c>
      <c t="str" s="12" r="B24">
        <f>sumif(Mensuel!$2:$2,B$1,Mensuel!25:25)</f>
        <v>43 474,67 €</v>
      </c>
      <c t="str" s="12" r="C24">
        <f>sumif(Mensuel!$2:$2,C$1,Mensuel!25:25)</f>
        <v>716 376,40 €</v>
      </c>
      <c t="str" s="12" r="D24">
        <f>sumif(Mensuel!$2:$2,D$1,Mensuel!25:25)</f>
        <v>2 906 183,82 €</v>
      </c>
      <c t="str" s="12" r="E24">
        <f>sumif(Mensuel!$2:$2,E$1,Mensuel!25:25)</f>
        <v>4 102 577,77 €</v>
      </c>
      <c t="str" s="12" r="F24">
        <f>sumif(Mensuel!$2:$2,F$1,Mensuel!25:25)</f>
        <v>4 944 133,49 €</v>
      </c>
      <c s="3" r="G24"/>
      <c s="12" r="H24"/>
      <c s="12" r="I24"/>
      <c s="12" r="J24"/>
      <c s="12" r="K24"/>
      <c s="12" r="L24"/>
      <c s="12" r="M24"/>
      <c s="12" r="N24"/>
      <c s="12" r="O24"/>
      <c s="12" r="P24"/>
      <c s="12" r="Q24"/>
      <c s="12" r="R24"/>
      <c s="12" r="S24"/>
      <c s="12" r="T24"/>
      <c s="12" r="U24"/>
      <c s="12" r="V24"/>
      <c s="12" r="W24"/>
      <c s="12" r="X24"/>
      <c s="12" r="Y24"/>
      <c s="12" r="Z24"/>
      <c s="12" r="AA24"/>
      <c s="12" r="AB24"/>
      <c s="12" r="AC24"/>
      <c s="12" r="AD24"/>
      <c s="12" r="AE24"/>
      <c s="12" r="AF24"/>
      <c s="12" r="AG24"/>
      <c s="12" r="AH24"/>
      <c s="12" r="AI24"/>
      <c s="12" r="AJ24"/>
      <c s="12" r="AK24"/>
      <c s="12" r="AL24"/>
      <c s="12" r="AM24"/>
      <c s="12" r="AN24"/>
      <c s="12" r="AO24"/>
      <c s="12" r="AP24"/>
      <c s="12" r="AQ24"/>
      <c s="12" r="AR24"/>
      <c s="12" r="AS24"/>
      <c s="12" r="AT24"/>
      <c s="12" r="AU24"/>
      <c s="12" r="AV24"/>
      <c s="12" r="AW24"/>
      <c s="13" r="AX24"/>
      <c s="13" r="AY24"/>
      <c s="13" r="AZ24"/>
      <c s="13" r="BA24"/>
      <c s="13" r="BB24"/>
    </row>
    <row r="25">
      <c t="str" s="8" r="A25">
        <f>Mensuel!A26</f>
        <v>Cout des ventes et de marketing</v>
      </c>
      <c t="str" s="9" r="B25">
        <f>sumif(Mensuel!$2:$2,B$1,Mensuel!26:26)</f>
        <v>-102 441,48 €</v>
      </c>
      <c t="str" s="9" r="C25">
        <f>sumif(Mensuel!$2:$2,C$1,Mensuel!26:26)</f>
        <v>-139 583,35 €</v>
      </c>
      <c t="str" s="9" r="D25">
        <f>sumif(Mensuel!$2:$2,D$1,Mensuel!26:26)</f>
        <v>-296 258,49 €</v>
      </c>
      <c t="str" s="9" r="E25">
        <f>sumif(Mensuel!$2:$2,E$1,Mensuel!26:26)</f>
        <v>-371 038,00 €</v>
      </c>
      <c t="str" s="9" r="F25">
        <f>sumif(Mensuel!$2:$2,F$1,Mensuel!26:26)</f>
        <v>-378 458,76 €</v>
      </c>
      <c s="3" r="G25"/>
      <c s="9" r="H25"/>
      <c s="9" r="I25"/>
      <c s="9" r="J25"/>
      <c s="9" r="K25"/>
      <c s="9" r="L25"/>
      <c s="9" r="M25"/>
      <c s="9" r="N25"/>
      <c s="9" r="O25"/>
      <c s="9" r="P25"/>
      <c s="9" r="Q25"/>
      <c s="9" r="R25"/>
      <c s="9" r="S25"/>
      <c s="9" r="T25"/>
      <c s="9" r="U25"/>
      <c s="9" r="V25"/>
      <c s="9" r="W25"/>
      <c s="9" r="X25"/>
      <c s="9" r="Y25"/>
      <c s="9" r="Z25"/>
      <c s="9" r="AA25"/>
      <c s="9" r="AB25"/>
      <c s="9" r="AC25"/>
      <c s="9" r="AD25"/>
      <c s="9" r="AE25"/>
      <c s="9" r="AF25"/>
      <c s="9" r="AG25"/>
      <c s="9" r="AH25"/>
      <c s="9" r="AI25"/>
      <c s="9" r="AJ25"/>
      <c s="9" r="AK25"/>
      <c s="9" r="AL25"/>
      <c s="9" r="AM25"/>
      <c s="9" r="AN25"/>
      <c s="9" r="AO25"/>
      <c s="9" r="AP25"/>
      <c s="9" r="AQ25"/>
      <c s="9" r="AR25"/>
      <c s="9" r="AS25"/>
      <c s="9" r="AT25"/>
      <c s="9" r="AU25"/>
      <c s="9" r="AV25"/>
      <c s="9" r="AW25"/>
      <c s="10" r="AX25"/>
      <c s="10" r="AY25"/>
      <c s="10" r="AZ25"/>
      <c s="10" r="BA25"/>
      <c s="10" r="BB25"/>
    </row>
    <row r="26">
      <c t="str" s="8" r="A26">
        <f>Mensuel!A27</f>
        <v>Coûts administratifs &amp; financiers</v>
      </c>
      <c t="str" s="9" r="B26">
        <f>sumif(Mensuel!$2:$2,B$1,Mensuel!27:27)</f>
        <v>-231 132,05 €</v>
      </c>
      <c t="str" s="9" r="C26">
        <f>sumif(Mensuel!$2:$2,C$1,Mensuel!27:27)</f>
        <v>-486 397,38 €</v>
      </c>
      <c t="str" s="9" r="D26">
        <f>sumif(Mensuel!$2:$2,D$1,Mensuel!27:27)</f>
        <v>-1 137 064,82 €</v>
      </c>
      <c t="str" s="9" r="E26">
        <f>sumif(Mensuel!$2:$2,E$1,Mensuel!27:27)</f>
        <v>-1 432 750,26 €</v>
      </c>
      <c t="str" s="9" r="F26">
        <f>sumif(Mensuel!$2:$2,F$1,Mensuel!27:27)</f>
        <v>-1 461 405,26 €</v>
      </c>
      <c s="3" r="G26"/>
      <c s="9" r="H26"/>
      <c s="9" r="I26"/>
      <c s="9" r="J26"/>
      <c s="9" r="K26"/>
      <c s="9" r="L26"/>
      <c s="9" r="M26"/>
      <c s="9" r="N26"/>
      <c s="9" r="O26"/>
      <c s="9" r="P26"/>
      <c s="9" r="Q26"/>
      <c s="9" r="R26"/>
      <c s="9" r="S26"/>
      <c s="9" r="T26"/>
      <c s="9" r="U26"/>
      <c s="9" r="V26"/>
      <c s="9" r="W26"/>
      <c s="9" r="X26"/>
      <c s="9" r="Y26"/>
      <c s="9" r="Z26"/>
      <c s="9" r="AA26"/>
      <c s="9" r="AB26"/>
      <c s="9" r="AC26"/>
      <c s="9" r="AD26"/>
      <c s="9" r="AE26"/>
      <c s="9" r="AF26"/>
      <c s="9" r="AG26"/>
      <c s="9" r="AH26"/>
      <c s="9" r="AI26"/>
      <c s="9" r="AJ26"/>
      <c s="9" r="AK26"/>
      <c s="9" r="AL26"/>
      <c s="9" r="AM26"/>
      <c s="9" r="AN26"/>
      <c s="9" r="AO26"/>
      <c s="9" r="AP26"/>
      <c s="9" r="AQ26"/>
      <c s="9" r="AR26"/>
      <c s="9" r="AS26"/>
      <c s="9" r="AT26"/>
      <c s="9" r="AU26"/>
      <c s="9" r="AV26"/>
      <c s="9" r="AW26"/>
      <c s="10" r="AX26"/>
      <c s="10" r="AY26"/>
      <c s="10" r="AZ26"/>
      <c s="10" r="BA26"/>
      <c s="10" r="BB26"/>
    </row>
    <row r="27">
      <c t="str" s="8" r="A27">
        <f>Mensuel!A28</f>
        <v>Loyers de CBMat</v>
      </c>
      <c t="str" s="9" r="B27">
        <f>sumif(Mensuel!$2:$2,B$1,Mensuel!28:28)</f>
        <v>-1 763,69 €</v>
      </c>
      <c t="str" s="9" r="C27">
        <f>sumif(Mensuel!$2:$2,C$1,Mensuel!28:28)</f>
        <v>-65 408,85 €</v>
      </c>
      <c t="str" s="9" r="D27">
        <f>sumif(Mensuel!$2:$2,D$1,Mensuel!28:28)</f>
        <v>-255 659,60 €</v>
      </c>
      <c t="str" s="9" r="E27">
        <f>sumif(Mensuel!$2:$2,E$1,Mensuel!28:28)</f>
        <v>-611 608,44 €</v>
      </c>
      <c t="str" s="9" r="F27">
        <f>sumif(Mensuel!$2:$2,F$1,Mensuel!28:28)</f>
        <v>-1 271 218,02 €</v>
      </c>
      <c s="3" r="G27"/>
      <c s="9" r="H27"/>
      <c s="9" r="I27"/>
      <c s="9" r="J27"/>
      <c s="9" r="K27"/>
      <c s="9" r="L27"/>
      <c s="9" r="M27"/>
      <c s="9" r="N27"/>
      <c s="9" r="O27"/>
      <c s="9" r="P27"/>
      <c s="9" r="Q27"/>
      <c s="9" r="R27"/>
      <c s="9" r="S27"/>
      <c s="9" r="T27"/>
      <c s="9" r="U27"/>
      <c s="9" r="V27"/>
      <c s="9" r="W27"/>
      <c s="9" r="X27"/>
      <c s="9" r="Y27"/>
      <c s="9" r="Z27"/>
      <c s="9" r="AA27"/>
      <c s="9" r="AB27"/>
      <c s="9" r="AC27"/>
      <c s="9" r="AD27"/>
      <c s="9" r="AE27"/>
      <c s="9" r="AF27"/>
      <c s="9" r="AG27"/>
      <c s="9" r="AH27"/>
      <c s="9" r="AI27"/>
      <c s="9" r="AJ27"/>
      <c s="9" r="AK27"/>
      <c s="9" r="AL27"/>
      <c s="9" r="AM27"/>
      <c s="9" r="AN27"/>
      <c s="9" r="AO27"/>
      <c s="9" r="AP27"/>
      <c s="9" r="AQ27"/>
      <c s="9" r="AR27"/>
      <c s="9" r="AS27"/>
      <c s="9" r="AT27"/>
      <c s="9" r="AU27"/>
      <c s="9" r="AV27"/>
      <c s="9" r="AW27"/>
      <c s="10" r="AX27"/>
      <c s="10" r="AY27"/>
      <c s="10" r="AZ27"/>
      <c s="10" r="BA27"/>
      <c s="10" r="BB27"/>
    </row>
    <row r="28">
      <c t="str" s="6" r="A28">
        <f>Mensuel!A29</f>
        <v>EBE (EBITDA)</v>
      </c>
      <c t="str" s="12" r="B28">
        <f>sumif(Mensuel!$2:$2,B$1,Mensuel!29:29)</f>
        <v>-291 862,55 €</v>
      </c>
      <c t="str" s="12" r="C28">
        <f>sumif(Mensuel!$2:$2,C$1,Mensuel!29:29)</f>
        <v>24 986,83 €</v>
      </c>
      <c t="str" s="12" r="D28">
        <f>sumif(Mensuel!$2:$2,D$1,Mensuel!29:29)</f>
        <v>1 217 200,90 €</v>
      </c>
      <c t="str" s="12" r="E28">
        <f>sumif(Mensuel!$2:$2,E$1,Mensuel!29:29)</f>
        <v>1 687 181,07 €</v>
      </c>
      <c t="str" s="12" r="F28">
        <f>sumif(Mensuel!$2:$2,F$1,Mensuel!29:29)</f>
        <v>1 833 051,46 €</v>
      </c>
      <c s="3" r="G28"/>
      <c s="6" r="H28"/>
      <c s="6" r="I28"/>
      <c s="6" r="J28"/>
      <c s="6" r="K28"/>
      <c s="6" r="L28"/>
      <c s="6" r="M28"/>
      <c s="6" r="N28"/>
      <c s="6" r="O28"/>
      <c s="6" r="P28"/>
      <c s="6" r="Q28"/>
      <c s="6" r="R28"/>
      <c s="6" r="S28"/>
      <c s="6" r="T28"/>
      <c s="6" r="U28"/>
      <c s="6" r="V28"/>
      <c s="6" r="W28"/>
      <c s="6" r="X28"/>
      <c s="6" r="Y28"/>
      <c s="6" r="Z28"/>
      <c s="6" r="AA28"/>
      <c s="6" r="AB28"/>
      <c s="6" r="AC28"/>
      <c s="6" r="AD28"/>
      <c s="6" r="AE28"/>
      <c s="6" r="AF28"/>
      <c s="6" r="AG28"/>
      <c s="6" r="AH28"/>
      <c s="6" r="AI28"/>
      <c s="6" r="AJ28"/>
      <c s="6" r="AK28"/>
      <c s="6" r="AL28"/>
      <c s="6" r="AM28"/>
      <c s="6" r="AN28"/>
      <c s="6" r="AO28"/>
      <c s="6" r="AP28"/>
      <c s="6" r="AQ28"/>
      <c s="6" r="AR28"/>
      <c s="6" r="AS28"/>
      <c s="6" r="AT28"/>
      <c s="6" r="AU28"/>
      <c s="6" r="AV28"/>
      <c s="6" r="AW28"/>
      <c s="6" r="AX28"/>
      <c s="6" r="AY28"/>
      <c s="6" r="AZ28"/>
      <c s="6" r="BA28"/>
      <c s="6" r="BB28"/>
    </row>
    <row r="29">
      <c t="str" r="A29">
        <f>Mensuel!A30</f>
        <v>IS</v>
      </c>
      <c t="str" s="9" r="B29">
        <f>sumif(Mensuel!$2:$2,B$1,Mensuel!30:30)</f>
        <v>0,00 €</v>
      </c>
      <c t="str" s="9" r="C29">
        <f>sumif(Mensuel!$2:$2,C$1,Mensuel!30:30)</f>
        <v>0,00 €</v>
      </c>
      <c t="str" s="9" r="D29">
        <f>sumif(Mensuel!$2:$2,D$1,Mensuel!30:30)</f>
        <v>-401 676,30 €</v>
      </c>
      <c t="str" s="9" r="E29">
        <f>sumif(Mensuel!$2:$2,E$1,Mensuel!30:30)</f>
        <v>-556 769,75 €</v>
      </c>
      <c t="str" s="9" r="F29">
        <f>sumif(Mensuel!$2:$2,F$1,Mensuel!30:30)</f>
        <v>-604 906,98 €</v>
      </c>
      <c s="3" r="G29"/>
    </row>
    <row r="30">
      <c t="str" s="6" r="A30">
        <f>Mensuel!A31</f>
        <v>Résultat net (Net income)</v>
      </c>
      <c t="str" s="12" r="B30">
        <f>sumif(Mensuel!$2:$2,B$1,Mensuel!31:31)</f>
        <v>-291 862,55 €</v>
      </c>
      <c t="str" s="12" r="C30">
        <f>sumif(Mensuel!$2:$2,C$1,Mensuel!31:31)</f>
        <v>24 986,83 €</v>
      </c>
      <c t="str" s="12" r="D30">
        <f>sumif(Mensuel!$2:$2,D$1,Mensuel!31:31)</f>
        <v>815 524,61 €</v>
      </c>
      <c t="str" s="12" r="E30">
        <f>sumif(Mensuel!$2:$2,E$1,Mensuel!31:31)</f>
        <v>1 130 411,32 €</v>
      </c>
      <c t="str" s="12" r="F30">
        <f>sumif(Mensuel!$2:$2,F$1,Mensuel!31:31)</f>
        <v>1 228 144,48 €</v>
      </c>
      <c s="3" r="G30"/>
    </row>
    <row r="31">
      <c t="s" s="14" r="A31">
        <v>0</v>
      </c>
      <c s="15" r="B31"/>
      <c s="15" r="C31"/>
      <c t="str" s="15" r="D31">
        <f ref="D31:F31" t="shared" si="1">D28/D17</f>
        <v>19,40%</v>
      </c>
      <c t="str" s="15" r="E31">
        <f t="shared" si="1"/>
        <v>19,88%</v>
      </c>
      <c t="str" s="15" r="F31">
        <f t="shared" si="1"/>
        <v>18,99%</v>
      </c>
      <c s="3" r="G31"/>
    </row>
    <row r="32">
      <c s="16" r="A32"/>
    </row>
    <row r="33">
      <c t="s" s="16" r="A33">
        <v>1</v>
      </c>
      <c t="str" s="17" r="B33">
        <f ref="B33:F33" t="shared" si="2">B26/B6</f>
        <v>-38 522,01 €</v>
      </c>
      <c t="str" s="17" r="C33">
        <f t="shared" si="2"/>
        <v>-8 796,17 €</v>
      </c>
      <c t="str" s="17" r="D33">
        <f t="shared" si="2"/>
        <v>-6 176,46 €</v>
      </c>
      <c t="str" s="17" r="E33">
        <f t="shared" si="2"/>
        <v>-5 630,55 €</v>
      </c>
      <c t="str" s="17" r="F33">
        <f t="shared" si="2"/>
        <v>-5 612,16 €</v>
      </c>
    </row>
    <row r="34">
      <c t="s" s="16" r="A34">
        <v>2</v>
      </c>
      <c t="str" s="17" r="B34">
        <f ref="B34:F34" t="shared" si="3">B25/B6</f>
        <v>-17 073,58 €</v>
      </c>
      <c t="str" s="17" r="C34">
        <f t="shared" si="3"/>
        <v>-2 524,27 €</v>
      </c>
      <c t="str" s="17" r="D34">
        <f t="shared" si="3"/>
        <v>-1 609,26 €</v>
      </c>
      <c t="str" s="17" r="E34">
        <f t="shared" si="3"/>
        <v>-1 458,14 €</v>
      </c>
      <c t="str" s="17" r="F34">
        <f t="shared" si="3"/>
        <v>-1 453,37 €</v>
      </c>
    </row>
    <row r="35">
      <c t="s" s="16" r="A35">
        <v>3</v>
      </c>
    </row>
    <row r="36">
      <c s="4" r="B36"/>
      <c s="4" r="C36"/>
      <c s="4" r="D36"/>
      <c s="4" r="E36"/>
      <c s="4" r="F36"/>
    </row>
  </sheetData>
  <conditionalFormatting sqref="G2:G31 A11:A27 B11:F32 H11:BB27">
    <cfRule priority="1" type="cellIs" operator="lessThan" dxfId="0">
      <formula>0</formula>
    </cfRule>
  </conditionalFormatting>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showGridLines="0" workbookViewId="0">
      <pane topLeftCell="D2" ySplit="1.0" xSplit="3.0" activePane="bottomRight" state="frozen"/>
      <selection sqref="D1" activeCell="D1" pane="topRight"/>
      <selection sqref="A2" activeCell="A2" pane="bottomLeft"/>
      <selection sqref="D2" activeCell="D2" pane="bottomRight"/>
    </sheetView>
  </sheetViews>
  <sheetFormatPr customHeight="1" defaultColWidth="17.29" defaultRowHeight="15.75"/>
  <cols>
    <col min="1" customWidth="1" max="1" width="29.0"/>
    <col min="2" customWidth="1" max="2" width="7.14"/>
    <col min="3" customWidth="1" max="3" width="20.43"/>
    <col min="4" customWidth="1" max="4" width="13.43"/>
    <col min="5" customWidth="1" max="5" width="15.14"/>
    <col min="6" customWidth="1" max="6" width="13.29"/>
    <col min="7" customWidth="1" max="7" width="20.43"/>
    <col min="8" customWidth="1" max="8" width="10.57"/>
    <col min="9" customWidth="1" max="9" width="69.14"/>
    <col min="10" customWidth="1" max="46" width="20.43"/>
  </cols>
  <sheetData>
    <row customHeight="1" r="1" ht="12.75">
      <c t="s" s="217" r="A1">
        <v>425</v>
      </c>
      <c t="s" s="218" r="B1">
        <v>426</v>
      </c>
      <c t="s" s="217" r="C1">
        <v>427</v>
      </c>
      <c t="s" s="217" r="D1">
        <v>428</v>
      </c>
      <c t="s" s="219" r="E1">
        <v>429</v>
      </c>
      <c t="s" s="220" r="F1">
        <v>430</v>
      </c>
      <c t="s" s="219" r="G1">
        <v>431</v>
      </c>
      <c t="s" s="217" r="H1">
        <v>432</v>
      </c>
      <c t="s" s="220" r="I1">
        <v>433</v>
      </c>
      <c t="s" s="221" r="J1">
        <v>434</v>
      </c>
      <c s="221" r="K1"/>
      <c s="221" r="L1"/>
      <c s="221" r="M1"/>
      <c s="221" r="N1"/>
      <c s="221" r="O1"/>
      <c s="221" r="P1"/>
      <c s="221" r="Q1"/>
      <c s="221" r="R1"/>
      <c s="221" r="S1"/>
      <c s="221" r="T1"/>
      <c s="221" r="U1"/>
      <c s="221" r="V1"/>
      <c s="221" r="W1"/>
      <c s="221" r="X1"/>
      <c s="221" r="Y1"/>
      <c s="221" r="Z1"/>
      <c s="221" r="AA1"/>
      <c s="221" r="AB1"/>
      <c s="221" r="AC1"/>
      <c s="221" r="AD1"/>
      <c s="221" r="AE1"/>
      <c s="221" r="AF1"/>
      <c s="221" r="AG1"/>
      <c s="221" r="AH1"/>
      <c s="221" r="AI1"/>
      <c s="221" r="AJ1"/>
      <c s="221" r="AK1"/>
      <c s="221" r="AL1"/>
      <c s="221" r="AM1"/>
      <c s="221" r="AN1"/>
      <c s="221" r="AO1"/>
      <c s="221" r="AP1"/>
      <c s="221" r="AQ1"/>
      <c s="221" r="AR1"/>
      <c s="221" r="AS1"/>
      <c s="221" r="AT1"/>
    </row>
    <row customHeight="1" r="2" ht="12.75">
      <c t="s" s="222" r="A2">
        <v>435</v>
      </c>
      <c t="s" s="223" r="B2">
        <v>436</v>
      </c>
      <c t="s" s="223" r="C2">
        <v>437</v>
      </c>
      <c t="s" s="217" r="D2">
        <v>438</v>
      </c>
      <c s="224" r="E2">
        <v>10000.0</v>
      </c>
      <c s="225" r="F2">
        <v>20.0</v>
      </c>
      <c t="str" s="226" r="G2">
        <f ref="G2:G3" t="shared" si="1">E2/F2</f>
        <v>€ 500,00</v>
      </c>
      <c t="s" s="217" r="H2">
        <v>439</v>
      </c>
      <c t="s" s="220" r="I2">
        <v>440</v>
      </c>
      <c s="221" r="J2"/>
      <c s="221" r="K2"/>
      <c s="221" r="L2"/>
      <c s="221" r="M2"/>
      <c s="221" r="N2"/>
      <c s="221" r="O2"/>
      <c s="221" r="P2"/>
      <c s="221" r="Q2"/>
      <c s="221" r="R2"/>
      <c s="221" r="S2"/>
      <c s="221" r="T2"/>
      <c s="221" r="U2"/>
      <c s="221" r="V2"/>
      <c s="221" r="W2"/>
      <c s="221" r="X2"/>
      <c s="221" r="Y2"/>
      <c s="221" r="Z2"/>
      <c s="221" r="AA2"/>
      <c s="221" r="AB2"/>
      <c s="221" r="AC2"/>
      <c s="221" r="AD2"/>
      <c s="221" r="AE2"/>
      <c s="221" r="AF2"/>
      <c s="221" r="AG2"/>
      <c s="221" r="AH2"/>
      <c s="221" r="AI2"/>
      <c s="221" r="AJ2"/>
      <c s="221" r="AK2"/>
      <c s="221" r="AL2"/>
      <c s="221" r="AM2"/>
      <c s="221" r="AN2"/>
      <c s="221" r="AO2"/>
      <c s="221" r="AP2"/>
      <c s="221" r="AQ2"/>
      <c s="221" r="AR2"/>
      <c s="221" r="AS2"/>
      <c s="221" r="AT2"/>
    </row>
    <row customHeight="1" r="3" ht="12.75">
      <c t="s" s="222" r="A3">
        <v>441</v>
      </c>
      <c t="s" s="223" r="B3">
        <v>442</v>
      </c>
      <c t="s" s="223" r="C3">
        <v>443</v>
      </c>
      <c t="s" s="217" r="D3">
        <v>444</v>
      </c>
      <c s="224" r="E3">
        <v>3000.0</v>
      </c>
      <c s="225" r="F3">
        <v>13.7</v>
      </c>
      <c t="str" s="226" r="G3">
        <f t="shared" si="1"/>
        <v>€ 218,98</v>
      </c>
      <c t="s" s="217" r="H3">
        <v>445</v>
      </c>
      <c t="s" s="220" r="I3">
        <v>446</v>
      </c>
      <c s="221" r="J3"/>
      <c s="221" r="K3"/>
      <c s="221" r="L3"/>
      <c s="221" r="M3"/>
      <c s="221" r="N3"/>
      <c s="221" r="O3"/>
      <c s="221" r="P3"/>
      <c s="221" r="Q3"/>
      <c s="221" r="R3"/>
      <c s="221" r="S3"/>
      <c s="221" r="T3"/>
      <c s="221" r="U3"/>
      <c s="221" r="V3"/>
      <c s="221" r="W3"/>
      <c s="221" r="X3"/>
      <c s="221" r="Y3"/>
      <c s="221" r="Z3"/>
      <c s="221" r="AA3"/>
      <c s="221" r="AB3"/>
      <c s="221" r="AC3"/>
      <c s="221" r="AD3"/>
      <c s="221" r="AE3"/>
      <c s="221" r="AF3"/>
      <c s="221" r="AG3"/>
      <c s="221" r="AH3"/>
      <c s="221" r="AI3"/>
      <c s="221" r="AJ3"/>
      <c s="221" r="AK3"/>
      <c s="221" r="AL3"/>
      <c s="221" r="AM3"/>
      <c s="221" r="AN3"/>
      <c s="221" r="AO3"/>
      <c s="221" r="AP3"/>
      <c s="221" r="AQ3"/>
      <c s="221" r="AR3"/>
      <c s="221" r="AS3"/>
      <c s="221" r="AT3"/>
    </row>
    <row customHeight="1" r="4" ht="12.75">
      <c t="s" s="222" r="A4">
        <v>447</v>
      </c>
      <c t="s" s="223" r="B4">
        <v>448</v>
      </c>
      <c t="s" s="223" r="C4">
        <v>449</v>
      </c>
      <c t="s" s="217" r="D4">
        <v>450</v>
      </c>
      <c s="224" r="E4">
        <v>2000.0</v>
      </c>
      <c s="225" r="F4">
        <v>20.0</v>
      </c>
      <c s="227" r="G4">
        <v>100.0</v>
      </c>
      <c t="s" s="217" r="H4">
        <v>451</v>
      </c>
      <c t="s" s="220" r="I4">
        <v>452</v>
      </c>
      <c s="221" r="J4"/>
      <c s="221" r="K4"/>
      <c s="221" r="L4"/>
      <c s="221" r="M4"/>
      <c s="221" r="N4"/>
      <c s="221" r="O4"/>
      <c s="221" r="P4"/>
      <c s="221" r="Q4"/>
      <c s="221" r="R4"/>
      <c s="221" r="S4"/>
      <c s="221" r="T4"/>
      <c s="221" r="U4"/>
      <c s="221" r="V4"/>
      <c s="221" r="W4"/>
      <c s="221" r="X4"/>
      <c s="221" r="Y4"/>
      <c s="221" r="Z4"/>
      <c s="221" r="AA4"/>
      <c s="221" r="AB4"/>
      <c s="221" r="AC4"/>
      <c s="221" r="AD4"/>
      <c s="221" r="AE4"/>
      <c s="221" r="AF4"/>
      <c s="221" r="AG4"/>
      <c s="221" r="AH4"/>
      <c s="221" r="AI4"/>
      <c s="221" r="AJ4"/>
      <c s="221" r="AK4"/>
      <c s="221" r="AL4"/>
      <c s="221" r="AM4"/>
      <c s="221" r="AN4"/>
      <c s="221" r="AO4"/>
      <c s="221" r="AP4"/>
      <c s="221" r="AQ4"/>
      <c s="221" r="AR4"/>
      <c s="221" r="AS4"/>
      <c s="221" r="AT4"/>
    </row>
    <row customHeight="1" r="5" ht="12.75">
      <c t="s" s="222" r="A5">
        <v>453</v>
      </c>
      <c t="s" s="223" r="B5">
        <v>454</v>
      </c>
      <c t="s" s="223" r="C5">
        <v>455</v>
      </c>
      <c t="s" s="217" r="D5">
        <v>456</v>
      </c>
      <c s="224" r="E5">
        <v>1000.0</v>
      </c>
      <c s="225" r="F5">
        <v>20.0</v>
      </c>
      <c t="str" s="226" r="G5">
        <f ref="G5:G9" t="shared" si="2">E5/F5</f>
        <v>€ 50,00</v>
      </c>
      <c t="s" s="217" r="H5">
        <v>457</v>
      </c>
      <c t="s" s="220" r="I5">
        <v>458</v>
      </c>
      <c s="221" r="J5"/>
      <c s="221" r="K5"/>
      <c s="221" r="L5"/>
      <c s="221" r="M5"/>
      <c s="221" r="N5"/>
      <c s="221" r="O5"/>
      <c s="221" r="P5"/>
      <c s="221" r="Q5"/>
      <c s="221" r="R5"/>
      <c s="221" r="S5"/>
      <c s="221" r="T5"/>
      <c s="221" r="U5"/>
      <c s="221" r="V5"/>
      <c s="221" r="W5"/>
      <c s="221" r="X5"/>
      <c s="221" r="Y5"/>
      <c s="221" r="Z5"/>
      <c s="221" r="AA5"/>
      <c s="221" r="AB5"/>
      <c s="221" r="AC5"/>
      <c s="221" r="AD5"/>
      <c s="221" r="AE5"/>
      <c s="221" r="AF5"/>
      <c s="221" r="AG5"/>
      <c s="221" r="AH5"/>
      <c s="221" r="AI5"/>
      <c s="221" r="AJ5"/>
      <c s="221" r="AK5"/>
      <c s="221" r="AL5"/>
      <c s="221" r="AM5"/>
      <c s="221" r="AN5"/>
      <c s="221" r="AO5"/>
      <c s="221" r="AP5"/>
      <c s="221" r="AQ5"/>
      <c s="221" r="AR5"/>
      <c s="221" r="AS5"/>
      <c s="221" r="AT5"/>
    </row>
    <row customHeight="1" r="6" ht="12.75">
      <c t="s" s="228" r="A6">
        <v>459</v>
      </c>
      <c t="s" s="223" r="B6">
        <v>460</v>
      </c>
      <c t="s" s="223" r="C6">
        <v>461</v>
      </c>
      <c t="s" s="217" r="D6">
        <v>462</v>
      </c>
      <c s="224" r="E6">
        <v>500.0</v>
      </c>
      <c s="225" r="F6">
        <v>20.0</v>
      </c>
      <c t="str" s="226" r="G6">
        <f t="shared" si="2"/>
        <v>€ 25,00</v>
      </c>
      <c t="s" s="217" r="H6">
        <v>463</v>
      </c>
      <c t="s" s="225" r="I6">
        <v>464</v>
      </c>
      <c s="221" r="J6"/>
      <c s="221" r="K6"/>
      <c s="221" r="L6"/>
      <c s="221" r="M6"/>
      <c s="221" r="N6"/>
      <c s="221" r="O6"/>
      <c s="221" r="P6"/>
      <c s="221" r="Q6"/>
      <c s="221" r="R6"/>
      <c s="221" r="S6"/>
      <c s="221" r="T6"/>
      <c s="221" r="U6"/>
      <c s="221" r="V6"/>
      <c s="221" r="W6"/>
      <c s="221" r="X6"/>
      <c s="221" r="Y6"/>
      <c s="221" r="Z6"/>
      <c s="221" r="AA6"/>
      <c s="221" r="AB6"/>
      <c s="221" r="AC6"/>
      <c s="221" r="AD6"/>
      <c s="221" r="AE6"/>
      <c s="221" r="AF6"/>
      <c s="221" r="AG6"/>
      <c s="221" r="AH6"/>
      <c s="221" r="AI6"/>
      <c s="221" r="AJ6"/>
      <c s="221" r="AK6"/>
      <c s="221" r="AL6"/>
      <c s="221" r="AM6"/>
      <c s="221" r="AN6"/>
      <c s="221" r="AO6"/>
      <c s="221" r="AP6"/>
      <c s="221" r="AQ6"/>
      <c s="221" r="AR6"/>
      <c s="221" r="AS6"/>
      <c s="221" r="AT6"/>
    </row>
    <row customHeight="1" r="7" ht="12.75">
      <c t="s" s="228" r="A7">
        <v>465</v>
      </c>
      <c t="s" s="223" r="B7">
        <v>466</v>
      </c>
      <c t="s" s="223" r="C7">
        <v>467</v>
      </c>
      <c t="s" s="217" r="D7">
        <v>468</v>
      </c>
      <c s="224" r="E7">
        <v>300.0</v>
      </c>
      <c s="225" r="F7">
        <v>1.0</v>
      </c>
      <c t="str" s="226" r="G7">
        <f t="shared" si="2"/>
        <v>€ 300,00</v>
      </c>
      <c t="s" s="217" r="H7">
        <v>469</v>
      </c>
      <c t="s" s="220" r="I7">
        <v>470</v>
      </c>
      <c s="221" r="J7"/>
      <c s="221" r="K7"/>
      <c s="221" r="L7"/>
      <c s="221" r="M7"/>
      <c s="221" r="N7"/>
      <c s="221" r="O7"/>
      <c s="221" r="P7"/>
      <c s="221" r="Q7"/>
      <c s="221" r="R7"/>
      <c s="221" r="S7"/>
      <c s="221" r="T7"/>
      <c s="221" r="U7"/>
      <c s="221" r="V7"/>
      <c s="221" r="W7"/>
      <c s="221" r="X7"/>
      <c s="221" r="Y7"/>
      <c s="221" r="Z7"/>
      <c s="221" r="AA7"/>
      <c s="221" r="AB7"/>
      <c s="221" r="AC7"/>
      <c s="221" r="AD7"/>
      <c s="221" r="AE7"/>
      <c s="221" r="AF7"/>
      <c s="221" r="AG7"/>
      <c s="221" r="AH7"/>
      <c s="221" r="AI7"/>
      <c s="221" r="AJ7"/>
      <c s="221" r="AK7"/>
      <c s="221" r="AL7"/>
      <c s="221" r="AM7"/>
      <c s="221" r="AN7"/>
      <c s="221" r="AO7"/>
      <c s="221" r="AP7"/>
      <c s="221" r="AQ7"/>
      <c s="221" r="AR7"/>
      <c s="221" r="AS7"/>
      <c s="221" r="AT7"/>
    </row>
    <row customHeight="1" r="8" ht="12.75">
      <c t="s" s="228" r="A8">
        <v>471</v>
      </c>
      <c t="s" s="223" r="B8">
        <v>472</v>
      </c>
      <c t="s" s="223" r="C8">
        <v>473</v>
      </c>
      <c t="s" s="217" r="D8">
        <v>474</v>
      </c>
      <c s="224" r="E8">
        <v>1000.0</v>
      </c>
      <c s="225" r="F8">
        <v>1.0</v>
      </c>
      <c t="str" s="226" r="G8">
        <f t="shared" si="2"/>
        <v>€ 1 000,00</v>
      </c>
      <c t="s" s="217" r="H8">
        <v>475</v>
      </c>
      <c t="s" s="220" r="I8">
        <v>476</v>
      </c>
      <c s="221" r="J8"/>
      <c s="221" r="K8"/>
      <c s="221" r="L8"/>
      <c s="221" r="M8"/>
      <c s="221" r="N8"/>
      <c s="221" r="O8"/>
      <c s="221" r="P8"/>
      <c s="221" r="Q8"/>
      <c s="221" r="R8"/>
      <c s="221" r="S8"/>
      <c s="221" r="T8"/>
      <c s="221" r="U8"/>
      <c s="221" r="V8"/>
      <c s="221" r="W8"/>
      <c s="221" r="X8"/>
      <c s="221" r="Y8"/>
      <c s="221" r="Z8"/>
      <c s="221" r="AA8"/>
      <c s="221" r="AB8"/>
      <c s="221" r="AC8"/>
      <c s="221" r="AD8"/>
      <c s="221" r="AE8"/>
      <c s="221" r="AF8"/>
      <c s="221" r="AG8"/>
      <c s="221" r="AH8"/>
      <c s="221" r="AI8"/>
      <c s="221" r="AJ8"/>
      <c s="221" r="AK8"/>
      <c s="221" r="AL8"/>
      <c s="221" r="AM8"/>
      <c s="221" r="AN8"/>
      <c s="221" r="AO8"/>
      <c s="221" r="AP8"/>
      <c s="221" r="AQ8"/>
      <c s="221" r="AR8"/>
      <c s="221" r="AS8"/>
      <c s="221" r="AT8"/>
    </row>
    <row customHeight="1" r="9" ht="12.75">
      <c t="s" s="228" r="A9">
        <v>477</v>
      </c>
      <c t="s" s="222" r="B9">
        <v>478</v>
      </c>
      <c t="s" s="222" r="C9">
        <v>479</v>
      </c>
      <c t="s" s="217" r="D9">
        <v>480</v>
      </c>
      <c s="224" r="E9">
        <v>300.0</v>
      </c>
      <c s="225" r="F9">
        <v>1.0</v>
      </c>
      <c t="str" s="226" r="G9">
        <f t="shared" si="2"/>
        <v>€ 300,00</v>
      </c>
      <c t="s" s="217" r="H9">
        <v>481</v>
      </c>
      <c t="s" s="225" r="I9">
        <v>482</v>
      </c>
      <c s="221" r="J9"/>
      <c s="221" r="K9"/>
      <c s="221" r="L9"/>
      <c s="221" r="M9"/>
      <c s="221" r="N9"/>
      <c s="221" r="O9"/>
      <c s="221" r="P9"/>
      <c s="221" r="Q9"/>
      <c s="221" r="R9"/>
      <c s="221" r="S9"/>
      <c s="221" r="T9"/>
      <c s="221" r="U9"/>
      <c s="221" r="V9"/>
      <c s="221" r="W9"/>
      <c s="221" r="X9"/>
      <c s="221" r="Y9"/>
      <c s="221" r="Z9"/>
      <c s="221" r="AA9"/>
      <c s="221" r="AB9"/>
      <c s="221" r="AC9"/>
      <c s="221" r="AD9"/>
      <c s="221" r="AE9"/>
      <c s="221" r="AF9"/>
      <c s="221" r="AG9"/>
      <c s="221" r="AH9"/>
      <c s="221" r="AI9"/>
      <c s="221" r="AJ9"/>
      <c s="221" r="AK9"/>
      <c s="221" r="AL9"/>
      <c s="221" r="AM9"/>
      <c s="221" r="AN9"/>
      <c s="221" r="AO9"/>
      <c s="221" r="AP9"/>
      <c s="221" r="AQ9"/>
      <c s="221" r="AR9"/>
      <c s="221" r="AS9"/>
      <c s="221" r="AT9"/>
    </row>
    <row customHeight="1" r="10" ht="12.75">
      <c t="s" s="228" r="A10">
        <v>483</v>
      </c>
      <c t="s" s="222" r="B10">
        <v>484</v>
      </c>
      <c t="s" s="223" r="C10">
        <v>485</v>
      </c>
      <c t="s" s="217" r="D10">
        <v>486</v>
      </c>
      <c s="224" r="E10">
        <v>600.0</v>
      </c>
      <c s="225" r="F10">
        <v>2.0</v>
      </c>
      <c s="227" r="G10">
        <v>300.0</v>
      </c>
      <c t="s" s="217" r="H10">
        <v>487</v>
      </c>
      <c t="s" s="225" r="I10">
        <v>488</v>
      </c>
      <c s="229" r="J10">
        <v>1.0</v>
      </c>
      <c s="221" r="K10"/>
      <c s="221" r="L10"/>
      <c s="221" r="M10"/>
      <c s="221" r="N10"/>
      <c s="221" r="O10"/>
      <c s="221" r="P10"/>
      <c s="221" r="Q10"/>
      <c s="221" r="R10"/>
      <c s="221" r="S10"/>
      <c s="221" r="T10"/>
      <c s="221" r="U10"/>
      <c s="221" r="V10"/>
      <c s="221" r="W10"/>
      <c s="221" r="X10"/>
      <c s="221" r="Y10"/>
      <c s="221" r="Z10"/>
      <c s="221" r="AA10"/>
      <c s="221" r="AB10"/>
      <c s="221" r="AC10"/>
      <c s="221" r="AD10"/>
      <c s="221" r="AE10"/>
      <c s="221" r="AF10"/>
      <c s="221" r="AG10"/>
      <c s="221" r="AH10"/>
      <c s="221" r="AI10"/>
      <c s="221" r="AJ10"/>
      <c s="221" r="AK10"/>
      <c s="221" r="AL10"/>
      <c s="221" r="AM10"/>
      <c s="221" r="AN10"/>
      <c s="221" r="AO10"/>
      <c s="221" r="AP10"/>
      <c s="221" r="AQ10"/>
      <c s="221" r="AR10"/>
      <c s="221" r="AS10"/>
      <c s="221" r="AT10"/>
    </row>
    <row customHeight="1" r="11" ht="12.75">
      <c t="s" s="228" r="A11">
        <v>489</v>
      </c>
      <c t="s" s="222" r="B11">
        <v>490</v>
      </c>
      <c t="s" s="222" r="C11">
        <v>491</v>
      </c>
      <c t="s" s="217" r="D11">
        <v>492</v>
      </c>
      <c s="224" r="E11">
        <v>1400.0</v>
      </c>
      <c s="225" r="F11">
        <v>1.0</v>
      </c>
      <c t="str" s="226" r="G11">
        <f ref="G11:G30" t="shared" si="3">E11/F11</f>
        <v>€ 1 400,00</v>
      </c>
      <c t="s" s="217" r="H11">
        <v>493</v>
      </c>
      <c t="s" s="225" r="I11">
        <v>494</v>
      </c>
      <c s="221" r="J11"/>
      <c s="221" r="K11"/>
      <c s="221" r="L11"/>
      <c s="221" r="M11"/>
      <c s="221" r="N11"/>
      <c s="221" r="O11"/>
      <c s="221" r="P11"/>
      <c s="221" r="Q11"/>
      <c s="221" r="R11"/>
      <c s="221" r="S11"/>
      <c s="221" r="T11"/>
      <c s="221" r="U11"/>
      <c s="221" r="V11"/>
      <c s="221" r="W11"/>
      <c s="221" r="X11"/>
      <c s="221" r="Y11"/>
      <c s="221" r="Z11"/>
      <c s="221" r="AA11"/>
      <c s="221" r="AB11"/>
      <c s="221" r="AC11"/>
      <c s="221" r="AD11"/>
      <c s="221" r="AE11"/>
      <c s="221" r="AF11"/>
      <c s="221" r="AG11"/>
      <c s="221" r="AH11"/>
      <c s="221" r="AI11"/>
      <c s="221" r="AJ11"/>
      <c s="221" r="AK11"/>
      <c s="221" r="AL11"/>
      <c s="221" r="AM11"/>
      <c s="221" r="AN11"/>
      <c s="221" r="AO11"/>
      <c s="221" r="AP11"/>
      <c s="221" r="AQ11"/>
      <c s="221" r="AR11"/>
      <c s="221" r="AS11"/>
      <c s="221" r="AT11"/>
    </row>
    <row customHeight="1" r="12" ht="12.75">
      <c t="s" s="218" r="A12">
        <v>495</v>
      </c>
      <c t="s" s="217" r="B12">
        <v>496</v>
      </c>
      <c t="s" s="223" r="C12">
        <v>497</v>
      </c>
      <c t="s" s="217" r="D12">
        <v>498</v>
      </c>
      <c s="224" r="E12">
        <v>2000.0</v>
      </c>
      <c s="225" r="F12">
        <v>140.0</v>
      </c>
      <c t="str" s="226" r="G12">
        <f t="shared" si="3"/>
        <v>€ 14,29</v>
      </c>
      <c t="s" s="217" r="H12">
        <v>499</v>
      </c>
      <c t="s" s="220" r="I12">
        <v>500</v>
      </c>
      <c s="221" r="J12"/>
      <c s="221" r="K12"/>
      <c s="221" r="L12"/>
      <c s="221" r="M12"/>
      <c s="221" r="N12"/>
      <c s="221" r="O12"/>
      <c s="221" r="P12"/>
      <c s="221" r="Q12"/>
      <c s="221" r="R12"/>
      <c s="221" r="S12"/>
      <c s="221" r="T12"/>
      <c s="221" r="U12"/>
      <c s="221" r="V12"/>
      <c s="221" r="W12"/>
      <c s="221" r="X12"/>
      <c s="221" r="Y12"/>
      <c s="221" r="Z12"/>
      <c s="221" r="AA12"/>
      <c s="221" r="AB12"/>
      <c s="221" r="AC12"/>
      <c s="221" r="AD12"/>
      <c s="221" r="AE12"/>
      <c s="221" r="AF12"/>
      <c s="221" r="AG12"/>
      <c s="221" r="AH12"/>
      <c s="221" r="AI12"/>
      <c s="221" r="AJ12"/>
      <c s="221" r="AK12"/>
      <c s="221" r="AL12"/>
      <c s="221" r="AM12"/>
      <c s="221" r="AN12"/>
      <c s="221" r="AO12"/>
      <c s="221" r="AP12"/>
      <c s="221" r="AQ12"/>
      <c s="221" r="AR12"/>
      <c s="221" r="AS12"/>
      <c s="221" r="AT12"/>
    </row>
    <row customHeight="1" r="13" ht="12.75">
      <c t="s" s="218" r="A13">
        <v>501</v>
      </c>
      <c t="s" s="217" r="B13">
        <v>502</v>
      </c>
      <c t="s" s="223" r="C13">
        <v>503</v>
      </c>
      <c s="217" r="D13"/>
      <c s="224" r="E13">
        <v>100.0</v>
      </c>
      <c s="225" r="F13">
        <v>1.0</v>
      </c>
      <c t="str" s="226" r="G13">
        <f t="shared" si="3"/>
        <v>€ 100,00</v>
      </c>
      <c t="s" s="217" r="H13">
        <v>504</v>
      </c>
      <c t="s" s="220" r="I13">
        <v>505</v>
      </c>
      <c s="221" r="J13"/>
      <c s="221" r="K13"/>
      <c s="221" r="L13"/>
      <c s="221" r="M13"/>
      <c s="221" r="N13"/>
      <c s="221" r="O13"/>
      <c s="221" r="P13"/>
      <c s="221" r="Q13"/>
      <c s="221" r="R13"/>
      <c s="221" r="S13"/>
      <c s="221" r="T13"/>
      <c s="221" r="U13"/>
      <c s="221" r="V13"/>
      <c s="221" r="W13"/>
      <c s="221" r="X13"/>
      <c s="221" r="Y13"/>
      <c s="221" r="Z13"/>
      <c s="221" r="AA13"/>
      <c s="221" r="AB13"/>
      <c s="221" r="AC13"/>
      <c s="221" r="AD13"/>
      <c s="221" r="AE13"/>
      <c s="221" r="AF13"/>
      <c s="221" r="AG13"/>
      <c s="221" r="AH13"/>
      <c s="221" r="AI13"/>
      <c s="221" r="AJ13"/>
      <c s="221" r="AK13"/>
      <c s="221" r="AL13"/>
      <c s="221" r="AM13"/>
      <c s="221" r="AN13"/>
      <c s="221" r="AO13"/>
      <c s="221" r="AP13"/>
      <c s="221" r="AQ13"/>
      <c s="221" r="AR13"/>
      <c s="221" r="AS13"/>
      <c s="221" r="AT13"/>
    </row>
    <row customHeight="1" r="14" ht="12.75">
      <c t="s" s="218" r="A14">
        <v>506</v>
      </c>
      <c t="s" s="217" r="B14">
        <v>507</v>
      </c>
      <c t="s" s="223" r="C14">
        <v>508</v>
      </c>
      <c t="s" s="217" r="D14">
        <v>509</v>
      </c>
      <c s="224" r="E14">
        <v>2500.0</v>
      </c>
      <c s="225" r="F14">
        <v>1.0</v>
      </c>
      <c t="str" s="226" r="G14">
        <f t="shared" si="3"/>
        <v>€ 2 500,00</v>
      </c>
      <c t="s" s="217" r="H14">
        <v>510</v>
      </c>
      <c t="s" s="220" r="I14">
        <v>511</v>
      </c>
      <c s="221" r="J14"/>
      <c s="221" r="K14"/>
      <c s="221" r="L14"/>
      <c s="221" r="M14"/>
      <c s="221" r="N14"/>
      <c s="221" r="O14"/>
      <c s="221" r="P14"/>
      <c s="221" r="Q14"/>
      <c s="221" r="R14"/>
      <c s="221" r="S14"/>
      <c s="221" r="T14"/>
      <c s="221" r="U14"/>
      <c s="221" r="V14"/>
      <c s="221" r="W14"/>
      <c s="221" r="X14"/>
      <c s="221" r="Y14"/>
      <c s="221" r="Z14"/>
      <c s="221" r="AA14"/>
      <c s="221" r="AB14"/>
      <c s="221" r="AC14"/>
      <c s="221" r="AD14"/>
      <c s="221" r="AE14"/>
      <c s="221" r="AF14"/>
      <c s="221" r="AG14"/>
      <c s="221" r="AH14"/>
      <c s="221" r="AI14"/>
      <c s="221" r="AJ14"/>
      <c s="221" r="AK14"/>
      <c s="221" r="AL14"/>
      <c s="221" r="AM14"/>
      <c s="221" r="AN14"/>
      <c s="221" r="AO14"/>
      <c s="221" r="AP14"/>
      <c s="221" r="AQ14"/>
      <c s="221" r="AR14"/>
      <c s="221" r="AS14"/>
      <c s="221" r="AT14"/>
    </row>
    <row customHeight="1" r="15" ht="12.75">
      <c t="s" s="218" r="A15">
        <v>512</v>
      </c>
      <c t="s" s="217" r="B15">
        <v>513</v>
      </c>
      <c t="s" s="223" r="C15">
        <v>514</v>
      </c>
      <c t="s" s="217" r="D15">
        <v>515</v>
      </c>
      <c s="224" r="E15">
        <v>1250.0</v>
      </c>
      <c s="225" r="F15">
        <v>1.0</v>
      </c>
      <c t="str" s="226" r="G15">
        <f t="shared" si="3"/>
        <v>€ 1 250,00</v>
      </c>
      <c t="s" s="217" r="H15">
        <v>516</v>
      </c>
      <c t="s" s="220" r="I15">
        <v>517</v>
      </c>
      <c s="221" r="J15"/>
      <c s="221" r="K15"/>
      <c s="221" r="L15"/>
      <c s="221" r="M15"/>
      <c s="221" r="N15"/>
      <c s="221" r="O15"/>
      <c s="221" r="P15"/>
      <c s="221" r="Q15"/>
      <c s="221" r="R15"/>
      <c s="221" r="S15"/>
      <c s="221" r="T15"/>
      <c s="221" r="U15"/>
      <c s="221" r="V15"/>
      <c s="221" r="W15"/>
      <c s="221" r="X15"/>
      <c s="221" r="Y15"/>
      <c s="221" r="Z15"/>
      <c s="221" r="AA15"/>
      <c s="221" r="AB15"/>
      <c s="221" r="AC15"/>
      <c s="221" r="AD15"/>
      <c s="221" r="AE15"/>
      <c s="221" r="AF15"/>
      <c s="221" r="AG15"/>
      <c s="221" r="AH15"/>
      <c s="221" r="AI15"/>
      <c s="221" r="AJ15"/>
      <c s="221" r="AK15"/>
      <c s="221" r="AL15"/>
      <c s="221" r="AM15"/>
      <c s="221" r="AN15"/>
      <c s="221" r="AO15"/>
      <c s="221" r="AP15"/>
      <c s="221" r="AQ15"/>
      <c s="221" r="AR15"/>
      <c s="221" r="AS15"/>
      <c s="221" r="AT15"/>
    </row>
    <row customHeight="1" r="16" ht="12.75">
      <c t="s" s="218" r="A16">
        <v>518</v>
      </c>
      <c t="s" s="217" r="B16">
        <v>519</v>
      </c>
      <c t="s" s="223" r="C16">
        <v>520</v>
      </c>
      <c t="s" s="217" r="D16">
        <v>521</v>
      </c>
      <c s="224" r="E16">
        <v>100.0</v>
      </c>
      <c s="225" r="F16">
        <v>1.0</v>
      </c>
      <c t="str" s="226" r="G16">
        <f t="shared" si="3"/>
        <v>€ 100,00</v>
      </c>
      <c t="s" s="217" r="H16">
        <v>522</v>
      </c>
      <c t="s" s="220" r="I16">
        <v>523</v>
      </c>
      <c s="221" r="J16"/>
      <c s="221" r="K16"/>
      <c s="221" r="L16"/>
      <c s="221" r="M16"/>
      <c s="221" r="N16"/>
      <c s="221" r="O16"/>
      <c s="221" r="P16"/>
      <c s="221" r="Q16"/>
      <c s="221" r="R16"/>
      <c s="221" r="S16"/>
      <c s="221" r="T16"/>
      <c s="221" r="U16"/>
      <c s="221" r="V16"/>
      <c s="221" r="W16"/>
      <c s="221" r="X16"/>
      <c s="221" r="Y16"/>
      <c s="221" r="Z16"/>
      <c s="221" r="AA16"/>
      <c s="221" r="AB16"/>
      <c s="221" r="AC16"/>
      <c s="221" r="AD16"/>
      <c s="221" r="AE16"/>
      <c s="221" r="AF16"/>
      <c s="221" r="AG16"/>
      <c s="221" r="AH16"/>
      <c s="221" r="AI16"/>
      <c s="221" r="AJ16"/>
      <c s="221" r="AK16"/>
      <c s="221" r="AL16"/>
      <c s="221" r="AM16"/>
      <c s="221" r="AN16"/>
      <c s="221" r="AO16"/>
      <c s="221" r="AP16"/>
      <c s="221" r="AQ16"/>
      <c s="221" r="AR16"/>
      <c s="221" r="AS16"/>
      <c s="221" r="AT16"/>
    </row>
    <row customHeight="1" r="17" ht="12.75">
      <c t="s" s="218" r="A17">
        <v>524</v>
      </c>
      <c t="s" s="217" r="B17">
        <v>525</v>
      </c>
      <c t="s" s="223" r="C17">
        <v>526</v>
      </c>
      <c t="s" s="217" r="D17">
        <v>527</v>
      </c>
      <c s="224" r="E17">
        <v>100.0</v>
      </c>
      <c s="225" r="F17">
        <v>1.0</v>
      </c>
      <c t="str" s="226" r="G17">
        <f t="shared" si="3"/>
        <v>€ 100,00</v>
      </c>
      <c t="s" s="217" r="H17">
        <v>528</v>
      </c>
      <c t="s" s="220" r="I17">
        <v>529</v>
      </c>
      <c s="221" r="J17"/>
      <c s="221" r="K17"/>
      <c s="221" r="L17"/>
      <c s="221" r="M17"/>
      <c s="221" r="N17"/>
      <c s="221" r="O17"/>
      <c s="221" r="P17"/>
      <c s="221" r="Q17"/>
      <c s="221" r="R17"/>
      <c s="221" r="S17"/>
      <c s="221" r="T17"/>
      <c s="221" r="U17"/>
      <c s="221" r="V17"/>
      <c s="221" r="W17"/>
      <c s="221" r="X17"/>
      <c s="221" r="Y17"/>
      <c s="221" r="Z17"/>
      <c s="221" r="AA17"/>
      <c s="221" r="AB17"/>
      <c s="221" r="AC17"/>
      <c s="221" r="AD17"/>
      <c s="221" r="AE17"/>
      <c s="221" r="AF17"/>
      <c s="221" r="AG17"/>
      <c s="221" r="AH17"/>
      <c s="221" r="AI17"/>
      <c s="221" r="AJ17"/>
      <c s="221" r="AK17"/>
      <c s="221" r="AL17"/>
      <c s="221" r="AM17"/>
      <c s="221" r="AN17"/>
      <c s="221" r="AO17"/>
      <c s="221" r="AP17"/>
      <c s="221" r="AQ17"/>
      <c s="221" r="AR17"/>
      <c s="221" r="AS17"/>
      <c s="221" r="AT17"/>
    </row>
    <row customHeight="1" r="18" ht="12.75">
      <c t="s" s="218" r="A18">
        <v>530</v>
      </c>
      <c t="s" s="217" r="B18">
        <v>531</v>
      </c>
      <c t="s" s="223" r="C18">
        <v>532</v>
      </c>
      <c t="s" s="217" r="D18">
        <v>533</v>
      </c>
      <c s="230" r="E18">
        <v>2000.0</v>
      </c>
      <c s="225" r="F18">
        <v>30.0</v>
      </c>
      <c t="str" s="226" r="G18">
        <f t="shared" si="3"/>
        <v>€ 66,67</v>
      </c>
      <c t="s" s="217" r="H18">
        <v>534</v>
      </c>
      <c t="s" s="220" r="I18">
        <v>535</v>
      </c>
      <c s="221" r="J18"/>
      <c s="221" r="K18"/>
      <c s="221" r="L18"/>
      <c s="221" r="M18"/>
      <c s="221" r="N18"/>
      <c s="221" r="O18"/>
      <c s="221" r="P18"/>
      <c s="221" r="Q18"/>
      <c s="221" r="R18"/>
      <c s="221" r="S18"/>
      <c s="221" r="T18"/>
      <c s="221" r="U18"/>
      <c s="221" r="V18"/>
      <c s="221" r="W18"/>
      <c s="221" r="X18"/>
      <c s="221" r="Y18"/>
      <c s="221" r="Z18"/>
      <c s="221" r="AA18"/>
      <c s="221" r="AB18"/>
      <c s="221" r="AC18"/>
      <c s="221" r="AD18"/>
      <c s="221" r="AE18"/>
      <c s="221" r="AF18"/>
      <c s="221" r="AG18"/>
      <c s="221" r="AH18"/>
      <c s="221" r="AI18"/>
      <c s="221" r="AJ18"/>
      <c s="221" r="AK18"/>
      <c s="221" r="AL18"/>
      <c s="221" r="AM18"/>
      <c s="221" r="AN18"/>
      <c s="221" r="AO18"/>
      <c s="221" r="AP18"/>
      <c s="221" r="AQ18"/>
      <c s="221" r="AR18"/>
      <c s="221" r="AS18"/>
      <c s="221" r="AT18"/>
    </row>
    <row customHeight="1" r="19" ht="12.75">
      <c t="s" s="218" r="A19">
        <v>536</v>
      </c>
      <c t="s" s="217" r="B19">
        <v>537</v>
      </c>
      <c t="s" s="223" r="C19">
        <v>538</v>
      </c>
      <c s="217" r="D19"/>
      <c s="231" r="E19">
        <v>1250.0</v>
      </c>
      <c s="225" r="F19">
        <v>1.0</v>
      </c>
      <c t="str" s="226" r="G19">
        <f t="shared" si="3"/>
        <v>€ 1 250,00</v>
      </c>
      <c t="s" s="217" r="H19">
        <v>539</v>
      </c>
      <c s="220" r="I19"/>
      <c s="221" r="J19"/>
      <c s="221" r="K19"/>
      <c s="221" r="L19"/>
      <c s="221" r="M19"/>
      <c s="221" r="N19"/>
      <c s="221" r="O19"/>
      <c s="221" r="P19"/>
      <c s="221" r="Q19"/>
      <c s="221" r="R19"/>
      <c s="221" r="S19"/>
      <c s="221" r="T19"/>
      <c s="221" r="U19"/>
      <c s="221" r="V19"/>
      <c s="221" r="W19"/>
      <c s="221" r="X19"/>
      <c s="221" r="Y19"/>
      <c s="221" r="Z19"/>
      <c s="221" r="AA19"/>
      <c s="221" r="AB19"/>
      <c s="221" r="AC19"/>
      <c s="221" r="AD19"/>
      <c s="221" r="AE19"/>
      <c s="221" r="AF19"/>
      <c s="221" r="AG19"/>
      <c s="221" r="AH19"/>
      <c s="221" r="AI19"/>
      <c s="221" r="AJ19"/>
      <c s="221" r="AK19"/>
      <c s="221" r="AL19"/>
      <c s="221" r="AM19"/>
      <c s="221" r="AN19"/>
      <c s="221" r="AO19"/>
      <c s="221" r="AP19"/>
      <c s="221" r="AQ19"/>
      <c s="221" r="AR19"/>
      <c s="221" r="AS19"/>
      <c s="221" r="AT19"/>
    </row>
    <row customHeight="1" r="20" ht="12.75">
      <c t="s" s="228" r="A20">
        <v>540</v>
      </c>
      <c t="s" s="223" r="B20">
        <v>541</v>
      </c>
      <c t="s" s="223" r="C20">
        <v>542</v>
      </c>
      <c t="s" s="217" r="D20">
        <v>543</v>
      </c>
      <c s="224" r="E20">
        <v>500.0</v>
      </c>
      <c s="225" r="F20">
        <v>1.0</v>
      </c>
      <c t="str" s="226" r="G20">
        <f t="shared" si="3"/>
        <v>€ 500,00</v>
      </c>
      <c t="s" s="217" r="H20">
        <v>544</v>
      </c>
      <c t="s" s="220" r="I20">
        <v>545</v>
      </c>
      <c s="229" r="J20">
        <v>1.0</v>
      </c>
      <c s="221" r="K20"/>
      <c s="221" r="L20"/>
      <c s="221" r="M20"/>
      <c s="221" r="N20"/>
      <c s="221" r="O20"/>
      <c s="221" r="P20"/>
      <c s="221" r="Q20"/>
      <c s="221" r="R20"/>
      <c s="221" r="S20"/>
      <c s="221" r="T20"/>
      <c s="221" r="U20"/>
      <c s="221" r="V20"/>
      <c s="221" r="W20"/>
      <c s="221" r="X20"/>
      <c s="221" r="Y20"/>
      <c s="221" r="Z20"/>
      <c s="221" r="AA20"/>
      <c s="221" r="AB20"/>
      <c s="221" r="AC20"/>
      <c s="221" r="AD20"/>
      <c s="221" r="AE20"/>
      <c s="221" r="AF20"/>
      <c s="221" r="AG20"/>
      <c s="221" r="AH20"/>
      <c s="221" r="AI20"/>
      <c s="221" r="AJ20"/>
      <c s="221" r="AK20"/>
      <c s="221" r="AL20"/>
      <c s="221" r="AM20"/>
      <c s="221" r="AN20"/>
      <c s="221" r="AO20"/>
      <c s="221" r="AP20"/>
      <c s="221" r="AQ20"/>
      <c s="221" r="AR20"/>
      <c s="221" r="AS20"/>
      <c s="221" r="AT20"/>
    </row>
    <row customHeight="1" r="21" ht="12.75">
      <c t="s" s="228" r="A21">
        <v>546</v>
      </c>
      <c t="s" s="223" r="B21">
        <v>547</v>
      </c>
      <c t="s" s="223" r="C21">
        <v>548</v>
      </c>
      <c t="s" s="217" r="D21">
        <v>549</v>
      </c>
      <c s="224" r="E21">
        <v>1500.0</v>
      </c>
      <c s="225" r="F21">
        <v>1.0</v>
      </c>
      <c t="str" s="226" r="G21">
        <f t="shared" si="3"/>
        <v>€ 1 500,00</v>
      </c>
      <c t="s" s="217" r="H21">
        <v>550</v>
      </c>
      <c t="s" s="220" r="I21">
        <v>551</v>
      </c>
      <c s="229" r="J21">
        <v>1.0</v>
      </c>
      <c s="221" r="K21"/>
      <c s="221" r="L21"/>
      <c s="221" r="M21"/>
      <c s="221" r="N21"/>
      <c s="221" r="O21"/>
      <c s="221" r="P21"/>
      <c s="221" r="Q21"/>
      <c s="221" r="R21"/>
      <c s="221" r="S21"/>
      <c s="221" r="T21"/>
      <c s="221" r="U21"/>
      <c s="221" r="V21"/>
      <c s="221" r="W21"/>
      <c s="221" r="X21"/>
      <c s="221" r="Y21"/>
      <c s="221" r="Z21"/>
      <c s="221" r="AA21"/>
      <c s="221" r="AB21"/>
      <c s="221" r="AC21"/>
      <c s="221" r="AD21"/>
      <c s="221" r="AE21"/>
      <c s="221" r="AF21"/>
      <c s="221" r="AG21"/>
      <c s="221" r="AH21"/>
      <c s="221" r="AI21"/>
      <c s="221" r="AJ21"/>
      <c s="221" r="AK21"/>
      <c s="221" r="AL21"/>
      <c s="221" r="AM21"/>
      <c s="221" r="AN21"/>
      <c s="221" r="AO21"/>
      <c s="221" r="AP21"/>
      <c s="221" r="AQ21"/>
      <c s="221" r="AR21"/>
      <c s="221" r="AS21"/>
      <c s="221" r="AT21"/>
    </row>
    <row customHeight="1" r="22" ht="12.75">
      <c t="s" s="228" r="A22">
        <v>552</v>
      </c>
      <c t="s" s="223" r="B22">
        <v>553</v>
      </c>
      <c t="s" s="223" r="C22">
        <v>554</v>
      </c>
      <c t="s" s="217" r="D22">
        <v>555</v>
      </c>
      <c s="224" r="E22">
        <v>1000.0</v>
      </c>
      <c s="225" r="F22">
        <v>1.0</v>
      </c>
      <c t="str" s="226" r="G22">
        <f t="shared" si="3"/>
        <v>€ 1 000,00</v>
      </c>
      <c t="s" s="217" r="H22">
        <v>556</v>
      </c>
      <c t="s" s="220" r="I22">
        <v>557</v>
      </c>
      <c s="229" r="J22">
        <v>1.0</v>
      </c>
      <c s="221" r="K22"/>
      <c s="221" r="L22"/>
      <c s="221" r="M22"/>
      <c s="221" r="N22"/>
      <c s="221" r="O22"/>
      <c s="221" r="P22"/>
      <c s="221" r="Q22"/>
      <c s="221" r="R22"/>
      <c s="221" r="S22"/>
      <c s="221" r="T22"/>
      <c s="221" r="U22"/>
      <c s="221" r="V22"/>
      <c s="221" r="W22"/>
      <c s="221" r="X22"/>
      <c s="221" r="Y22"/>
      <c s="221" r="Z22"/>
      <c s="221" r="AA22"/>
      <c s="221" r="AB22"/>
      <c s="221" r="AC22"/>
      <c s="221" r="AD22"/>
      <c s="221" r="AE22"/>
      <c s="221" r="AF22"/>
      <c s="221" r="AG22"/>
      <c s="221" r="AH22"/>
      <c s="221" r="AI22"/>
      <c s="221" r="AJ22"/>
      <c s="221" r="AK22"/>
      <c s="221" r="AL22"/>
      <c s="221" r="AM22"/>
      <c s="221" r="AN22"/>
      <c s="221" r="AO22"/>
      <c s="221" r="AP22"/>
      <c s="221" r="AQ22"/>
      <c s="221" r="AR22"/>
      <c s="221" r="AS22"/>
      <c s="221" r="AT22"/>
    </row>
    <row customHeight="1" r="23" ht="12.75">
      <c t="s" s="228" r="A23">
        <v>558</v>
      </c>
      <c t="s" s="223" r="B23">
        <v>559</v>
      </c>
      <c t="s" s="223" r="C23">
        <v>560</v>
      </c>
      <c t="s" s="217" r="D23">
        <v>561</v>
      </c>
      <c s="224" r="E23">
        <v>1500.0</v>
      </c>
      <c s="225" r="F23">
        <v>1.0</v>
      </c>
      <c t="str" s="226" r="G23">
        <f t="shared" si="3"/>
        <v>€ 1 500,00</v>
      </c>
      <c t="s" s="217" r="H23">
        <v>562</v>
      </c>
      <c t="s" s="220" r="I23">
        <v>563</v>
      </c>
      <c s="229" r="J23">
        <v>1.0</v>
      </c>
      <c s="221" r="K23"/>
      <c s="221" r="L23"/>
      <c s="221" r="M23"/>
      <c s="221" r="N23"/>
      <c s="221" r="O23"/>
      <c s="221" r="P23"/>
      <c s="221" r="Q23"/>
      <c s="221" r="R23"/>
      <c s="221" r="S23"/>
      <c s="221" r="T23"/>
      <c s="221" r="U23"/>
      <c s="221" r="V23"/>
      <c s="221" r="W23"/>
      <c s="221" r="X23"/>
      <c s="221" r="Y23"/>
      <c s="221" r="Z23"/>
      <c s="221" r="AA23"/>
      <c s="221" r="AB23"/>
      <c s="221" r="AC23"/>
      <c s="221" r="AD23"/>
      <c s="221" r="AE23"/>
      <c s="221" r="AF23"/>
      <c s="221" r="AG23"/>
      <c s="221" r="AH23"/>
      <c s="221" r="AI23"/>
      <c s="221" r="AJ23"/>
      <c s="221" r="AK23"/>
      <c s="221" r="AL23"/>
      <c s="221" r="AM23"/>
      <c s="221" r="AN23"/>
      <c s="221" r="AO23"/>
      <c s="221" r="AP23"/>
      <c s="221" r="AQ23"/>
      <c s="221" r="AR23"/>
      <c s="221" r="AS23"/>
      <c s="221" r="AT23"/>
    </row>
    <row customHeight="1" r="24" ht="12.75">
      <c t="s" s="228" r="A24">
        <v>564</v>
      </c>
      <c t="s" s="223" r="B24">
        <v>565</v>
      </c>
      <c t="s" s="223" r="C24">
        <v>566</v>
      </c>
      <c t="s" s="217" r="D24">
        <v>567</v>
      </c>
      <c s="224" r="E24">
        <v>300.0</v>
      </c>
      <c s="225" r="F24">
        <v>1.0</v>
      </c>
      <c t="str" s="226" r="G24">
        <f t="shared" si="3"/>
        <v>€ 300,00</v>
      </c>
      <c t="s" s="217" r="H24">
        <v>568</v>
      </c>
      <c t="s" s="225" r="I24">
        <v>569</v>
      </c>
      <c s="221" r="J24"/>
      <c s="221" r="K24"/>
      <c s="221" r="L24"/>
      <c s="221" r="M24"/>
      <c s="221" r="N24"/>
      <c s="221" r="O24"/>
      <c s="221" r="P24"/>
      <c s="221" r="Q24"/>
      <c s="221" r="R24"/>
      <c s="221" r="S24"/>
      <c s="221" r="T24"/>
      <c s="221" r="U24"/>
      <c s="221" r="V24"/>
      <c s="221" r="W24"/>
      <c s="221" r="X24"/>
      <c s="221" r="Y24"/>
      <c s="221" r="Z24"/>
      <c s="221" r="AA24"/>
      <c s="221" r="AB24"/>
      <c s="221" r="AC24"/>
      <c s="221" r="AD24"/>
      <c s="221" r="AE24"/>
      <c s="221" r="AF24"/>
      <c s="221" r="AG24"/>
      <c s="221" r="AH24"/>
      <c s="221" r="AI24"/>
      <c s="221" r="AJ24"/>
      <c s="221" r="AK24"/>
      <c s="221" r="AL24"/>
      <c s="221" r="AM24"/>
      <c s="221" r="AN24"/>
      <c s="221" r="AO24"/>
      <c s="221" r="AP24"/>
      <c s="221" r="AQ24"/>
      <c s="221" r="AR24"/>
      <c s="221" r="AS24"/>
      <c s="221" r="AT24"/>
    </row>
    <row customHeight="1" r="25" ht="12.75">
      <c t="s" s="228" r="A25">
        <v>570</v>
      </c>
      <c t="s" s="223" r="B25">
        <v>571</v>
      </c>
      <c t="s" s="223" r="C25">
        <v>572</v>
      </c>
      <c t="s" s="217" r="D25">
        <v>573</v>
      </c>
      <c s="224" r="E25">
        <v>500.0</v>
      </c>
      <c s="225" r="F25">
        <v>1.0</v>
      </c>
      <c t="str" s="226" r="G25">
        <f t="shared" si="3"/>
        <v>€ 500,00</v>
      </c>
      <c t="s" s="217" r="H25">
        <v>574</v>
      </c>
      <c t="s" s="220" r="I25">
        <v>575</v>
      </c>
      <c s="221" r="J25"/>
      <c s="221" r="K25"/>
      <c s="221" r="L25"/>
      <c s="221" r="M25"/>
      <c s="221" r="N25"/>
      <c s="221" r="O25"/>
      <c s="221" r="P25"/>
      <c s="221" r="Q25"/>
      <c s="221" r="R25"/>
      <c s="221" r="S25"/>
      <c s="221" r="T25"/>
      <c s="221" r="U25"/>
      <c s="221" r="V25"/>
      <c s="221" r="W25"/>
      <c s="221" r="X25"/>
      <c s="221" r="Y25"/>
      <c s="221" r="Z25"/>
      <c s="221" r="AA25"/>
      <c s="221" r="AB25"/>
      <c s="221" r="AC25"/>
      <c s="221" r="AD25"/>
      <c s="221" r="AE25"/>
      <c s="221" r="AF25"/>
      <c s="221" r="AG25"/>
      <c s="221" r="AH25"/>
      <c s="221" r="AI25"/>
      <c s="221" r="AJ25"/>
      <c s="221" r="AK25"/>
      <c s="221" r="AL25"/>
      <c s="221" r="AM25"/>
      <c s="221" r="AN25"/>
      <c s="221" r="AO25"/>
      <c s="221" r="AP25"/>
      <c s="221" r="AQ25"/>
      <c s="221" r="AR25"/>
      <c s="221" r="AS25"/>
      <c s="221" r="AT25"/>
    </row>
    <row customHeight="1" r="26" ht="12.75">
      <c t="s" s="228" r="A26">
        <v>576</v>
      </c>
      <c t="s" s="223" r="B26">
        <v>577</v>
      </c>
      <c t="s" s="223" r="C26">
        <v>578</v>
      </c>
      <c t="s" s="217" r="D26">
        <v>579</v>
      </c>
      <c s="224" r="E26">
        <v>100.0</v>
      </c>
      <c s="225" r="F26">
        <v>1.0</v>
      </c>
      <c t="str" s="226" r="G26">
        <f t="shared" si="3"/>
        <v>€ 100,00</v>
      </c>
      <c t="s" s="217" r="H26">
        <v>580</v>
      </c>
      <c t="s" s="225" r="I26">
        <v>581</v>
      </c>
      <c s="229" r="J26">
        <v>1.0</v>
      </c>
      <c s="221" r="K26"/>
      <c s="221" r="L26"/>
      <c s="221" r="M26"/>
      <c s="221" r="N26"/>
      <c s="221" r="O26"/>
      <c s="221" r="P26"/>
      <c s="221" r="Q26"/>
      <c s="221" r="R26"/>
      <c s="221" r="S26"/>
      <c s="221" r="T26"/>
      <c s="221" r="U26"/>
      <c s="221" r="V26"/>
      <c s="221" r="W26"/>
      <c s="221" r="X26"/>
      <c s="221" r="Y26"/>
      <c s="221" r="Z26"/>
      <c s="221" r="AA26"/>
      <c s="221" r="AB26"/>
      <c s="221" r="AC26"/>
      <c s="221" r="AD26"/>
      <c s="221" r="AE26"/>
      <c s="221" r="AF26"/>
      <c s="221" r="AG26"/>
      <c s="221" r="AH26"/>
      <c s="221" r="AI26"/>
      <c s="221" r="AJ26"/>
      <c s="221" r="AK26"/>
      <c s="221" r="AL26"/>
      <c s="221" r="AM26"/>
      <c s="221" r="AN26"/>
      <c s="221" r="AO26"/>
      <c s="221" r="AP26"/>
      <c s="221" r="AQ26"/>
      <c s="221" r="AR26"/>
      <c s="221" r="AS26"/>
      <c s="221" r="AT26"/>
    </row>
    <row customHeight="1" r="27" ht="12.75">
      <c t="s" s="228" r="A27">
        <v>582</v>
      </c>
      <c t="s" s="217" r="B27">
        <v>583</v>
      </c>
      <c t="s" s="217" r="C27">
        <v>584</v>
      </c>
      <c t="s" s="217" r="D27">
        <v>585</v>
      </c>
      <c s="224" r="E27">
        <v>0.0</v>
      </c>
      <c s="225" r="F27">
        <v>1.0</v>
      </c>
      <c t="str" s="226" r="G27">
        <f t="shared" si="3"/>
        <v>€ 0,00</v>
      </c>
      <c t="s" s="217" r="H27">
        <v>586</v>
      </c>
      <c t="s" s="220" r="I27">
        <v>587</v>
      </c>
      <c s="221" r="J27"/>
      <c s="221" r="K27"/>
      <c s="221" r="L27"/>
      <c s="221" r="M27"/>
      <c s="221" r="N27"/>
      <c s="221" r="O27"/>
      <c s="221" r="P27"/>
      <c s="221" r="Q27"/>
      <c s="221" r="R27"/>
      <c s="221" r="S27"/>
      <c s="221" r="T27"/>
      <c s="221" r="U27"/>
      <c s="221" r="V27"/>
      <c s="221" r="W27"/>
      <c s="221" r="X27"/>
      <c s="221" r="Y27"/>
      <c s="221" r="Z27"/>
      <c s="221" r="AA27"/>
      <c s="221" r="AB27"/>
      <c s="221" r="AC27"/>
      <c s="221" r="AD27"/>
      <c s="221" r="AE27"/>
      <c s="221" r="AF27"/>
      <c s="221" r="AG27"/>
      <c s="221" r="AH27"/>
      <c s="221" r="AI27"/>
      <c s="221" r="AJ27"/>
      <c s="221" r="AK27"/>
      <c s="221" r="AL27"/>
      <c s="221" r="AM27"/>
      <c s="221" r="AN27"/>
      <c s="221" r="AO27"/>
      <c s="221" r="AP27"/>
      <c s="221" r="AQ27"/>
      <c s="221" r="AR27"/>
      <c s="221" r="AS27"/>
      <c s="221" r="AT27"/>
    </row>
    <row customHeight="1" r="28" ht="12.75">
      <c t="s" s="228" r="A28">
        <v>588</v>
      </c>
      <c t="s" s="217" r="B28">
        <v>589</v>
      </c>
      <c t="s" s="223" r="C28">
        <v>590</v>
      </c>
      <c t="s" s="217" r="D28">
        <v>591</v>
      </c>
      <c s="224" r="E28">
        <v>0.0</v>
      </c>
      <c s="225" r="F28">
        <v>1.0</v>
      </c>
      <c t="str" s="226" r="G28">
        <f t="shared" si="3"/>
        <v>€ 0,00</v>
      </c>
      <c t="s" s="217" r="H28">
        <v>592</v>
      </c>
      <c t="s" s="220" r="I28">
        <v>593</v>
      </c>
      <c s="221" r="J28"/>
      <c s="221" r="K28"/>
      <c s="221" r="L28"/>
      <c s="221" r="M28"/>
      <c s="221" r="N28"/>
      <c s="221" r="O28"/>
      <c s="221" r="P28"/>
      <c s="221" r="Q28"/>
      <c s="221" r="R28"/>
      <c s="221" r="S28"/>
      <c s="221" r="T28"/>
      <c s="221" r="U28"/>
      <c s="221" r="V28"/>
      <c s="221" r="W28"/>
      <c s="221" r="X28"/>
      <c s="221" r="Y28"/>
      <c s="221" r="Z28"/>
      <c s="221" r="AA28"/>
      <c s="221" r="AB28"/>
      <c s="221" r="AC28"/>
      <c s="221" r="AD28"/>
      <c s="221" r="AE28"/>
      <c s="221" r="AF28"/>
      <c s="221" r="AG28"/>
      <c s="221" r="AH28"/>
      <c s="221" r="AI28"/>
      <c s="221" r="AJ28"/>
      <c s="221" r="AK28"/>
      <c s="221" r="AL28"/>
      <c s="221" r="AM28"/>
      <c s="221" r="AN28"/>
      <c s="221" r="AO28"/>
      <c s="221" r="AP28"/>
      <c s="221" r="AQ28"/>
      <c s="221" r="AR28"/>
      <c s="221" r="AS28"/>
      <c s="221" r="AT28"/>
    </row>
    <row customHeight="1" r="29" ht="12.75">
      <c t="s" s="228" r="A29">
        <v>594</v>
      </c>
      <c t="s" s="223" r="B29">
        <v>595</v>
      </c>
      <c t="s" s="223" r="C29">
        <v>596</v>
      </c>
      <c t="s" s="217" r="D29">
        <v>597</v>
      </c>
      <c s="224" r="E29">
        <v>0.0</v>
      </c>
      <c s="225" r="F29">
        <v>1.0</v>
      </c>
      <c t="str" s="226" r="G29">
        <f t="shared" si="3"/>
        <v>€ 0,00</v>
      </c>
      <c t="s" s="217" r="H29">
        <v>598</v>
      </c>
      <c t="s" s="220" r="I29">
        <v>599</v>
      </c>
      <c s="221" r="J29"/>
      <c s="221" r="K29"/>
      <c s="221" r="L29"/>
      <c s="221" r="M29"/>
      <c s="221" r="N29"/>
      <c s="221" r="O29"/>
      <c s="221" r="P29"/>
      <c s="221" r="Q29"/>
      <c s="221" r="R29"/>
      <c s="221" r="S29"/>
      <c s="221" r="T29"/>
      <c s="221" r="U29"/>
      <c s="221" r="V29"/>
      <c s="221" r="W29"/>
      <c s="221" r="X29"/>
      <c s="221" r="Y29"/>
      <c s="221" r="Z29"/>
      <c s="221" r="AA29"/>
      <c s="221" r="AB29"/>
      <c s="221" r="AC29"/>
      <c s="221" r="AD29"/>
      <c s="221" r="AE29"/>
      <c s="221" r="AF29"/>
      <c s="221" r="AG29"/>
      <c s="221" r="AH29"/>
      <c s="221" r="AI29"/>
      <c s="221" r="AJ29"/>
      <c s="221" r="AK29"/>
      <c s="221" r="AL29"/>
      <c s="221" r="AM29"/>
      <c s="221" r="AN29"/>
      <c s="221" r="AO29"/>
      <c s="221" r="AP29"/>
      <c s="221" r="AQ29"/>
      <c s="221" r="AR29"/>
      <c s="221" r="AS29"/>
      <c s="221" r="AT29"/>
    </row>
    <row customHeight="1" r="30" ht="12.75">
      <c t="s" s="228" r="A30">
        <v>600</v>
      </c>
      <c t="s" s="223" r="B30">
        <v>601</v>
      </c>
      <c t="s" s="223" r="C30">
        <v>602</v>
      </c>
      <c t="s" s="217" r="D30">
        <v>603</v>
      </c>
      <c s="224" r="E30">
        <v>0.0</v>
      </c>
      <c s="225" r="F30">
        <v>1.0</v>
      </c>
      <c t="str" s="226" r="G30">
        <f t="shared" si="3"/>
        <v>€ 0,00</v>
      </c>
      <c t="s" s="217" r="H30">
        <v>604</v>
      </c>
      <c t="s" s="220" r="I30">
        <v>605</v>
      </c>
      <c s="221" r="J30"/>
      <c s="221" r="K30"/>
      <c s="221" r="L30"/>
      <c s="221" r="M30"/>
      <c s="221" r="N30"/>
      <c s="221" r="O30"/>
      <c s="221" r="P30"/>
      <c s="221" r="Q30"/>
      <c s="221" r="R30"/>
      <c s="221" r="S30"/>
      <c s="221" r="T30"/>
      <c s="221" r="U30"/>
      <c s="221" r="V30"/>
      <c s="221" r="W30"/>
      <c s="221" r="X30"/>
      <c s="221" r="Y30"/>
      <c s="221" r="Z30"/>
      <c s="221" r="AA30"/>
      <c s="221" r="AB30"/>
      <c s="221" r="AC30"/>
      <c s="221" r="AD30"/>
      <c s="221" r="AE30"/>
      <c s="221" r="AF30"/>
      <c s="221" r="AG30"/>
      <c s="221" r="AH30"/>
      <c s="221" r="AI30"/>
      <c s="221" r="AJ30"/>
      <c s="221" r="AK30"/>
      <c s="221" r="AL30"/>
      <c s="221" r="AM30"/>
      <c s="221" r="AN30"/>
      <c s="221" r="AO30"/>
      <c s="221" r="AP30"/>
      <c s="221" r="AQ30"/>
      <c s="221" r="AR30"/>
      <c s="221" r="AS30"/>
      <c s="221" r="AT30"/>
    </row>
    <row customHeight="1" r="31" ht="12.75">
      <c t="s" s="228" r="A31">
        <v>606</v>
      </c>
      <c t="s" s="223" r="B31">
        <v>607</v>
      </c>
      <c t="s" s="223" r="C31">
        <v>608</v>
      </c>
      <c t="s" s="217" r="D31">
        <v>609</v>
      </c>
      <c s="224" r="E31">
        <v>0.0</v>
      </c>
      <c s="225" r="F31">
        <v>0.0</v>
      </c>
      <c t="str" s="226" r="G31">
        <f>E31*F31</f>
        <v>€ 0,00</v>
      </c>
      <c t="s" s="217" r="H31">
        <v>610</v>
      </c>
      <c t="s" s="220" r="I31">
        <v>611</v>
      </c>
      <c s="221" r="J31"/>
      <c s="221" r="K31"/>
      <c s="221" r="L31"/>
      <c s="221" r="M31"/>
      <c s="221" r="N31"/>
      <c s="221" r="O31"/>
      <c s="221" r="P31"/>
      <c s="221" r="Q31"/>
      <c s="221" r="R31"/>
      <c s="221" r="S31"/>
      <c s="221" r="T31"/>
      <c s="221" r="U31"/>
      <c s="221" r="V31"/>
      <c s="221" r="W31"/>
      <c s="221" r="X31"/>
      <c s="221" r="Y31"/>
      <c s="221" r="Z31"/>
      <c s="221" r="AA31"/>
      <c s="221" r="AB31"/>
      <c s="221" r="AC31"/>
      <c s="221" r="AD31"/>
      <c s="221" r="AE31"/>
      <c s="221" r="AF31"/>
      <c s="221" r="AG31"/>
      <c s="221" r="AH31"/>
      <c s="221" r="AI31"/>
      <c s="221" r="AJ31"/>
      <c s="221" r="AK31"/>
      <c s="221" r="AL31"/>
      <c s="221" r="AM31"/>
      <c s="221" r="AN31"/>
      <c s="221" r="AO31"/>
      <c s="221" r="AP31"/>
      <c s="221" r="AQ31"/>
      <c s="221" r="AR31"/>
      <c s="221" r="AS31"/>
      <c s="221" r="AT31"/>
    </row>
    <row customHeight="1" r="32" ht="12.75">
      <c t="s" s="228" r="A32">
        <v>612</v>
      </c>
      <c t="s" s="223" r="B32">
        <v>613</v>
      </c>
      <c t="s" s="223" r="C32">
        <v>614</v>
      </c>
      <c t="s" s="217" r="D32">
        <v>615</v>
      </c>
      <c s="224" r="E32">
        <v>0.0</v>
      </c>
      <c s="225" r="F32">
        <v>1.0</v>
      </c>
      <c t="str" s="226" r="G32">
        <f ref="G32:G33" t="shared" si="4">E32/F32</f>
        <v>€ 0,00</v>
      </c>
      <c t="s" s="217" r="H32">
        <v>616</v>
      </c>
      <c t="s" s="220" r="I32">
        <v>617</v>
      </c>
      <c s="221" r="J32"/>
      <c s="221" r="K32"/>
      <c s="221" r="L32"/>
      <c s="221" r="M32"/>
      <c s="221" r="N32"/>
      <c s="221" r="O32"/>
      <c s="221" r="P32"/>
      <c s="221" r="Q32"/>
      <c s="221" r="R32"/>
      <c s="221" r="S32"/>
      <c s="221" r="T32"/>
      <c s="221" r="U32"/>
      <c s="221" r="V32"/>
      <c s="221" r="W32"/>
      <c s="221" r="X32"/>
      <c s="221" r="Y32"/>
      <c s="221" r="Z32"/>
      <c s="221" r="AA32"/>
      <c s="221" r="AB32"/>
      <c s="221" r="AC32"/>
      <c s="221" r="AD32"/>
      <c s="221" r="AE32"/>
      <c s="221" r="AF32"/>
      <c s="221" r="AG32"/>
      <c s="221" r="AH32"/>
      <c s="221" r="AI32"/>
      <c s="221" r="AJ32"/>
      <c s="221" r="AK32"/>
      <c s="221" r="AL32"/>
      <c s="221" r="AM32"/>
      <c s="221" r="AN32"/>
      <c s="221" r="AO32"/>
      <c s="221" r="AP32"/>
      <c s="221" r="AQ32"/>
      <c s="221" r="AR32"/>
      <c s="221" r="AS32"/>
      <c s="221" r="AT32"/>
    </row>
    <row customHeight="1" r="33" ht="12.75">
      <c t="s" s="228" r="A33">
        <v>618</v>
      </c>
      <c t="s" s="223" r="B33">
        <v>619</v>
      </c>
      <c t="s" s="223" r="C33">
        <v>620</v>
      </c>
      <c t="s" s="217" r="D33">
        <v>621</v>
      </c>
      <c s="224" r="E33">
        <v>0.0</v>
      </c>
      <c s="225" r="F33">
        <v>1.0</v>
      </c>
      <c t="str" s="226" r="G33">
        <f t="shared" si="4"/>
        <v>€ 0,00</v>
      </c>
      <c t="s" s="217" r="H33">
        <v>622</v>
      </c>
      <c t="s" s="220" r="I33">
        <v>623</v>
      </c>
      <c s="221" r="J33"/>
      <c s="221" r="K33"/>
      <c s="221" r="L33"/>
      <c s="221" r="M33"/>
      <c s="221" r="N33"/>
      <c s="221" r="O33"/>
      <c s="221" r="P33"/>
      <c s="221" r="Q33"/>
      <c s="221" r="R33"/>
      <c s="221" r="S33"/>
      <c s="221" r="T33"/>
      <c s="221" r="U33"/>
      <c s="221" r="V33"/>
      <c s="221" r="W33"/>
      <c s="221" r="X33"/>
      <c s="221" r="Y33"/>
      <c s="221" r="Z33"/>
      <c s="221" r="AA33"/>
      <c s="221" r="AB33"/>
      <c s="221" r="AC33"/>
      <c s="221" r="AD33"/>
      <c s="221" r="AE33"/>
      <c s="221" r="AF33"/>
      <c s="221" r="AG33"/>
      <c s="221" r="AH33"/>
      <c s="221" r="AI33"/>
      <c s="221" r="AJ33"/>
      <c s="221" r="AK33"/>
      <c s="221" r="AL33"/>
      <c s="221" r="AM33"/>
      <c s="221" r="AN33"/>
      <c s="221" r="AO33"/>
      <c s="221" r="AP33"/>
      <c s="221" r="AQ33"/>
      <c s="221" r="AR33"/>
      <c s="221" r="AS33"/>
      <c s="221" r="AT33"/>
    </row>
    <row customHeight="1" r="34" ht="12.75">
      <c s="217" r="A34"/>
      <c s="217" r="B34"/>
      <c s="217" r="C34"/>
      <c s="217" r="D34"/>
      <c s="219" r="E34"/>
      <c s="220" r="F34"/>
      <c s="219" r="G34"/>
      <c s="217" r="H34"/>
      <c s="220" r="I34"/>
      <c s="221" r="J34"/>
      <c s="221" r="K34"/>
      <c s="221" r="L34"/>
      <c s="221" r="M34"/>
      <c s="221" r="N34"/>
      <c s="221" r="O34"/>
      <c s="221" r="P34"/>
      <c s="221" r="Q34"/>
      <c s="221" r="R34"/>
      <c s="221" r="S34"/>
      <c s="221" r="T34"/>
      <c s="221" r="U34"/>
      <c s="221" r="V34"/>
      <c s="221" r="W34"/>
      <c s="221" r="X34"/>
      <c s="221" r="Y34"/>
      <c s="221" r="Z34"/>
      <c s="221" r="AA34"/>
      <c s="221" r="AB34"/>
      <c s="221" r="AC34"/>
      <c s="221" r="AD34"/>
      <c s="221" r="AE34"/>
      <c s="221" r="AF34"/>
      <c s="221" r="AG34"/>
      <c s="221" r="AH34"/>
      <c s="221" r="AI34"/>
      <c s="221" r="AJ34"/>
      <c s="221" r="AK34"/>
      <c s="221" r="AL34"/>
      <c s="221" r="AM34"/>
      <c s="221" r="AN34"/>
      <c s="221" r="AO34"/>
      <c s="221" r="AP34"/>
      <c s="221" r="AQ34"/>
      <c s="221" r="AR34"/>
      <c s="221" r="AS34"/>
      <c s="221" r="AT34"/>
    </row>
    <row customHeight="1" r="35" ht="12.75">
      <c s="217" r="A35"/>
      <c s="217" r="B35"/>
      <c s="217" r="C35"/>
      <c s="217" r="D35"/>
      <c s="219" r="E35"/>
      <c s="220" r="F35"/>
      <c s="219" r="G35"/>
      <c s="217" r="H35"/>
      <c s="220" r="I35"/>
      <c s="221" r="J35"/>
      <c s="221" r="K35"/>
      <c s="221" r="L35"/>
      <c s="221" r="M35"/>
      <c s="221" r="N35"/>
      <c s="221" r="O35"/>
      <c s="221" r="P35"/>
      <c s="221" r="Q35"/>
      <c s="221" r="R35"/>
      <c s="221" r="S35"/>
      <c s="221" r="T35"/>
      <c s="221" r="U35"/>
      <c s="221" r="V35"/>
      <c s="221" r="W35"/>
      <c s="221" r="X35"/>
      <c s="221" r="Y35"/>
      <c s="221" r="Z35"/>
      <c s="221" r="AA35"/>
      <c s="221" r="AB35"/>
      <c s="221" r="AC35"/>
      <c s="221" r="AD35"/>
      <c s="221" r="AE35"/>
      <c s="221" r="AF35"/>
      <c s="221" r="AG35"/>
      <c s="221" r="AH35"/>
      <c s="221" r="AI35"/>
      <c s="221" r="AJ35"/>
      <c s="221" r="AK35"/>
      <c s="221" r="AL35"/>
      <c s="221" r="AM35"/>
      <c s="221" r="AN35"/>
      <c s="221" r="AO35"/>
      <c s="221" r="AP35"/>
      <c s="221" r="AQ35"/>
      <c s="221" r="AR35"/>
      <c s="221" r="AS35"/>
      <c s="221" r="AT35"/>
    </row>
    <row customHeight="1" r="36" ht="12.75">
      <c t="s" s="217" r="A36">
        <v>624</v>
      </c>
      <c s="217" r="B36"/>
      <c s="217" r="C36"/>
      <c s="217" r="D36"/>
      <c t="str" s="232" r="E36">
        <f>SUM(E2:E33)</f>
        <v>  34 800 € </v>
      </c>
      <c s="220" r="F36"/>
      <c s="219" r="G36"/>
      <c s="217" r="H36"/>
      <c s="220" r="I36"/>
      <c s="221" r="J36"/>
      <c s="221" r="K36"/>
      <c s="221" r="L36"/>
      <c s="221" r="M36"/>
      <c s="221" r="N36"/>
      <c s="221" r="O36"/>
      <c s="221" r="P36"/>
      <c s="221" r="Q36"/>
      <c s="221" r="R36"/>
      <c s="221" r="S36"/>
      <c s="221" r="T36"/>
      <c s="221" r="U36"/>
      <c s="221" r="V36"/>
      <c s="221" r="W36"/>
      <c s="221" r="X36"/>
      <c s="221" r="Y36"/>
      <c s="221" r="Z36"/>
      <c s="221" r="AA36"/>
      <c s="221" r="AB36"/>
      <c s="221" r="AC36"/>
      <c s="221" r="AD36"/>
      <c s="221" r="AE36"/>
      <c s="221" r="AF36"/>
      <c s="221" r="AG36"/>
      <c s="221" r="AH36"/>
      <c s="221" r="AI36"/>
      <c s="221" r="AJ36"/>
      <c s="221" r="AK36"/>
      <c s="221" r="AL36"/>
      <c s="221" r="AM36"/>
      <c s="221" r="AN36"/>
      <c s="221" r="AO36"/>
      <c s="221" r="AP36"/>
      <c s="221" r="AQ36"/>
      <c s="221" r="AR36"/>
      <c s="221" r="AS36"/>
      <c s="221" r="AT36"/>
    </row>
    <row customHeight="1" r="37" ht="12.75">
      <c t="s" s="217" r="A37">
        <v>625</v>
      </c>
      <c s="217" r="B37"/>
      <c s="217" r="C37"/>
      <c s="217" r="D37"/>
      <c t="str" s="232" r="E37">
        <f>E36*0.3</f>
        <v>  10 440 € </v>
      </c>
      <c s="220" r="F37"/>
      <c s="219" r="G37"/>
      <c s="217" r="H37"/>
      <c s="220" r="I37"/>
      <c s="221" r="J37"/>
      <c s="221" r="K37"/>
      <c s="221" r="L37"/>
      <c s="221" r="M37"/>
      <c s="221" r="N37"/>
      <c s="221" r="O37"/>
      <c s="221" r="P37"/>
      <c s="221" r="Q37"/>
      <c s="221" r="R37"/>
      <c s="221" r="S37"/>
      <c s="221" r="T37"/>
      <c s="221" r="U37"/>
      <c s="221" r="V37"/>
      <c s="221" r="W37"/>
      <c s="221" r="X37"/>
      <c s="221" r="Y37"/>
      <c s="221" r="Z37"/>
      <c s="221" r="AA37"/>
      <c s="221" r="AB37"/>
      <c s="221" r="AC37"/>
      <c s="221" r="AD37"/>
      <c s="221" r="AE37"/>
      <c s="221" r="AF37"/>
      <c s="221" r="AG37"/>
      <c s="221" r="AH37"/>
      <c s="221" r="AI37"/>
      <c s="221" r="AJ37"/>
      <c s="221" r="AK37"/>
      <c s="221" r="AL37"/>
      <c s="221" r="AM37"/>
      <c s="221" r="AN37"/>
      <c s="221" r="AO37"/>
      <c s="221" r="AP37"/>
      <c s="221" r="AQ37"/>
      <c s="221" r="AR37"/>
      <c s="221" r="AS37"/>
      <c s="221" r="AT37"/>
    </row>
    <row customHeight="1" r="38" ht="12.75">
      <c t="s" s="217" r="A38">
        <v>626</v>
      </c>
      <c s="217" r="B38"/>
      <c s="217" r="C38"/>
      <c s="217" r="D38"/>
      <c t="str" s="232" r="E38">
        <f>SUM(E36:E37)</f>
        <v>  45 240 € </v>
      </c>
      <c s="220" r="F38"/>
      <c s="219" r="G38"/>
      <c s="217" r="H38"/>
      <c s="220" r="I38"/>
      <c s="221" r="J38"/>
      <c s="221" r="K38"/>
      <c s="221" r="L38"/>
      <c s="221" r="M38"/>
      <c s="221" r="N38"/>
      <c s="221" r="O38"/>
      <c s="221" r="P38"/>
      <c s="221" r="Q38"/>
      <c s="221" r="R38"/>
      <c s="221" r="S38"/>
      <c s="221" r="T38"/>
      <c s="221" r="U38"/>
      <c s="221" r="V38"/>
      <c s="221" r="W38"/>
      <c s="221" r="X38"/>
      <c s="221" r="Y38"/>
      <c s="221" r="Z38"/>
      <c s="221" r="AA38"/>
      <c s="221" r="AB38"/>
      <c s="221" r="AC38"/>
      <c s="221" r="AD38"/>
      <c s="221" r="AE38"/>
      <c s="221" r="AF38"/>
      <c s="221" r="AG38"/>
      <c s="221" r="AH38"/>
      <c s="221" r="AI38"/>
      <c s="221" r="AJ38"/>
      <c s="221" r="AK38"/>
      <c s="221" r="AL38"/>
      <c s="221" r="AM38"/>
      <c s="221" r="AN38"/>
      <c s="221" r="AO38"/>
      <c s="221" r="AP38"/>
      <c s="221" r="AQ38"/>
      <c s="221" r="AR38"/>
      <c s="221" r="AS38"/>
      <c s="221" r="AT38"/>
    </row>
    <row customHeight="1" r="39" ht="12.75">
      <c t="s" s="233" r="A39">
        <v>627</v>
      </c>
      <c s="233" r="B39"/>
      <c s="233" r="C39"/>
      <c s="233" r="D39"/>
      <c t="str" s="234" r="E39">
        <f>E38*(1+'Hypothèses'!I3)</f>
        <v>  54 288 € </v>
      </c>
      <c s="235" r="F39"/>
      <c s="236" r="G39"/>
      <c s="233" r="H39"/>
      <c s="235" r="I39"/>
      <c s="237" r="J39"/>
      <c s="237" r="K39"/>
      <c s="237" r="L39"/>
      <c s="237" r="M39"/>
      <c s="237" r="N39"/>
      <c s="237" r="O39"/>
      <c s="237" r="P39"/>
      <c s="237" r="Q39"/>
      <c s="237" r="R39"/>
      <c s="237" r="S39"/>
      <c s="237" r="T39"/>
      <c s="237" r="U39"/>
      <c s="237" r="V39"/>
      <c s="237" r="W39"/>
      <c s="237" r="X39"/>
      <c s="237" r="Y39"/>
      <c s="237" r="Z39"/>
      <c s="237" r="AA39"/>
      <c s="237" r="AB39"/>
      <c s="237" r="AC39"/>
      <c s="237" r="AD39"/>
      <c s="237" r="AE39"/>
      <c s="237" r="AF39"/>
      <c s="237" r="AG39"/>
      <c s="237" r="AH39"/>
      <c s="237" r="AI39"/>
      <c s="237" r="AJ39"/>
      <c s="237" r="AK39"/>
      <c s="237" r="AL39"/>
      <c s="237" r="AM39"/>
      <c s="237" r="AN39"/>
      <c s="237" r="AO39"/>
      <c s="237" r="AP39"/>
      <c s="237" r="AQ39"/>
      <c s="237" r="AR39"/>
      <c s="237" r="AS39"/>
      <c s="237" r="AT39"/>
    </row>
    <row customHeight="1" r="40" ht="12.75">
      <c s="217" r="A40"/>
      <c s="217" r="B40"/>
      <c s="217" r="C40"/>
      <c s="217" r="D40"/>
      <c s="219" r="E40"/>
      <c s="220" r="F40"/>
      <c s="219" r="G40"/>
      <c s="217" r="H40"/>
      <c s="220" r="I40"/>
      <c s="221" r="J40"/>
      <c s="221" r="K40"/>
      <c s="221" r="L40"/>
      <c s="221" r="M40"/>
      <c s="221" r="N40"/>
      <c s="221" r="O40"/>
      <c s="221" r="P40"/>
      <c s="221" r="Q40"/>
      <c s="221" r="R40"/>
      <c s="221" r="S40"/>
      <c s="221" r="T40"/>
      <c s="221" r="U40"/>
      <c s="221" r="V40"/>
      <c s="221" r="W40"/>
      <c s="221" r="X40"/>
      <c s="221" r="Y40"/>
      <c s="221" r="Z40"/>
      <c s="221" r="AA40"/>
      <c s="221" r="AB40"/>
      <c s="221" r="AC40"/>
      <c s="221" r="AD40"/>
      <c s="221" r="AE40"/>
      <c s="221" r="AF40"/>
      <c s="221" r="AG40"/>
      <c s="221" r="AH40"/>
      <c s="221" r="AI40"/>
      <c s="221" r="AJ40"/>
      <c s="221" r="AK40"/>
      <c s="221" r="AL40"/>
      <c s="221" r="AM40"/>
      <c s="221" r="AN40"/>
      <c s="221" r="AO40"/>
      <c s="221" r="AP40"/>
      <c s="221" r="AQ40"/>
      <c s="221" r="AR40"/>
      <c s="221" r="AS40"/>
      <c s="221" r="AT40"/>
    </row>
    <row customHeight="1" r="41" ht="12.75">
      <c s="217" r="A41"/>
      <c s="217" r="B41"/>
      <c s="217" r="C41"/>
      <c s="217" r="D41"/>
      <c s="219" r="E41"/>
      <c s="220" r="F41"/>
      <c s="219" r="G41"/>
      <c s="217" r="H41"/>
      <c s="220" r="I41"/>
      <c s="221" r="J41"/>
      <c s="221" r="K41"/>
      <c s="221" r="L41"/>
      <c s="221" r="M41"/>
      <c s="221" r="N41"/>
      <c s="221" r="O41"/>
      <c s="221" r="P41"/>
      <c s="221" r="Q41"/>
      <c s="221" r="R41"/>
      <c s="221" r="S41"/>
      <c s="221" r="T41"/>
      <c s="221" r="U41"/>
      <c s="221" r="V41"/>
      <c s="221" r="W41"/>
      <c s="221" r="X41"/>
      <c s="221" r="Y41"/>
      <c s="221" r="Z41"/>
      <c s="221" r="AA41"/>
      <c s="221" r="AB41"/>
      <c s="221" r="AC41"/>
      <c s="221" r="AD41"/>
      <c s="221" r="AE41"/>
      <c s="221" r="AF41"/>
      <c s="221" r="AG41"/>
      <c s="221" r="AH41"/>
      <c s="221" r="AI41"/>
      <c s="221" r="AJ41"/>
      <c s="221" r="AK41"/>
      <c s="221" r="AL41"/>
      <c s="221" r="AM41"/>
      <c s="221" r="AN41"/>
      <c s="221" r="AO41"/>
      <c s="221" r="AP41"/>
      <c s="221" r="AQ41"/>
      <c s="221" r="AR41"/>
      <c s="221" r="AS41"/>
      <c s="221" r="AT41"/>
    </row>
    <row customHeight="1" r="42" ht="12.75">
      <c s="18" r="A42"/>
      <c s="217" r="B42"/>
      <c t="s" s="238" r="C42">
        <v>628</v>
      </c>
      <c s="217" r="D42"/>
      <c s="219" r="E42"/>
      <c s="220" r="F42"/>
      <c s="219" r="G42"/>
      <c s="217" r="H42"/>
      <c s="220" r="I42"/>
      <c s="221" r="J42"/>
      <c s="221" r="K42"/>
      <c s="221" r="L42"/>
      <c s="221" r="M42"/>
      <c s="221" r="N42"/>
      <c s="221" r="O42"/>
      <c s="221" r="P42"/>
      <c s="221" r="Q42"/>
      <c s="221" r="R42"/>
      <c s="221" r="S42"/>
      <c s="221" r="T42"/>
      <c s="221" r="U42"/>
      <c s="221" r="V42"/>
      <c s="221" r="W42"/>
      <c s="221" r="X42"/>
      <c s="221" r="Y42"/>
      <c s="221" r="Z42"/>
      <c s="221" r="AA42"/>
      <c s="221" r="AB42"/>
      <c s="221" r="AC42"/>
      <c s="221" r="AD42"/>
      <c s="221" r="AE42"/>
      <c s="221" r="AF42"/>
      <c s="221" r="AG42"/>
      <c s="221" r="AH42"/>
      <c s="221" r="AI42"/>
      <c s="221" r="AJ42"/>
      <c s="221" r="AK42"/>
      <c s="221" r="AL42"/>
      <c s="221" r="AM42"/>
      <c s="221" r="AN42"/>
      <c s="221" r="AO42"/>
      <c s="221" r="AP42"/>
      <c s="221" r="AQ42"/>
      <c s="221" r="AR42"/>
      <c s="221" r="AS42"/>
      <c s="221" r="AT42"/>
    </row>
    <row customHeight="1" r="43" ht="12.75">
      <c t="s" s="218" r="A43">
        <v>629</v>
      </c>
      <c s="217" r="B43"/>
      <c s="217" r="C43"/>
      <c t="str" s="232" r="D43">
        <f>sumif($A$2:$A$33,"A. Construction",$E$2:$E$33)</f>
        <v>  16 000 € </v>
      </c>
      <c s="232" r="E43"/>
      <c s="220" r="F43"/>
      <c s="219" r="G43"/>
      <c s="217" r="H43"/>
      <c s="220" r="I43"/>
      <c s="221" r="J43"/>
      <c s="221" r="K43"/>
      <c s="221" r="L43"/>
      <c s="221" r="M43"/>
      <c s="221" r="N43"/>
      <c s="221" r="O43"/>
      <c s="221" r="P43"/>
      <c s="221" r="Q43"/>
      <c s="221" r="R43"/>
      <c s="221" r="S43"/>
      <c s="221" r="T43"/>
      <c s="221" r="U43"/>
      <c s="221" r="V43"/>
      <c s="221" r="W43"/>
      <c s="221" r="X43"/>
      <c s="221" r="Y43"/>
      <c s="221" r="Z43"/>
      <c s="221" r="AA43"/>
      <c s="221" r="AB43"/>
      <c s="221" r="AC43"/>
      <c s="221" r="AD43"/>
      <c s="221" r="AE43"/>
      <c s="221" r="AF43"/>
      <c s="221" r="AG43"/>
      <c s="221" r="AH43"/>
      <c s="221" r="AI43"/>
      <c s="221" r="AJ43"/>
      <c s="221" r="AK43"/>
      <c s="221" r="AL43"/>
      <c s="221" r="AM43"/>
      <c s="221" r="AN43"/>
      <c s="221" r="AO43"/>
      <c s="221" r="AP43"/>
      <c s="221" r="AQ43"/>
      <c s="221" r="AR43"/>
      <c s="221" r="AS43"/>
      <c s="221" r="AT43"/>
    </row>
    <row customHeight="1" r="44" ht="12.75">
      <c t="s" s="218" r="A44">
        <v>630</v>
      </c>
      <c s="217" r="B44"/>
      <c s="18" r="C44"/>
      <c t="str" s="232" r="D44">
        <f>sumif($A$2:$A$33,"B. Equipements de base",$E$2:$E$33)</f>
        <v>  4 100 € </v>
      </c>
      <c s="232" r="E44"/>
      <c s="220" r="F44"/>
      <c s="219" r="G44"/>
      <c s="217" r="H44"/>
      <c s="220" r="I44"/>
      <c s="221" r="J44"/>
      <c s="221" r="K44"/>
      <c s="221" r="L44"/>
      <c s="221" r="M44"/>
      <c s="221" r="N44"/>
      <c s="221" r="O44"/>
      <c s="221" r="P44"/>
      <c s="221" r="Q44"/>
      <c s="221" r="R44"/>
      <c s="221" r="S44"/>
      <c s="221" r="T44"/>
      <c s="221" r="U44"/>
      <c s="221" r="V44"/>
      <c s="221" r="W44"/>
      <c s="221" r="X44"/>
      <c s="221" r="Y44"/>
      <c s="221" r="Z44"/>
      <c s="221" r="AA44"/>
      <c s="221" r="AB44"/>
      <c s="221" r="AC44"/>
      <c s="221" r="AD44"/>
      <c s="221" r="AE44"/>
      <c s="221" r="AF44"/>
      <c s="221" r="AG44"/>
      <c s="221" r="AH44"/>
      <c s="221" r="AI44"/>
      <c s="221" r="AJ44"/>
      <c s="221" r="AK44"/>
      <c s="221" r="AL44"/>
      <c s="221" r="AM44"/>
      <c s="221" r="AN44"/>
      <c s="221" r="AO44"/>
      <c s="221" r="AP44"/>
      <c s="221" r="AQ44"/>
      <c s="221" r="AR44"/>
      <c s="221" r="AS44"/>
      <c s="221" r="AT44"/>
    </row>
    <row customHeight="1" r="45" ht="12.75">
      <c t="s" s="218" r="A45">
        <v>631</v>
      </c>
      <c s="217" r="B45"/>
      <c s="18" r="C45"/>
      <c t="str" s="232" r="D45">
        <f>sumif($A$2:$A$33,"C. Livraison &amp; Raccordement",$E$2:$E$33)</f>
        <v>  6 050 € </v>
      </c>
      <c s="232" r="E45"/>
      <c s="220" r="F45"/>
      <c s="219" r="G45"/>
      <c s="217" r="H45"/>
      <c s="220" r="I45"/>
      <c s="221" r="J45"/>
      <c s="221" r="K45"/>
      <c s="221" r="L45"/>
      <c s="221" r="M45"/>
      <c s="221" r="N45"/>
      <c s="221" r="O45"/>
      <c s="221" r="P45"/>
      <c s="221" r="Q45"/>
      <c s="221" r="R45"/>
      <c s="221" r="S45"/>
      <c s="221" r="T45"/>
      <c s="221" r="U45"/>
      <c s="221" r="V45"/>
      <c s="221" r="W45"/>
      <c s="221" r="X45"/>
      <c s="221" r="Y45"/>
      <c s="221" r="Z45"/>
      <c s="221" r="AA45"/>
      <c s="221" r="AB45"/>
      <c s="221" r="AC45"/>
      <c s="221" r="AD45"/>
      <c s="221" r="AE45"/>
      <c s="221" r="AF45"/>
      <c s="221" r="AG45"/>
      <c s="221" r="AH45"/>
      <c s="221" r="AI45"/>
      <c s="221" r="AJ45"/>
      <c s="221" r="AK45"/>
      <c s="221" r="AL45"/>
      <c s="221" r="AM45"/>
      <c s="221" r="AN45"/>
      <c s="221" r="AO45"/>
      <c s="221" r="AP45"/>
      <c s="221" r="AQ45"/>
      <c s="221" r="AR45"/>
      <c s="221" r="AS45"/>
      <c s="221" r="AT45"/>
    </row>
    <row customHeight="1" r="46" ht="12.75">
      <c s="18" r="A46"/>
      <c s="18" r="B46"/>
      <c s="18" r="C46"/>
      <c s="219" r="D46"/>
      <c s="219" r="E46"/>
      <c s="220" r="F46"/>
      <c s="219" r="G46"/>
      <c s="217" r="H46"/>
      <c s="220" r="I46"/>
      <c s="221" r="J46"/>
      <c s="221" r="K46"/>
      <c s="221" r="L46"/>
      <c s="221" r="M46"/>
      <c s="221" r="N46"/>
      <c s="221" r="O46"/>
      <c s="221" r="P46"/>
      <c s="221" r="Q46"/>
      <c s="221" r="R46"/>
      <c s="221" r="S46"/>
      <c s="221" r="T46"/>
      <c s="221" r="U46"/>
      <c s="221" r="V46"/>
      <c s="221" r="W46"/>
      <c s="221" r="X46"/>
      <c s="221" r="Y46"/>
      <c s="221" r="Z46"/>
      <c s="221" r="AA46"/>
      <c s="221" r="AB46"/>
      <c s="221" r="AC46"/>
      <c s="221" r="AD46"/>
      <c s="221" r="AE46"/>
      <c s="221" r="AF46"/>
      <c s="221" r="AG46"/>
      <c s="221" r="AH46"/>
      <c s="221" r="AI46"/>
      <c s="221" r="AJ46"/>
      <c s="221" r="AK46"/>
      <c s="221" r="AL46"/>
      <c s="221" r="AM46"/>
      <c s="221" r="AN46"/>
      <c s="221" r="AO46"/>
      <c s="221" r="AP46"/>
      <c s="221" r="AQ46"/>
      <c s="221" r="AR46"/>
      <c s="221" r="AS46"/>
      <c s="221" r="AT46"/>
    </row>
    <row customHeight="1" r="47" ht="12.75">
      <c s="18" r="A47"/>
      <c s="217" r="B47"/>
      <c t="s" s="238" r="C47">
        <v>632</v>
      </c>
      <c s="219" r="D47"/>
      <c s="219" r="E47"/>
      <c s="220" r="F47"/>
      <c s="219" r="G47"/>
      <c s="217" r="H47"/>
      <c s="220" r="I47"/>
      <c s="221" r="J47"/>
      <c s="221" r="K47"/>
      <c s="221" r="L47"/>
      <c s="221" r="M47"/>
      <c s="221" r="N47"/>
      <c s="221" r="O47"/>
      <c s="221" r="P47"/>
      <c s="221" r="Q47"/>
      <c s="221" r="R47"/>
      <c s="221" r="S47"/>
      <c s="221" r="T47"/>
      <c s="221" r="U47"/>
      <c s="221" r="V47"/>
      <c s="221" r="W47"/>
      <c s="221" r="X47"/>
      <c s="221" r="Y47"/>
      <c s="221" r="Z47"/>
      <c s="221" r="AA47"/>
      <c s="221" r="AB47"/>
      <c s="221" r="AC47"/>
      <c s="221" r="AD47"/>
      <c s="221" r="AE47"/>
      <c s="221" r="AF47"/>
      <c s="221" r="AG47"/>
      <c s="221" r="AH47"/>
      <c s="221" r="AI47"/>
      <c s="221" r="AJ47"/>
      <c s="221" r="AK47"/>
      <c s="221" r="AL47"/>
      <c s="221" r="AM47"/>
      <c s="221" r="AN47"/>
      <c s="221" r="AO47"/>
      <c s="221" r="AP47"/>
      <c s="221" r="AQ47"/>
      <c s="221" r="AR47"/>
      <c s="221" r="AS47"/>
      <c s="221" r="AT47"/>
    </row>
    <row customHeight="1" r="48" ht="12.75">
      <c t="s" s="218" r="A48">
        <v>633</v>
      </c>
      <c s="217" r="B48"/>
      <c s="18" r="C48"/>
      <c t="str" s="232" r="D48">
        <f>sumif($A$2:$A$33,"D. Options d'installation payantes",$E$2:$E$33)</f>
        <v>  3 250 € </v>
      </c>
      <c s="232" r="E48"/>
      <c s="220" r="F48"/>
      <c s="219" r="G48"/>
      <c s="217" r="H48"/>
      <c s="220" r="I48"/>
      <c s="221" r="J48"/>
      <c s="221" r="K48"/>
      <c s="221" r="L48"/>
      <c s="221" r="M48"/>
      <c s="221" r="N48"/>
      <c s="221" r="O48"/>
      <c s="221" r="P48"/>
      <c s="221" r="Q48"/>
      <c s="221" r="R48"/>
      <c s="221" r="S48"/>
      <c s="221" r="T48"/>
      <c s="221" r="U48"/>
      <c s="221" r="V48"/>
      <c s="221" r="W48"/>
      <c s="221" r="X48"/>
      <c s="221" r="Y48"/>
      <c s="221" r="Z48"/>
      <c s="221" r="AA48"/>
      <c s="221" r="AB48"/>
      <c s="221" r="AC48"/>
      <c s="221" r="AD48"/>
      <c s="221" r="AE48"/>
      <c s="221" r="AF48"/>
      <c s="221" r="AG48"/>
      <c s="221" r="AH48"/>
      <c s="221" r="AI48"/>
      <c s="221" r="AJ48"/>
      <c s="221" r="AK48"/>
      <c s="221" r="AL48"/>
      <c s="221" r="AM48"/>
      <c s="221" r="AN48"/>
      <c s="221" r="AO48"/>
      <c s="221" r="AP48"/>
      <c s="221" r="AQ48"/>
      <c s="221" r="AR48"/>
      <c s="221" r="AS48"/>
      <c s="221" r="AT48"/>
    </row>
    <row customHeight="1" r="49" ht="12.75">
      <c t="s" s="218" r="A49">
        <v>634</v>
      </c>
      <c s="217" r="B49"/>
      <c s="217" r="C49"/>
      <c t="str" s="232" r="D49">
        <f>sumif($A$2:$A$33,"E. Kit Meublé",$E$2:$E$33)</f>
        <v>  5 400 € </v>
      </c>
      <c s="232" r="E49"/>
      <c s="220" r="F49"/>
      <c s="219" r="G49"/>
      <c s="217" r="H49"/>
      <c s="220" r="I49"/>
      <c s="221" r="J49"/>
      <c s="221" r="K49"/>
      <c s="221" r="L49"/>
      <c s="221" r="M49"/>
      <c s="221" r="N49"/>
      <c s="221" r="O49"/>
      <c s="221" r="P49"/>
      <c s="221" r="Q49"/>
      <c s="221" r="R49"/>
      <c s="221" r="S49"/>
      <c s="221" r="T49"/>
      <c s="221" r="U49"/>
      <c s="221" r="V49"/>
      <c s="221" r="W49"/>
      <c s="221" r="X49"/>
      <c s="221" r="Y49"/>
      <c s="221" r="Z49"/>
      <c s="221" r="AA49"/>
      <c s="221" r="AB49"/>
      <c s="221" r="AC49"/>
      <c s="221" r="AD49"/>
      <c s="221" r="AE49"/>
      <c s="221" r="AF49"/>
      <c s="221" r="AG49"/>
      <c s="221" r="AH49"/>
      <c s="221" r="AI49"/>
      <c s="221" r="AJ49"/>
      <c s="221" r="AK49"/>
      <c s="221" r="AL49"/>
      <c s="221" r="AM49"/>
      <c s="221" r="AN49"/>
      <c s="221" r="AO49"/>
      <c s="221" r="AP49"/>
      <c s="221" r="AQ49"/>
      <c s="221" r="AR49"/>
      <c s="221" r="AS49"/>
      <c s="221" r="AT49"/>
    </row>
    <row customHeight="1" r="50" ht="12.75">
      <c t="s" s="218" r="A50">
        <v>635</v>
      </c>
      <c s="217" r="B50"/>
      <c s="217" r="C50"/>
      <c s="217" r="D50"/>
      <c s="219" r="E50"/>
      <c s="220" r="F50"/>
      <c s="219" r="G50"/>
      <c s="217" r="H50"/>
      <c s="220" r="I50"/>
      <c s="221" r="J50"/>
      <c s="221" r="K50"/>
      <c s="221" r="L50"/>
      <c s="221" r="M50"/>
      <c s="221" r="N50"/>
      <c s="221" r="O50"/>
      <c s="221" r="P50"/>
      <c s="221" r="Q50"/>
      <c s="221" r="R50"/>
      <c s="221" r="S50"/>
      <c s="221" r="T50"/>
      <c s="221" r="U50"/>
      <c s="221" r="V50"/>
      <c s="221" r="W50"/>
      <c s="221" r="X50"/>
      <c s="221" r="Y50"/>
      <c s="221" r="Z50"/>
      <c s="221" r="AA50"/>
      <c s="221" r="AB50"/>
      <c s="221" r="AC50"/>
      <c s="221" r="AD50"/>
      <c s="221" r="AE50"/>
      <c s="221" r="AF50"/>
      <c s="221" r="AG50"/>
      <c s="221" r="AH50"/>
      <c s="221" r="AI50"/>
      <c s="221" r="AJ50"/>
      <c s="221" r="AK50"/>
      <c s="221" r="AL50"/>
      <c s="221" r="AM50"/>
      <c s="221" r="AN50"/>
      <c s="221" r="AO50"/>
      <c s="221" r="AP50"/>
      <c s="221" r="AQ50"/>
      <c s="221" r="AR50"/>
      <c s="221" r="AS50"/>
      <c s="221" r="AT50"/>
    </row>
    <row customHeight="1" r="51" ht="12.75">
      <c s="217" r="A51"/>
      <c s="217" r="B51"/>
      <c s="217" r="C51"/>
      <c s="217" r="D51"/>
      <c s="219" r="E51"/>
      <c s="220" r="F51"/>
      <c s="219" r="G51"/>
      <c s="217" r="H51"/>
      <c s="220" r="I51"/>
      <c s="221" r="J51"/>
      <c s="221" r="K51"/>
      <c s="221" r="L51"/>
      <c s="221" r="M51"/>
      <c s="221" r="N51"/>
      <c s="221" r="O51"/>
      <c s="221" r="P51"/>
      <c s="221" r="Q51"/>
      <c s="221" r="R51"/>
      <c s="221" r="S51"/>
      <c s="221" r="T51"/>
      <c s="221" r="U51"/>
      <c s="221" r="V51"/>
      <c s="221" r="W51"/>
      <c s="221" r="X51"/>
      <c s="221" r="Y51"/>
      <c s="221" r="Z51"/>
      <c s="221" r="AA51"/>
      <c s="221" r="AB51"/>
      <c s="221" r="AC51"/>
      <c s="221" r="AD51"/>
      <c s="221" r="AE51"/>
      <c s="221" r="AF51"/>
      <c s="221" r="AG51"/>
      <c s="221" r="AH51"/>
      <c s="221" r="AI51"/>
      <c s="221" r="AJ51"/>
      <c s="221" r="AK51"/>
      <c s="221" r="AL51"/>
      <c s="221" r="AM51"/>
      <c s="221" r="AN51"/>
      <c s="221" r="AO51"/>
      <c s="221" r="AP51"/>
      <c s="221" r="AQ51"/>
      <c s="221" r="AR51"/>
      <c s="221" r="AS51"/>
      <c s="221" r="AT51"/>
    </row>
    <row customHeight="1" r="52" ht="12.75">
      <c s="217" r="A52"/>
      <c s="217" r="B52"/>
      <c t="s" s="217" r="C52">
        <v>636</v>
      </c>
      <c t="str" s="239" r="D52">
        <f>SUM(D43:D49)</f>
        <v>€ 34 800,00</v>
      </c>
      <c s="219" r="E52"/>
      <c s="220" r="F52"/>
      <c s="219" r="G52"/>
      <c s="217" r="H52"/>
      <c s="220" r="I52"/>
      <c s="221" r="J52"/>
      <c s="221" r="K52"/>
      <c s="221" r="L52"/>
      <c s="221" r="M52"/>
      <c s="221" r="N52"/>
      <c s="221" r="O52"/>
      <c s="221" r="P52"/>
      <c s="221" r="Q52"/>
      <c s="221" r="R52"/>
      <c s="221" r="S52"/>
      <c s="221" r="T52"/>
      <c s="221" r="U52"/>
      <c s="221" r="V52"/>
      <c s="221" r="W52"/>
      <c s="221" r="X52"/>
      <c s="221" r="Y52"/>
      <c s="221" r="Z52"/>
      <c s="221" r="AA52"/>
      <c s="221" r="AB52"/>
      <c s="221" r="AC52"/>
      <c s="221" r="AD52"/>
      <c s="221" r="AE52"/>
      <c s="221" r="AF52"/>
      <c s="221" r="AG52"/>
      <c s="221" r="AH52"/>
      <c s="221" r="AI52"/>
      <c s="221" r="AJ52"/>
      <c s="221" r="AK52"/>
      <c s="221" r="AL52"/>
      <c s="221" r="AM52"/>
      <c s="221" r="AN52"/>
      <c s="221" r="AO52"/>
      <c s="221" r="AP52"/>
      <c s="221" r="AQ52"/>
      <c s="221" r="AR52"/>
      <c s="221" r="AS52"/>
      <c s="221" r="AT52"/>
    </row>
    <row customHeight="1" r="53" ht="12.75">
      <c s="217" r="A53"/>
      <c s="217" r="B53"/>
      <c s="217" r="C53"/>
      <c s="217" r="D53"/>
      <c s="219" r="E53"/>
      <c s="220" r="F53"/>
      <c s="219" r="G53"/>
      <c s="217" r="H53"/>
      <c s="220" r="I53"/>
      <c s="221" r="J53"/>
      <c s="221" r="K53"/>
      <c s="221" r="L53"/>
      <c s="221" r="M53"/>
      <c s="221" r="N53"/>
      <c s="221" r="O53"/>
      <c s="221" r="P53"/>
      <c s="221" r="Q53"/>
      <c s="221" r="R53"/>
      <c s="221" r="S53"/>
      <c s="221" r="T53"/>
      <c s="221" r="U53"/>
      <c s="221" r="V53"/>
      <c s="221" r="W53"/>
      <c s="221" r="X53"/>
      <c s="221" r="Y53"/>
      <c s="221" r="Z53"/>
      <c s="221" r="AA53"/>
      <c s="221" r="AB53"/>
      <c s="221" r="AC53"/>
      <c s="221" r="AD53"/>
      <c s="221" r="AE53"/>
      <c s="221" r="AF53"/>
      <c s="221" r="AG53"/>
      <c s="221" r="AH53"/>
      <c s="221" r="AI53"/>
      <c s="221" r="AJ53"/>
      <c s="221" r="AK53"/>
      <c s="221" r="AL53"/>
      <c s="221" r="AM53"/>
      <c s="221" r="AN53"/>
      <c s="221" r="AO53"/>
      <c s="221" r="AP53"/>
      <c s="221" r="AQ53"/>
      <c s="221" r="AR53"/>
      <c s="221" r="AS53"/>
      <c s="221" r="AT53"/>
    </row>
  </sheetData>
  <autoFilter ref="$A$1:$J$33"/>
  <conditionalFormatting sqref="A:A">
    <cfRule text="B. " priority="1" type="containsText" operator="containsText" dxfId="2"/>
  </conditionalFormatting>
  <conditionalFormatting sqref="A:A">
    <cfRule text="A. " priority="2" type="containsText" operator="containsText" dxfId="3"/>
  </conditionalFormatting>
  <conditionalFormatting sqref="A:A">
    <cfRule text="C. " priority="3" type="containsText" operator="containsText" dxfId="4"/>
  </conditionalFormatting>
  <conditionalFormatting sqref="A:A">
    <cfRule text="D. " priority="4" type="containsText" operator="containsText" dxfId="5"/>
  </conditionalFormatting>
  <conditionalFormatting sqref="A:A">
    <cfRule text="E." priority="5" type="containsText" operator="containsText" dxfId="6"/>
  </conditionalFormatting>
  <conditionalFormatting sqref="A:A">
    <cfRule text="F. " priority="6" type="containsText" operator="containsText" dxfId="7"/>
  </conditionalFormatting>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B3" activeCell="B3" pane="bottomLeft"/>
    </sheetView>
  </sheetViews>
  <sheetFormatPr customHeight="1" defaultColWidth="17.29" defaultRowHeight="15.75"/>
  <cols>
    <col min="1" customWidth="1" max="1" width="42.29"/>
    <col min="2" customWidth="1" max="2" width="20.29"/>
    <col min="3" customWidth="1" max="22" width="17.14"/>
  </cols>
  <sheetData>
    <row customHeight="1" r="1" ht="15.75">
      <c s="18" r="A1"/>
      <c t="str" s="18" r="B1">
        <f>'Annuel (OLD)'!A1</f>
        <v/>
      </c>
      <c t="str" s="240" r="D1">
        <f>'Annuel (OLD)'!B1</f>
        <v>2013</v>
      </c>
      <c t="str" s="240" r="E1">
        <f>'Annuel (OLD)'!D1</f>
        <v>2014</v>
      </c>
      <c t="str" s="240" r="F1">
        <f>'Annuel (OLD)'!F1</f>
        <v>2015</v>
      </c>
      <c t="str" s="240" r="G1">
        <f>'Annuel (OLD)'!H1</f>
        <v>2016</v>
      </c>
      <c t="str" s="240" r="H1">
        <f>'Annuel (OLD)'!J1</f>
        <v>2017</v>
      </c>
      <c t="str" s="18" r="I1">
        <f>Annuel!#REF!</f>
        <v>#ERROR!</v>
      </c>
    </row>
    <row customHeight="1" r="2" ht="15.75">
      <c t="s" s="31" r="A2">
        <v>637</v>
      </c>
      <c t="s" s="31" r="B2">
        <v>638</v>
      </c>
      <c s="25" r="C2">
        <v>5500.0</v>
      </c>
      <c s="57" r="D2">
        <v>0.0</v>
      </c>
      <c s="146" r="E2"/>
      <c s="57" r="F2">
        <v>1.0</v>
      </c>
      <c s="57" r="G2">
        <v>1.0</v>
      </c>
      <c s="57" r="H2">
        <v>1.0</v>
      </c>
      <c s="31" r="I2"/>
      <c s="31" r="J2"/>
      <c s="31" r="K2"/>
      <c s="31" r="L2"/>
      <c s="31" r="M2"/>
      <c s="31" r="N2"/>
      <c s="31" r="O2"/>
      <c s="31" r="P2"/>
      <c s="31" r="Q2"/>
      <c s="31" r="R2"/>
      <c s="31" r="S2"/>
      <c s="31" r="T2"/>
      <c s="31" r="U2"/>
      <c s="31" r="V2"/>
    </row>
    <row customHeight="1" r="3" ht="15.75">
      <c t="s" s="31" r="A3">
        <v>639</v>
      </c>
      <c t="s" s="31" r="B3">
        <v>640</v>
      </c>
      <c s="25" r="C3">
        <v>1500.0</v>
      </c>
      <c s="146" r="D3"/>
      <c s="57" r="E3">
        <v>1.0</v>
      </c>
      <c s="57" r="F3">
        <v>5.0</v>
      </c>
      <c s="57" r="G3">
        <v>5.0</v>
      </c>
      <c s="57" r="H3">
        <v>5.0</v>
      </c>
      <c s="31" r="I3"/>
      <c s="31" r="J3"/>
      <c s="31" r="K3"/>
      <c s="31" r="L3"/>
      <c s="31" r="M3"/>
      <c s="31" r="N3"/>
      <c s="31" r="O3"/>
      <c s="31" r="P3"/>
      <c s="31" r="Q3"/>
      <c s="31" r="R3"/>
      <c s="31" r="S3"/>
      <c s="31" r="T3"/>
      <c s="31" r="U3"/>
      <c s="31" r="V3"/>
    </row>
    <row customHeight="1" r="4" ht="15.75">
      <c t="s" s="31" r="A4">
        <v>641</v>
      </c>
      <c t="s" s="31" r="B4">
        <v>642</v>
      </c>
      <c s="25" r="C4">
        <v>2700.0</v>
      </c>
      <c s="146" r="D4"/>
      <c s="57" r="E4">
        <v>1.0</v>
      </c>
      <c s="57" r="F4">
        <v>1.0</v>
      </c>
      <c s="57" r="G4">
        <v>1.0</v>
      </c>
      <c s="57" r="H4">
        <v>1.0</v>
      </c>
      <c s="31" r="I4"/>
      <c s="31" r="J4"/>
      <c s="31" r="K4"/>
      <c s="31" r="L4"/>
      <c s="31" r="M4"/>
      <c s="31" r="N4"/>
      <c s="31" r="O4"/>
      <c s="31" r="P4"/>
      <c s="31" r="Q4"/>
      <c s="31" r="R4"/>
      <c s="31" r="S4"/>
      <c s="31" r="T4"/>
      <c s="31" r="U4"/>
      <c s="31" r="V4"/>
    </row>
    <row customHeight="1" r="5" ht="15.75">
      <c t="s" s="31" r="A5">
        <v>643</v>
      </c>
      <c t="s" s="31" r="B5">
        <v>644</v>
      </c>
      <c s="25" r="C5">
        <v>1800.0</v>
      </c>
      <c s="146" r="D5"/>
      <c s="57" r="E5">
        <v>1.0</v>
      </c>
      <c s="57" r="F5">
        <v>2.0</v>
      </c>
      <c s="57" r="G5">
        <v>2.0</v>
      </c>
      <c s="57" r="H5">
        <v>2.0</v>
      </c>
      <c s="31" r="I5"/>
      <c s="31" r="J5"/>
      <c s="31" r="K5"/>
      <c s="31" r="L5"/>
      <c s="31" r="M5"/>
      <c s="31" r="N5"/>
      <c s="31" r="O5"/>
      <c s="31" r="P5"/>
      <c s="31" r="Q5"/>
      <c s="31" r="R5"/>
      <c s="31" r="S5"/>
      <c s="31" r="T5"/>
      <c s="31" r="U5"/>
      <c s="31" r="V5"/>
    </row>
    <row customHeight="1" r="6" ht="15.75">
      <c t="s" s="31" r="A6">
        <v>645</v>
      </c>
      <c t="s" s="31" r="B6">
        <v>646</v>
      </c>
      <c s="25" r="C6">
        <v>3000.0</v>
      </c>
      <c s="146" r="D6"/>
      <c s="146" r="E6"/>
      <c s="57" r="F6">
        <v>1.0</v>
      </c>
      <c s="57" r="G6">
        <v>1.0</v>
      </c>
      <c s="57" r="H6">
        <v>1.0</v>
      </c>
      <c s="31" r="I6"/>
      <c s="31" r="J6"/>
      <c s="31" r="K6"/>
      <c s="31" r="L6"/>
      <c s="31" r="M6"/>
      <c s="31" r="N6"/>
      <c s="31" r="O6"/>
      <c s="31" r="P6"/>
      <c s="31" r="Q6"/>
      <c s="31" r="R6"/>
      <c s="31" r="S6"/>
      <c s="31" r="T6"/>
      <c s="31" r="U6"/>
      <c s="31" r="V6"/>
    </row>
    <row customHeight="1" r="7" ht="15.75">
      <c s="31" r="A7"/>
      <c t="s" s="31" r="B7">
        <v>647</v>
      </c>
      <c t="str" s="146" r="D7">
        <f ref="D7:H7" t="shared" si="1">SUM(D2:D6)</f>
        <v>0,</v>
      </c>
      <c t="str" s="146" r="E7">
        <f t="shared" si="1"/>
        <v>3,</v>
      </c>
      <c t="str" s="146" r="F7">
        <f t="shared" si="1"/>
        <v>10,</v>
      </c>
      <c t="str" s="146" r="G7">
        <f t="shared" si="1"/>
        <v>10,</v>
      </c>
      <c t="str" s="146" r="H7">
        <f t="shared" si="1"/>
        <v>10,</v>
      </c>
    </row>
    <row customHeight="1" r="8" ht="15.75">
      <c t="s" s="31" r="A8">
        <v>648</v>
      </c>
      <c s="18" r="B8"/>
      <c s="154" r="C8">
        <v>0.55</v>
      </c>
      <c s="146" r="D8"/>
      <c s="146" r="E8"/>
      <c s="146" r="F8"/>
      <c s="146" r="G8"/>
      <c s="146" r="H8"/>
    </row>
    <row customHeight="1" r="9" ht="12.75">
      <c s="18" r="A9"/>
      <c s="18" r="B9"/>
    </row>
    <row customHeight="1" r="10" ht="26.25">
      <c t="s" s="18" r="A10">
        <v>649</v>
      </c>
      <c s="18" r="B10"/>
      <c s="25" r="C10">
        <v>15.0</v>
      </c>
      <c s="33" r="D10">
        <v>20.0</v>
      </c>
      <c s="33" r="E10">
        <v>40.0</v>
      </c>
      <c s="33" r="F10">
        <v>100.0</v>
      </c>
      <c s="33" r="G10">
        <v>200.0</v>
      </c>
      <c s="33" r="H10">
        <v>200.0</v>
      </c>
    </row>
    <row customHeight="1" r="11" ht="12.75">
      <c s="18" r="A11"/>
      <c s="18" r="B11"/>
    </row>
    <row customHeight="1" r="12" ht="26.25">
      <c t="s" s="18" r="A12">
        <v>650</v>
      </c>
      <c t="s" s="18" r="B12">
        <v>651</v>
      </c>
      <c s="25" r="C12">
        <v>300.0</v>
      </c>
      <c t="str" s="18" r="D12">
        <f>'Annuel (OLD)'!B2</f>
        <v>1</v>
      </c>
      <c t="str" s="18" r="E12">
        <f>'Annuel (OLD)'!D2</f>
        <v>40</v>
      </c>
      <c t="str" s="18" r="F12">
        <f>'Annuel (OLD)'!F2</f>
        <v>150</v>
      </c>
      <c t="str" s="18" r="G12">
        <f>'Annuel (OLD)'!H2</f>
        <v>300</v>
      </c>
      <c t="str" s="18" r="H12">
        <f>'Annuel (OLD)'!J2</f>
        <v>400</v>
      </c>
    </row>
    <row customHeight="1" r="13" ht="26.25">
      <c t="s" s="18" r="A13">
        <v>652</v>
      </c>
      <c t="s" s="18" r="B13">
        <v>653</v>
      </c>
      <c s="25" r="C13">
        <v>1000.0</v>
      </c>
      <c s="33" r="D13">
        <v>5.0</v>
      </c>
      <c s="33" r="E13">
        <v>15.0</v>
      </c>
      <c s="33" r="F13">
        <v>15.0</v>
      </c>
      <c s="33" r="G13">
        <v>15.0</v>
      </c>
      <c s="33" r="H13">
        <v>15.0</v>
      </c>
    </row>
    <row customHeight="1" r="14" ht="12.75">
      <c s="18" r="A14"/>
      <c s="18" r="B14"/>
    </row>
    <row customHeight="1" r="15" ht="12.75">
      <c t="s" s="18" r="A15">
        <v>654</v>
      </c>
      <c s="18" r="B15"/>
      <c s="33" r="C15">
        <v>0.1</v>
      </c>
    </row>
    <row customHeight="1" r="16" ht="12.75">
      <c s="18" r="A16"/>
      <c s="18" r="B16"/>
    </row>
    <row customHeight="1" r="17" ht="12.75">
      <c s="18" r="A17"/>
      <c s="18" r="B17"/>
    </row>
    <row customHeight="1" r="18" ht="12.75">
      <c s="18" r="A18"/>
      <c s="18" r="B18"/>
    </row>
    <row customHeight="1" r="19" ht="12.75">
      <c s="18" r="A19"/>
      <c s="18" r="B19"/>
    </row>
    <row customHeight="1" r="20" ht="12.75">
      <c s="18" r="A20"/>
      <c s="18" r="B20"/>
    </row>
    <row customHeight="1" r="21" ht="15.75">
      <c t="s" s="31" r="A21">
        <v>655</v>
      </c>
      <c t="str" s="31" r="B21">
        <f ref="B21:B25" t="shared" si="3">B2</f>
        <v>DG</v>
      </c>
      <c s="31" r="C21"/>
      <c t="str" s="31" r="D21">
        <f ref="D21:H21" t="shared" si="2">(D2*$C2)*12</f>
        <v>€ 0,00</v>
      </c>
      <c t="str" s="31" r="E21">
        <f t="shared" si="2"/>
        <v>€ 0,00</v>
      </c>
      <c t="str" s="31" r="F21">
        <f t="shared" si="2"/>
        <v>€ 66 000,00</v>
      </c>
      <c t="str" s="31" r="G21">
        <f t="shared" si="2"/>
        <v>€ 66 000,00</v>
      </c>
      <c t="str" s="31" r="H21">
        <f t="shared" si="2"/>
        <v>€ 66 000,00</v>
      </c>
      <c s="31" r="I21"/>
      <c s="31" r="J21"/>
      <c s="31" r="K21"/>
      <c s="31" r="L21"/>
      <c s="31" r="M21"/>
      <c s="31" r="N21"/>
      <c s="31" r="O21"/>
      <c s="31" r="P21"/>
      <c s="31" r="Q21"/>
      <c s="31" r="R21"/>
      <c s="31" r="S21"/>
      <c s="31" r="T21"/>
      <c s="31" r="U21"/>
      <c s="31" r="V21"/>
    </row>
    <row customHeight="1" r="22" ht="15.75">
      <c t="s" s="31" r="A22">
        <v>656</v>
      </c>
      <c t="str" s="31" r="B22">
        <f t="shared" si="3"/>
        <v>Assistante</v>
      </c>
      <c s="31" r="C22"/>
      <c t="str" s="31" r="D22">
        <f ref="D22:H22" t="shared" si="4">(D3*$C3)*12</f>
        <v>€ 0,00</v>
      </c>
      <c t="str" s="31" r="E22">
        <f t="shared" si="4"/>
        <v>€ 18 000,00</v>
      </c>
      <c t="str" s="31" r="F22">
        <f t="shared" si="4"/>
        <v>€ 90 000,00</v>
      </c>
      <c t="str" s="31" r="G22">
        <f t="shared" si="4"/>
        <v>€ 90 000,00</v>
      </c>
      <c t="str" s="31" r="H22">
        <f t="shared" si="4"/>
        <v>€ 90 000,00</v>
      </c>
      <c s="31" r="I22"/>
      <c s="31" r="J22"/>
      <c s="31" r="K22"/>
      <c s="31" r="L22"/>
      <c s="31" r="M22"/>
      <c s="31" r="N22"/>
      <c s="31" r="O22"/>
      <c s="31" r="P22"/>
      <c s="31" r="Q22"/>
      <c s="31" r="R22"/>
      <c s="31" r="S22"/>
      <c s="31" r="T22"/>
      <c s="31" r="U22"/>
      <c s="31" r="V22"/>
    </row>
    <row customHeight="1" r="23" ht="15.75">
      <c t="s" s="31" r="A23">
        <v>657</v>
      </c>
      <c t="str" s="31" r="B23">
        <f t="shared" si="3"/>
        <v>Directeur ajoint</v>
      </c>
      <c s="31" r="C23"/>
      <c t="str" s="31" r="D23">
        <f ref="D23:H23" t="shared" si="5">(D4*$C4)*12</f>
        <v>€ 0,00</v>
      </c>
      <c t="str" s="31" r="E23">
        <f t="shared" si="5"/>
        <v>€ 32 400,00</v>
      </c>
      <c t="str" s="31" r="F23">
        <f t="shared" si="5"/>
        <v>€ 32 400,00</v>
      </c>
      <c t="str" s="31" r="G23">
        <f t="shared" si="5"/>
        <v>€ 32 400,00</v>
      </c>
      <c t="str" s="31" r="H23">
        <f t="shared" si="5"/>
        <v>€ 32 400,00</v>
      </c>
      <c s="31" r="I23"/>
      <c s="31" r="J23"/>
      <c s="31" r="K23"/>
      <c s="31" r="L23"/>
      <c s="31" r="M23"/>
      <c s="31" r="N23"/>
      <c s="31" r="O23"/>
      <c s="31" r="P23"/>
      <c s="31" r="Q23"/>
      <c s="31" r="R23"/>
      <c s="31" r="S23"/>
      <c s="31" r="T23"/>
      <c s="31" r="U23"/>
      <c s="31" r="V23"/>
    </row>
    <row customHeight="1" r="24" ht="15.75">
      <c t="s" s="31" r="A24">
        <v>658</v>
      </c>
      <c t="str" s="31" r="B24">
        <f t="shared" si="3"/>
        <v>Technical assistant</v>
      </c>
      <c s="31" r="C24"/>
      <c t="str" s="31" r="D24">
        <f ref="D24:H24" t="shared" si="6">(D5*$C5)*12</f>
        <v>€ 0,00</v>
      </c>
      <c t="str" s="31" r="E24">
        <f t="shared" si="6"/>
        <v>€ 21 600,00</v>
      </c>
      <c t="str" s="31" r="F24">
        <f t="shared" si="6"/>
        <v>€ 43 200,00</v>
      </c>
      <c t="str" s="31" r="G24">
        <f t="shared" si="6"/>
        <v>€ 43 200,00</v>
      </c>
      <c t="str" s="31" r="H24">
        <f t="shared" si="6"/>
        <v>€ 43 200,00</v>
      </c>
      <c s="31" r="I24"/>
      <c s="31" r="J24"/>
      <c s="31" r="K24"/>
      <c s="31" r="L24"/>
      <c s="31" r="M24"/>
      <c s="31" r="N24"/>
      <c s="31" r="O24"/>
      <c s="31" r="P24"/>
      <c s="31" r="Q24"/>
      <c s="31" r="R24"/>
      <c s="31" r="S24"/>
      <c s="31" r="T24"/>
      <c s="31" r="U24"/>
      <c s="31" r="V24"/>
    </row>
    <row customHeight="1" r="25" ht="15.75">
      <c t="s" s="31" r="A25">
        <v>659</v>
      </c>
      <c t="str" s="31" r="B25">
        <f t="shared" si="3"/>
        <v>R&amp;D responsable</v>
      </c>
      <c s="31" r="C25"/>
      <c t="str" s="31" r="D25">
        <f ref="D25:H25" t="shared" si="7">(D6*$C6)*12</f>
        <v>€ 0,00</v>
      </c>
      <c t="str" s="31" r="E25">
        <f t="shared" si="7"/>
        <v>€ 0,00</v>
      </c>
      <c t="str" s="31" r="F25">
        <f t="shared" si="7"/>
        <v>€ 36 000,00</v>
      </c>
      <c t="str" s="31" r="G25">
        <f t="shared" si="7"/>
        <v>€ 36 000,00</v>
      </c>
      <c t="str" s="31" r="H25">
        <f t="shared" si="7"/>
        <v>€ 36 000,00</v>
      </c>
      <c s="31" r="I25"/>
      <c s="31" r="J25"/>
      <c s="31" r="K25"/>
      <c s="31" r="L25"/>
      <c s="31" r="M25"/>
      <c s="31" r="N25"/>
      <c s="31" r="O25"/>
      <c s="31" r="P25"/>
      <c s="31" r="Q25"/>
      <c s="31" r="R25"/>
      <c s="31" r="S25"/>
      <c s="31" r="T25"/>
      <c s="31" r="U25"/>
      <c s="31" r="V25"/>
    </row>
    <row customHeight="1" r="26" ht="15.75">
      <c t="s" s="40" r="A26">
        <v>660</v>
      </c>
      <c t="s" s="40" r="B26">
        <v>661</v>
      </c>
      <c s="40" r="C26"/>
      <c t="str" s="40" r="D26">
        <f ref="D26:H26" t="shared" si="8">SUM(D21:D25)</f>
        <v>€ 0,00</v>
      </c>
      <c t="str" s="40" r="E26">
        <f t="shared" si="8"/>
        <v>€ 72 000,00</v>
      </c>
      <c t="str" s="40" r="F26">
        <f t="shared" si="8"/>
        <v>€ 267 600,00</v>
      </c>
      <c t="str" s="40" r="G26">
        <f t="shared" si="8"/>
        <v>€ 267 600,00</v>
      </c>
      <c t="str" s="40" r="H26">
        <f t="shared" si="8"/>
        <v>€ 267 600,00</v>
      </c>
      <c s="40" r="I26"/>
      <c s="40" r="J26"/>
      <c s="40" r="K26"/>
      <c s="40" r="L26"/>
      <c s="40" r="M26"/>
      <c s="40" r="N26"/>
      <c s="40" r="O26"/>
      <c s="40" r="P26"/>
      <c s="40" r="Q26"/>
      <c s="40" r="R26"/>
      <c s="40" r="S26"/>
      <c s="40" r="T26"/>
      <c s="40" r="U26"/>
      <c s="40" r="V26"/>
    </row>
    <row customHeight="1" r="27" ht="15.75">
      <c t="s" s="40" r="A27">
        <v>662</v>
      </c>
      <c s="40" r="B27"/>
      <c s="40" r="C27"/>
      <c t="str" s="40" r="D27">
        <f ref="D27:H27" t="shared" si="9">D26*$C$8</f>
        <v>€ 0,00</v>
      </c>
      <c t="str" s="40" r="E27">
        <f t="shared" si="9"/>
        <v>€ 39 600,00</v>
      </c>
      <c t="str" s="40" r="F27">
        <f t="shared" si="9"/>
        <v>€ 147 180,00</v>
      </c>
      <c t="str" s="40" r="G27">
        <f t="shared" si="9"/>
        <v>€ 147 180,00</v>
      </c>
      <c t="str" s="40" r="H27">
        <f t="shared" si="9"/>
        <v>€ 147 180,00</v>
      </c>
      <c s="40" r="I27"/>
      <c s="40" r="J27"/>
      <c s="40" r="K27"/>
      <c s="40" r="L27"/>
      <c s="40" r="M27"/>
      <c s="40" r="N27"/>
      <c s="40" r="O27"/>
      <c s="40" r="P27"/>
      <c s="40" r="Q27"/>
      <c s="40" r="R27"/>
      <c s="40" r="S27"/>
      <c s="40" r="T27"/>
      <c s="40" r="U27"/>
      <c s="40" r="V27"/>
    </row>
    <row customHeight="1" r="28" ht="15.75">
      <c t="s" s="40" r="A28">
        <v>663</v>
      </c>
      <c s="40" r="B28"/>
      <c s="40" r="C28"/>
      <c t="str" s="40" r="D28">
        <f ref="D28:H28" t="shared" si="10">(D10*$C$10)*12</f>
        <v>€ 3 600,00</v>
      </c>
      <c t="str" s="40" r="E28">
        <f t="shared" si="10"/>
        <v>€ 7 200,00</v>
      </c>
      <c t="str" s="40" r="F28">
        <f t="shared" si="10"/>
        <v>€ 18 000,00</v>
      </c>
      <c t="str" s="40" r="G28">
        <f t="shared" si="10"/>
        <v>€ 36 000,00</v>
      </c>
      <c t="str" s="40" r="H28">
        <f t="shared" si="10"/>
        <v>€ 36 000,00</v>
      </c>
      <c s="40" r="I28"/>
      <c s="40" r="J28"/>
      <c s="40" r="K28"/>
      <c s="40" r="L28"/>
      <c s="40" r="M28"/>
      <c s="40" r="N28"/>
      <c s="40" r="O28"/>
      <c s="40" r="P28"/>
      <c s="40" r="Q28"/>
      <c s="40" r="R28"/>
      <c s="40" r="S28"/>
      <c s="40" r="T28"/>
      <c s="40" r="U28"/>
      <c s="40" r="V28"/>
    </row>
    <row customHeight="1" r="29" ht="12.75">
      <c t="s" s="18" r="A29">
        <v>664</v>
      </c>
      <c s="18" r="B29"/>
      <c t="str" s="18" r="D29">
        <f ref="D29:H29" t="shared" si="11">D12*$C12</f>
        <v>€ 300,00</v>
      </c>
      <c t="str" s="18" r="E29">
        <f t="shared" si="11"/>
        <v>€ 12 000,00</v>
      </c>
      <c t="str" s="18" r="F29">
        <f t="shared" si="11"/>
        <v>€ 45 000,00</v>
      </c>
      <c t="str" s="18" r="G29">
        <f t="shared" si="11"/>
        <v>€ 90 000,00</v>
      </c>
      <c t="str" s="18" r="H29">
        <f t="shared" si="11"/>
        <v>€ 120 000,00</v>
      </c>
    </row>
    <row customHeight="1" r="30" ht="12.75">
      <c t="s" s="18" r="A30">
        <v>665</v>
      </c>
      <c s="18" r="B30"/>
      <c t="str" s="18" r="D30">
        <f ref="D30:H30" t="shared" si="12">D13*$C13</f>
        <v>€ 5 000,00</v>
      </c>
      <c t="str" s="18" r="E30">
        <f t="shared" si="12"/>
        <v>€ 15 000,00</v>
      </c>
      <c t="str" s="18" r="F30">
        <f t="shared" si="12"/>
        <v>€ 15 000,00</v>
      </c>
      <c t="str" s="18" r="G30">
        <f t="shared" si="12"/>
        <v>€ 15 000,00</v>
      </c>
      <c t="str" s="18" r="H30">
        <f t="shared" si="12"/>
        <v>€ 15 000,00</v>
      </c>
    </row>
    <row customHeight="1" r="31" ht="15.75">
      <c t="s" s="40" r="A31">
        <v>666</v>
      </c>
      <c t="s" s="40" r="B31">
        <v>667</v>
      </c>
      <c s="40" r="C31"/>
      <c t="str" s="40" r="D31">
        <f ref="D31:H31" t="shared" si="13">SUM(D29:D30)</f>
        <v>€ 5 300,00</v>
      </c>
      <c t="str" s="40" r="E31">
        <f t="shared" si="13"/>
        <v>€ 27 000,00</v>
      </c>
      <c t="str" s="40" r="F31">
        <f t="shared" si="13"/>
        <v>€ 60 000,00</v>
      </c>
      <c t="str" s="40" r="G31">
        <f t="shared" si="13"/>
        <v>€ 105 000,00</v>
      </c>
      <c t="str" s="40" r="H31">
        <f t="shared" si="13"/>
        <v>€ 135 000,00</v>
      </c>
      <c s="40" r="I31"/>
      <c s="40" r="J31"/>
      <c s="40" r="K31"/>
      <c s="40" r="L31"/>
      <c s="40" r="M31"/>
      <c s="40" r="N31"/>
      <c s="40" r="O31"/>
      <c s="40" r="P31"/>
      <c s="40" r="Q31"/>
      <c s="40" r="R31"/>
      <c s="40" r="S31"/>
      <c s="40" r="T31"/>
      <c s="40" r="U31"/>
      <c s="40" r="V31"/>
    </row>
    <row customHeight="1" r="32" ht="15.75">
      <c t="s" s="40" r="A32">
        <v>668</v>
      </c>
      <c s="40" r="B32"/>
      <c s="40" r="C32"/>
      <c t="str" s="40" r="D32">
        <f ref="D32:H32" t="shared" si="14">(((D26+D27)+D28)+D31)*$C$15</f>
        <v>€ 890,00</v>
      </c>
      <c t="str" s="40" r="E32">
        <f t="shared" si="14"/>
        <v>€ 14 580,00</v>
      </c>
      <c t="str" s="40" r="F32">
        <f t="shared" si="14"/>
        <v>€ 49 278,00</v>
      </c>
      <c t="str" s="40" r="G32">
        <f t="shared" si="14"/>
        <v>€ 55 578,00</v>
      </c>
      <c t="str" s="40" r="H32">
        <f t="shared" si="14"/>
        <v>€ 58 578,00</v>
      </c>
      <c s="40" r="I32"/>
      <c s="40" r="J32"/>
      <c s="40" r="K32"/>
      <c s="40" r="L32"/>
      <c s="40" r="M32"/>
      <c s="40" r="N32"/>
      <c s="40" r="O32"/>
      <c s="40" r="P32"/>
      <c s="40" r="Q32"/>
      <c s="40" r="R32"/>
      <c s="40" r="S32"/>
      <c s="40" r="T32"/>
      <c s="40" r="U32"/>
      <c s="40" r="V32"/>
    </row>
    <row customHeight="1" r="33" ht="12.75">
      <c s="18" r="A33"/>
      <c s="18" r="B33"/>
    </row>
    <row customHeight="1" r="34" ht="15.75">
      <c t="s" s="40" r="A34">
        <v>669</v>
      </c>
      <c s="40" r="B34"/>
      <c s="40" r="C34"/>
      <c t="str" s="40" r="D34">
        <f ref="D34:H34" t="shared" si="15">(((D26+D27)+D28)+D31)+D32</f>
        <v>€ 9 790,00</v>
      </c>
      <c t="str" s="40" r="E34">
        <f t="shared" si="15"/>
        <v>€ 160 380,00</v>
      </c>
      <c t="str" s="40" r="F34">
        <f t="shared" si="15"/>
        <v>€ 542 058,00</v>
      </c>
      <c t="str" s="40" r="G34">
        <f t="shared" si="15"/>
        <v>€ 611 358,00</v>
      </c>
      <c t="str" s="40" r="H34">
        <f t="shared" si="15"/>
        <v>€ 644 358,00</v>
      </c>
      <c s="40" r="I34"/>
      <c s="40" r="J34"/>
      <c s="40" r="K34"/>
      <c s="40" r="L34"/>
      <c s="40" r="M34"/>
      <c s="40" r="N34"/>
      <c s="40" r="O34"/>
      <c s="40" r="P34"/>
      <c s="40" r="Q34"/>
      <c s="40" r="R34"/>
      <c s="40" r="S34"/>
      <c s="40" r="T34"/>
      <c s="40" r="U34"/>
      <c s="40" r="V34"/>
    </row>
  </sheetData>
  <conditionalFormatting sqref="D1 E1 F1 G1 H1 A2 B2 C2 D2 E2 F2 G2 H2 I2 J2 K2 L2 M2 N2 O2 P2 Q2 R2 S2 T2 U2 V2 A3 B3 C3 D3 E3 F3 G3 H3 I3 J3 K3 L3 M3 N3 O3 P3 Q3 R3 S3 T3 U3 V3 A4 B4 C4 D4 E4 F4 G4 H4 I4 J4 K4 L4 M4 N4 O4 P4 Q4 R4 S4 T4 U4 V4 A5 B5 C5 D5 E5 F5 G5 H5 I5 J5 K5 L5 M5 N5 O5 P5 Q5 R5 S5 T5 U5 V5 A6 B6 C6 D6 E6 F6 G6 H6 I6 J6 K6 L6 M6 N6 O6 P6 Q6 R6 S6 T6 U6 V6 A7 B7 D7 E7 F7 G7 H7 A8 D8 E8 F8 G8 H8 C10 C12 C13 A21 B21 C21 D21 E21 F21 G21 H21 I21 J21 K21 L21 M21 N21 O21 P21 Q21 R21 S21 T21 U21 V21 A22 B22 C22 D22 E22 F22 G22 H22 I22 J22 K22 L22 M22 N22 O22 P22 Q22 R22 S22 T22 U22 V22 A23 B23 C23 D23 E23 F23 G23 H23 I23 J23 K23 L23 M23 N23 O23 P23 Q23 R23 S23 T23 U23 V23 A24 B24 C24 D24 E24 F24 G24 H24 I24 J24 K24 L24 M24 N24 O24 P24 Q24 R24 S24 T24 U24 V24 A25 B25 C25 D25 E25 F25 G25 H25 I25 J25 K25 L25 M25 N25 O25 P25 Q25 R25 S25 T25 U25 V25 A26 B26 C26 D26 E26 F26 G26 H26 I26 J26 K26 L26 M26 N26 O26 P26 Q26 R26 S26 T26 U26 V26 A27 B27 C27 D27 E27 F27 G27 H27 I27 J27 K27 L27 M27 N27 O27 P27 Q27 R27 S27 T27 U27 V27 A28 B28 C28 D28 E28 F28 G28 H28 I28 J28 K28 L28 M28 N28 O28 P28 Q28 R28 S28 T28 U28 V28 A31 B31 C31 D31 E31 F31 G31 H31 I31 J31 K31 L31 M31 N31 O31 P31 Q31 R31 S31 T31 U31 V31 A32 B32 C32 D32 E32 F32 G32 H32 I32 J32 K32 L32 M32 N32 O32 P32 Q32 R32 S32 T32 U32 V32 A34 B34 C34 D34 E34 F34 G34 H34 I34 J34 K34 L34 M34 N34 O34 P34 Q34 R34 S34 T34 U34 V34">
    <cfRule priority="1" type="cellIs" operator="lessThan" stopIfTrue="1" dxfId="1">
      <formula>0</formula>
    </cfRule>
  </conditionalFormatting>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27.71"/>
    <col min="2" customWidth="1" max="17" width="17.14"/>
  </cols>
  <sheetData>
    <row customHeight="1" r="1" ht="12.75">
      <c t="s" s="18" r="A1">
        <v>670</v>
      </c>
      <c t="str" s="18" r="B1">
        <f>'Annuel (OLD)'!D1</f>
        <v>2014</v>
      </c>
      <c t="str" s="18" r="C1">
        <f>'Annuel (OLD)'!F1</f>
        <v>2015</v>
      </c>
      <c t="str" s="18" r="D1">
        <f>'Annuel (OLD)'!H1</f>
        <v>2016</v>
      </c>
      <c t="str" s="18" r="E1">
        <f>'Annuel (OLD)'!J1</f>
        <v>2017</v>
      </c>
      <c t="str" s="18" r="F1">
        <f>'Annuel (OLD)'!L1</f>
        <v/>
      </c>
    </row>
    <row customHeight="1" r="2" ht="12.75">
      <c t="s" s="18" r="A2">
        <v>671</v>
      </c>
      <c t="str" s="18" r="B2">
        <f>'Annuel (OLD)'!D2</f>
        <v>40</v>
      </c>
      <c t="str" s="18" r="C2">
        <f>'Annuel (OLD)'!F2</f>
        <v>150</v>
      </c>
      <c t="str" s="18" r="D2">
        <f>'Annuel (OLD)'!H2</f>
        <v>300</v>
      </c>
      <c t="str" s="18" r="E2">
        <f>'Annuel (OLD)'!J2</f>
        <v>400</v>
      </c>
    </row>
    <row customHeight="1" r="3" ht="12.75">
      <c t="s" s="18" r="A3">
        <v>672</v>
      </c>
      <c t="str" s="18" r="B3">
        <f>B2*'Hypothèses'!$C$8</f>
        <v>4</v>
      </c>
      <c t="str" s="18" r="C3">
        <f>C2*'Hypothèses'!$C$8</f>
        <v>15</v>
      </c>
      <c t="str" s="18" r="D3">
        <f>D2*'Hypothèses'!$C$8</f>
        <v>30</v>
      </c>
      <c t="str" s="18" r="E3">
        <f>E2*'Hypothèses'!$C$8</f>
        <v>40</v>
      </c>
    </row>
    <row customHeight="1" r="4" ht="12.75">
      <c t="s" s="18" r="A4">
        <v>673</v>
      </c>
      <c t="str" s="18" r="B4">
        <f>B2*'Hypothèses'!$C$12</f>
        <v>4</v>
      </c>
      <c t="str" s="18" r="C4">
        <f>C2*'Hypothèses'!$C$12</f>
        <v>15</v>
      </c>
      <c t="str" s="18" r="D4">
        <f>D2*'Hypothèses'!$C$12</f>
        <v>30</v>
      </c>
      <c t="str" s="18" r="E4">
        <f>E2*'Hypothèses'!$C$12</f>
        <v>40</v>
      </c>
    </row>
    <row customHeight="1" r="5" ht="12.75">
      <c t="s" s="18" r="A5">
        <v>674</v>
      </c>
      <c t="str" s="18" r="B5">
        <f>B2*'Hypothèses'!$C$16</f>
        <v>4</v>
      </c>
      <c t="str" s="18" r="C5">
        <f>C2*'Hypothèses'!$C$16</f>
        <v>15</v>
      </c>
      <c t="str" s="18" r="D5">
        <f>D2*'Hypothèses'!$C$16</f>
        <v>30</v>
      </c>
      <c t="str" s="18" r="E5">
        <f>E2*'Hypothèses'!$C$16</f>
        <v>40</v>
      </c>
    </row>
    <row customHeight="1" r="6" ht="12.75">
      <c s="18" r="A6"/>
    </row>
    <row customHeight="1" r="7" ht="12.75">
      <c s="18" r="A7"/>
      <c t="str" s="18" r="B7">
        <f ref="B7:E7" t="shared" si="1">B1</f>
        <v>2014</v>
      </c>
      <c t="str" s="18" r="C7">
        <f t="shared" si="1"/>
        <v>2015</v>
      </c>
      <c t="str" s="18" r="D7">
        <f t="shared" si="1"/>
        <v>2016</v>
      </c>
      <c t="str" s="18" r="E7">
        <f t="shared" si="1"/>
        <v>2017</v>
      </c>
    </row>
    <row customHeight="1" r="8" ht="12.75">
      <c t="str" s="18" r="A8">
        <f>'Annuel (OLD)'!A5</f>
        <v>Ventes de Modules de Base, HT</v>
      </c>
      <c t="str" s="165" r="B8">
        <f>'Annuel (OLD)'!D5</f>
        <v>€ 833 166,67</v>
      </c>
      <c t="str" s="165" r="C8">
        <f>'Annuel (OLD)'!F5</f>
        <v>€ 3 124 375,00</v>
      </c>
      <c t="str" s="165" r="D8">
        <f>'Annuel (OLD)'!H5</f>
        <v>€ 6 248 750,00</v>
      </c>
      <c t="str" s="165" r="E8">
        <f>'Annuel (OLD)'!J5</f>
        <v>€ 8 331 666,67</v>
      </c>
    </row>
    <row customHeight="1" r="9" ht="12.75">
      <c t="str" s="18" r="A9">
        <f>'Annuel (OLD)'!A6</f>
        <v>Ventes des KITs Meublé, HT</v>
      </c>
      <c t="str" s="165" r="B9">
        <f>'Annuel (OLD)'!D6</f>
        <v>€ 25 920,00</v>
      </c>
      <c t="str" s="165" r="C9">
        <f>'Annuel (OLD)'!F6</f>
        <v>€ 97 200,00</v>
      </c>
      <c t="str" s="165" r="D9">
        <f>'Annuel (OLD)'!H6</f>
        <v>€ 194 400,00</v>
      </c>
      <c t="str" s="165" r="E9">
        <f>'Annuel (OLD)'!J6</f>
        <v>€ 259 200,00</v>
      </c>
    </row>
    <row customHeight="1" r="10" ht="12.75">
      <c t="str" s="18" r="A10">
        <f>'Annuel (OLD)'!A7</f>
        <v>Ventes des Installations, HT</v>
      </c>
      <c t="str" s="165" r="B10">
        <f>'Annuel (OLD)'!D7</f>
        <v>€ 13 400,00</v>
      </c>
      <c t="str" s="165" r="C10">
        <f>'Annuel (OLD)'!F7</f>
        <v>€ 50 250,00</v>
      </c>
      <c t="str" s="165" r="D10">
        <f>'Annuel (OLD)'!H7</f>
        <v>€ 100 500,00</v>
      </c>
      <c t="str" s="165" r="E10">
        <f>'Annuel (OLD)'!J7</f>
        <v>€ 134 000,00</v>
      </c>
    </row>
    <row customHeight="1" r="11" ht="12.75">
      <c t="str" s="18" r="A11">
        <f>'Annuel (OLD)'!A9</f>
        <v>Ventes de Maintenance additionnelle, HT</v>
      </c>
      <c t="str" s="165" r="B11">
        <f>'Annuel (OLD)'!D9</f>
        <v>€ 4 100,00</v>
      </c>
      <c t="str" s="165" r="C11">
        <f>'Annuel (OLD)'!F9</f>
        <v>€ 19 100,00</v>
      </c>
      <c t="str" s="165" r="D11">
        <f>'Annuel (OLD)'!H9</f>
        <v>€ 49 100,00</v>
      </c>
      <c t="str" s="165" r="E11">
        <f>'Annuel (OLD)'!J9</f>
        <v>€ 89 100,00</v>
      </c>
    </row>
    <row customHeight="1" r="12" ht="12.75">
      <c t="str" s="18" r="A12">
        <f>'Annuel (OLD)'!A10</f>
        <v>Ventes, C.A. HT. (TOTAL REVENUE HT)</v>
      </c>
      <c t="str" s="165" r="B12">
        <f>'Annuel (OLD)'!D10</f>
        <v>€ 1 006 186,67</v>
      </c>
      <c t="str" s="165" r="C12">
        <f>'Annuel (OLD)'!F10</f>
        <v>€ 3 906 525,00</v>
      </c>
      <c t="str" s="165" r="D12">
        <f>'Annuel (OLD)'!H10</f>
        <v>€ 8 180 350,00</v>
      </c>
      <c t="str" s="165" r="E12">
        <f>'Annuel (OLD)'!J10</f>
        <v>€ 11 697 566,67</v>
      </c>
    </row>
    <row customHeight="1" r="13" ht="12.75">
      <c s="18" r="A13"/>
    </row>
    <row customHeight="1" r="14" ht="12.75">
      <c s="18" r="A14"/>
    </row>
    <row customHeight="1" r="15" ht="12.75">
      <c s="18" r="A15"/>
    </row>
    <row customHeight="1" r="16" ht="12.75">
      <c s="18" r="A16"/>
    </row>
    <row customHeight="1" r="17" ht="12.75">
      <c s="18" r="A17"/>
    </row>
    <row customHeight="1" r="18" ht="12.75">
      <c s="18" r="A18"/>
    </row>
    <row customHeight="1" r="19" ht="12.75">
      <c s="18" r="A19"/>
    </row>
    <row customHeight="1" r="20" ht="12.75">
      <c s="18" r="A20"/>
    </row>
    <row customHeight="1" r="21" ht="12.75"/>
    <row customHeight="1" r="22" ht="12.75"/>
  </sheetData>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56.43"/>
    <col min="2" customWidth="1" max="2" width="26.14"/>
    <col min="3" customWidth="1" max="20" width="17.14"/>
  </cols>
  <sheetData>
    <row customHeight="1" r="1" ht="12.75">
      <c t="s" s="18" r="A1">
        <v>675</v>
      </c>
      <c s="18" r="B1"/>
    </row>
    <row customHeight="1" r="2" ht="12.75">
      <c t="str" s="18" r="A2">
        <f>'Hypothèses'!B22</f>
        <v>Cout de production de Module de Base, HT (dégressif)</v>
      </c>
      <c t="str" s="18" r="B2">
        <f>'Hypothèses'!C22</f>
        <v>€ 16 000,00</v>
      </c>
    </row>
    <row customHeight="1" r="3" ht="12.75">
      <c t="str" s="18" r="A3">
        <f>'Hypothèses'!B23</f>
        <v>Cout d'équipment de Module de Base HT</v>
      </c>
      <c t="str" s="18" r="B3">
        <f>'Hypothèses'!C23</f>
        <v>€ 4 100,00</v>
      </c>
    </row>
    <row customHeight="1" r="4" ht="12.75">
      <c t="str" s="18" r="A4">
        <f>'Hypothèses'!B24</f>
        <v>Transport, Installation, Connexion (TIC) de Senior Cottage sur place HT</v>
      </c>
      <c t="str" s="18" r="B4">
        <f>'Hypothèses'!C24</f>
        <v>€ 6 050,00</v>
      </c>
    </row>
    <row customHeight="1" r="5" ht="12.75">
      <c t="s" s="18" r="A5">
        <v>676</v>
      </c>
      <c t="str" s="165" r="B5">
        <f>'Hypothèses'!C3-'Hypothèses'!C4</f>
        <v>€ 8 331,67</v>
      </c>
    </row>
    <row customHeight="1" r="6" ht="12.75">
      <c t="s" s="18" r="A6">
        <v>677</v>
      </c>
      <c t="str" s="165" r="B6">
        <f>'Hypothèses'!C4-'Hypothèses'!C25</f>
        <v>€ 15 508,33</v>
      </c>
    </row>
    <row customHeight="1" r="7" ht="12.75">
      <c s="18" r="A7"/>
      <c s="18" r="B7"/>
    </row>
    <row customHeight="1" r="8" ht="12.75">
      <c t="s" s="18" r="A8">
        <v>678</v>
      </c>
      <c t="str" s="18" r="B8">
        <f>SUM(B2:B6)</f>
        <v>€ 49 990,00</v>
      </c>
    </row>
    <row customHeight="1" r="9" ht="12.75">
      <c s="18" r="A9"/>
      <c s="18" r="B9"/>
    </row>
    <row customHeight="1" r="10" ht="12.75">
      <c s="18" r="A10"/>
      <c s="18" r="B10"/>
    </row>
    <row customHeight="1" r="11" ht="12.75">
      <c t="s" s="18" r="A11">
        <v>679</v>
      </c>
      <c s="18" r="B11"/>
    </row>
    <row customHeight="1" r="12" ht="12.75">
      <c t="str" s="18" r="A12">
        <f>'Annuel (OLD)'!A5</f>
        <v>Ventes de Modules de Base, HT</v>
      </c>
      <c t="str" s="165" r="B12">
        <f>'Annuel (OLD)'!M5</f>
        <v/>
      </c>
    </row>
    <row customHeight="1" r="13" ht="12.75">
      <c t="str" s="18" r="A13">
        <f>'Annuel (OLD)'!A6</f>
        <v>Ventes des KITs Meublé, HT</v>
      </c>
      <c t="str" s="165" r="B13">
        <f>'Annuel (OLD)'!M6</f>
        <v/>
      </c>
    </row>
    <row customHeight="1" r="14" ht="12.75">
      <c t="str" s="18" r="A14">
        <f>'Annuel (OLD)'!A7</f>
        <v>Ventes des Installations, HT</v>
      </c>
      <c t="str" s="165" r="B14">
        <f>'Annuel (OLD)'!M7</f>
        <v/>
      </c>
    </row>
    <row customHeight="1" r="15" ht="12.75">
      <c t="str" s="18" r="A15">
        <f>'Annuel (OLD)'!A9</f>
        <v>Ventes de Maintenance additionnelle, HT</v>
      </c>
      <c t="str" s="165" r="B15">
        <f>'Annuel (OLD)'!M9</f>
        <v/>
      </c>
    </row>
    <row customHeight="1" r="16" ht="12.75">
      <c t="str" s="27" r="A16">
        <f>'Annuel (OLD)'!A10</f>
        <v>Ventes, C.A. HT. (TOTAL REVENUE HT)</v>
      </c>
      <c t="str" s="241" r="B16">
        <f>'Annuel (OLD)'!M10</f>
        <v/>
      </c>
      <c s="27" r="C16"/>
      <c s="27" r="D16"/>
      <c s="27" r="E16"/>
      <c s="27" r="F16"/>
      <c s="27" r="G16"/>
      <c s="27" r="H16"/>
      <c s="27" r="I16"/>
      <c s="27" r="J16"/>
      <c s="27" r="K16"/>
      <c s="27" r="L16"/>
      <c s="27" r="M16"/>
      <c s="27" r="N16"/>
      <c s="27" r="O16"/>
      <c s="27" r="P16"/>
      <c s="27" r="Q16"/>
      <c s="27" r="R16"/>
      <c s="27" r="S16"/>
      <c s="27" r="T16"/>
    </row>
    <row customHeight="1" r="17" ht="12.75">
      <c s="18" r="A17"/>
      <c s="18" r="B17"/>
    </row>
    <row customHeight="1" r="18" ht="12.75">
      <c s="18" r="A18"/>
      <c s="18" r="B18"/>
    </row>
    <row customHeight="1" r="19" ht="12.75">
      <c t="str" s="18" r="A19">
        <f>'Annuel (OLD)'!A11</f>
        <v>Coût des Modules de Base, HT</v>
      </c>
      <c t="str" s="165" r="B19">
        <f>'Annuel (OLD)'!M11</f>
        <v/>
      </c>
    </row>
    <row customHeight="1" r="20" ht="12.75">
      <c t="str" s="18" r="A20">
        <f>'Annuel (OLD)'!A12</f>
        <v>Coût des Kits Meublés, HT</v>
      </c>
      <c t="str" s="165" r="B20">
        <f>'Annuel (OLD)'!M12</f>
        <v/>
      </c>
    </row>
    <row customHeight="1" r="21" ht="12.75">
      <c t="str" s="18" r="A21">
        <f>'Annuel (OLD)'!A13</f>
        <v>Coût des Installations, HT</v>
      </c>
      <c t="str" s="165" r="B21">
        <f>'Annuel (OLD)'!M13</f>
        <v/>
      </c>
    </row>
    <row customHeight="1" r="22" ht="12.75">
      <c t="str" s="18" r="A22">
        <f>'Annuel (OLD)'!A14</f>
        <v>Coût de Maintenance Hors garantie, HT</v>
      </c>
      <c t="str" s="165" r="B22">
        <f>'Annuel (OLD)'!M14</f>
        <v/>
      </c>
    </row>
    <row customHeight="1" r="23" ht="12.75">
      <c t="str" s="18" r="A23">
        <f>'Annuel (OLD)'!A15</f>
        <v>Coût de Maintenance Additionnelle, HT</v>
      </c>
      <c t="str" s="165" r="B23">
        <f>'Annuel (OLD)'!M15</f>
        <v/>
      </c>
    </row>
    <row customHeight="1" r="24" ht="12.75">
      <c t="str" s="18" r="A24">
        <f>'Annuel (OLD)'!A16</f>
        <v>TOTAL COUTS global du Module de Base</v>
      </c>
      <c t="str" s="165" r="B24">
        <f>'Annuel (OLD)'!M16</f>
        <v/>
      </c>
    </row>
    <row customHeight="1" r="25" ht="12.75">
      <c t="str" s="18" r="A25">
        <f ref="A25:B25" t="shared" si="1">Annuel!#REF!</f>
        <v>#ERROR!</v>
      </c>
      <c t="str" s="165" r="B25">
        <f t="shared" si="1"/>
        <v>#ERROR!</v>
      </c>
    </row>
    <row customHeight="1" r="26" ht="12.75">
      <c t="str" s="18" r="A26">
        <f>'Annuel (OLD)'!A17</f>
        <v>MARGE BRUTE</v>
      </c>
      <c t="str" s="165" r="B26">
        <f>'Annuel (OLD)'!M17</f>
        <v/>
      </c>
    </row>
    <row customHeight="1" r="27" ht="12.75">
      <c t="str" s="18" r="A27">
        <f ref="A27:B27" t="shared" si="2">Annuel!#REF!</f>
        <v>#ERROR!</v>
      </c>
      <c t="str" s="165" r="B27">
        <f t="shared" si="2"/>
        <v>#ERROR!</v>
      </c>
    </row>
    <row customHeight="1" r="28" ht="12.75">
      <c t="str" s="18" r="A28">
        <f>'Annuel (OLD)'!A18</f>
        <v>Cout des ventes et de marketing</v>
      </c>
      <c t="str" s="165" r="B28">
        <f>'Annuel (OLD)'!M18</f>
        <v/>
      </c>
    </row>
    <row customHeight="1" r="29" ht="12.75">
      <c t="str" s="18" r="A29">
        <f>'Annuel (OLD)'!A19</f>
        <v>Coûts administratifs</v>
      </c>
      <c t="str" s="165" r="B29">
        <f>'Annuel (OLD)'!M19</f>
        <v/>
      </c>
    </row>
    <row customHeight="1" r="30" ht="12.75">
      <c t="str" s="18" r="A30">
        <f>'Annuel (OLD)'!A20</f>
        <v>LOYERS CBMAT</v>
      </c>
      <c t="str" s="165" r="B30">
        <f>'Annuel (OLD)'!M20</f>
        <v/>
      </c>
    </row>
    <row customHeight="1" r="31" ht="12.75">
      <c t="str" s="18" r="A31">
        <f>'Annuel (OLD)'!A21</f>
        <v>EBE (EBITDA)</v>
      </c>
      <c t="str" s="165" r="B31">
        <f>'Annuel (OLD)'!M21</f>
        <v/>
      </c>
    </row>
    <row customHeight="1" r="32" ht="12.75">
      <c t="str" s="18" r="A32">
        <f>'Annuel (OLD)'!A22</f>
        <v>IS</v>
      </c>
      <c t="str" s="165" r="B32">
        <f>'Annuel (OLD)'!M22</f>
        <v/>
      </c>
    </row>
    <row customHeight="1" r="33" ht="12.75">
      <c t="str" s="18" r="A33">
        <f>'Annuel (OLD)'!A23</f>
        <v>Résultat net (Net income)</v>
      </c>
      <c t="str" s="165" r="B33">
        <f>'Annuel (OLD)'!M23</f>
        <v/>
      </c>
    </row>
    <row customHeight="1" r="34" ht="12.75">
      <c s="18" r="A34"/>
      <c s="18" r="B34"/>
    </row>
    <row customHeight="1" r="35" ht="12.75">
      <c s="18" r="A35"/>
      <c s="18" r="B35"/>
    </row>
    <row customHeight="1" r="36" ht="12.75">
      <c s="18" r="A36"/>
      <c s="18" r="B36"/>
    </row>
    <row customHeight="1" r="37" ht="12.75">
      <c t="str" s="18" r="A37">
        <f ref="A37:B37" t="shared" si="3">A16</f>
        <v>Ventes, C.A. HT. (TOTAL REVENUE HT)</v>
      </c>
      <c t="str" s="165" r="B37">
        <f t="shared" si="3"/>
        <v/>
      </c>
    </row>
    <row customHeight="1" r="38" ht="12.75">
      <c t="str" s="18" r="A38">
        <f>A24</f>
        <v>TOTAL COUTS global du Module de Base</v>
      </c>
      <c t="str" s="165" r="B38">
        <f>-B24</f>
        <v>€ 0,00</v>
      </c>
    </row>
    <row customHeight="1" r="39" ht="12.75">
      <c t="str" s="18" r="A39">
        <f ref="A39:A40" t="shared" si="4">A28</f>
        <v>Cout des ventes et de marketing</v>
      </c>
      <c t="str" s="165" r="B39">
        <f ref="B39:B40" t="shared" si="5">-B28</f>
        <v>€ 0,00</v>
      </c>
    </row>
    <row customHeight="1" r="40" ht="12.75">
      <c t="str" s="18" r="A40">
        <f t="shared" si="4"/>
        <v>Coûts administratifs</v>
      </c>
      <c t="str" s="165" r="B40">
        <f t="shared" si="5"/>
        <v>€ 0,00</v>
      </c>
    </row>
    <row customHeight="1" r="41" ht="12.75">
      <c t="str" s="18" r="A41">
        <f ref="A41:A42" t="shared" si="6">A32</f>
        <v>IS</v>
      </c>
      <c t="str" s="165" r="B41">
        <f>-B32</f>
        <v>€ 0,00</v>
      </c>
    </row>
    <row customHeight="1" r="42" ht="12.75">
      <c t="str" s="18" r="A42">
        <f t="shared" si="6"/>
        <v>Résultat net (Net income)</v>
      </c>
      <c t="str" s="165" r="B42">
        <f>B33</f>
        <v/>
      </c>
    </row>
    <row customHeight="1" r="43" ht="12.75">
      <c s="18" r="A43"/>
      <c s="18" r="B43"/>
    </row>
    <row customHeight="1" r="44" ht="12.75">
      <c s="18" r="A44"/>
      <c s="18" r="B44"/>
    </row>
    <row customHeight="1" r="45" ht="12.75">
      <c s="18" r="A45"/>
      <c s="18" r="B45"/>
    </row>
    <row customHeight="1" r="46" ht="12.75">
      <c t="str" s="18" r="A46">
        <f>'Annuel (OLD)'!A1</f>
        <v/>
      </c>
      <c t="str" s="18" r="B46">
        <f>'Annuel (OLD)'!B1</f>
        <v>2013</v>
      </c>
      <c t="str" s="18" r="C46">
        <f>'Annuel (OLD)'!D1</f>
        <v>2014</v>
      </c>
      <c t="str" s="18" r="D46">
        <f>'Annuel (OLD)'!F1</f>
        <v>2015</v>
      </c>
      <c t="str" s="18" r="E46">
        <f>'Annuel (OLD)'!H1</f>
        <v>2016</v>
      </c>
      <c t="str" s="18" r="F46">
        <f>'Annuel (OLD)'!J1</f>
        <v>2017</v>
      </c>
    </row>
    <row customHeight="1" r="47" ht="12.75">
      <c t="str" s="18" r="A47">
        <f>'Annuel (OLD)'!A10</f>
        <v>Ventes, C.A. HT. (TOTAL REVENUE HT)</v>
      </c>
      <c t="str" s="165" r="B47">
        <f>'Annuel (OLD)'!B10</f>
        <v>€ 42 741,33</v>
      </c>
      <c t="str" s="165" r="C47">
        <f>'Annuel (OLD)'!D10</f>
        <v>€ 1 006 186,67</v>
      </c>
      <c t="str" s="165" r="D47">
        <f>'Annuel (OLD)'!F10</f>
        <v>€ 3 906 525,00</v>
      </c>
      <c t="str" s="165" r="E47">
        <f>'Annuel (OLD)'!H10</f>
        <v>€ 8 180 350,00</v>
      </c>
      <c t="str" s="165" r="F47">
        <f>'Annuel (OLD)'!J10</f>
        <v>€ 11 697 566,67</v>
      </c>
    </row>
    <row customHeight="1" r="48" ht="12.75">
      <c t="str" s="18" r="A48">
        <f>'Annuel (OLD)'!A23</f>
        <v>Résultat net (Net income)</v>
      </c>
      <c t="str" s="165" r="B48">
        <f>'Annuel (OLD)'!B23</f>
        <v>-€ 24 898,67</v>
      </c>
      <c t="str" s="165" r="C48">
        <f>'Annuel (OLD)'!D23</f>
        <v>€ 101 134,27</v>
      </c>
      <c t="str" s="165" r="D48">
        <f>'Annuel (OLD)'!F23</f>
        <v>€ 422 741,19</v>
      </c>
      <c t="str" s="165" r="E48">
        <f>'Annuel (OLD)'!H23</f>
        <v>€ 1 169 975,44</v>
      </c>
      <c t="str" s="165" r="F48">
        <f>'Annuel (OLD)'!J23</f>
        <v>€ 1 690 375,61</v>
      </c>
    </row>
    <row customHeight="1" r="49" ht="12.75">
      <c t="str" s="18" r="A49">
        <f>'Annuel (OLD)'!A26</f>
        <v>Flux de Trésorerie internes</v>
      </c>
      <c t="str" s="165" r="B49">
        <f>'Annuel (OLD)'!B26</f>
        <v>-€ 124 898,67</v>
      </c>
      <c t="str" s="165" r="C49">
        <f>'Annuel (OLD)'!D26</f>
        <v>-€ 186 875,73</v>
      </c>
      <c t="str" s="165" r="D49">
        <f>'Annuel (OLD)'!F26</f>
        <v>€ 378 637,19</v>
      </c>
      <c t="str" s="165" r="E49">
        <f>'Annuel (OLD)'!H26</f>
        <v>€ 971 262,94</v>
      </c>
      <c t="str" s="165" r="F49">
        <f>'Annuel (OLD)'!J26</f>
        <v>€ 1 548 000,61</v>
      </c>
    </row>
    <row customHeight="1" r="50" ht="12.75">
      <c s="18" r="A50"/>
      <c s="18" r="B50"/>
    </row>
    <row customHeight="1" r="51" ht="12.75">
      <c s="18" r="A51"/>
      <c s="18" r="B51"/>
    </row>
    <row customHeight="1" r="52" ht="12.75">
      <c s="18" r="A52"/>
      <c s="18" r="B52"/>
    </row>
    <row customHeight="1" r="53" ht="12.75">
      <c s="18" r="A53"/>
      <c s="18" r="B53"/>
    </row>
    <row customHeight="1" r="54" ht="12.75">
      <c s="18" r="A54"/>
      <c s="18" r="B54"/>
    </row>
    <row customHeight="1" r="55" ht="12.75">
      <c s="18" r="A55"/>
      <c t="str" s="18" r="B55">
        <f>'Annuel (OLD)'!B1</f>
        <v>2013</v>
      </c>
      <c t="str" s="18" r="C55">
        <f>'Annuel (OLD)'!D1</f>
        <v>2014</v>
      </c>
      <c t="str" s="18" r="D55">
        <f>'Annuel (OLD)'!F1</f>
        <v>2015</v>
      </c>
      <c t="str" s="18" r="E55">
        <f>'Annuel (OLD)'!H1</f>
        <v>2016</v>
      </c>
      <c t="str" s="18" r="F55">
        <f>'Annuel (OLD)'!J1</f>
        <v>2017</v>
      </c>
    </row>
    <row customHeight="1" r="56" ht="15.75">
      <c t="str" s="40" r="A56">
        <f>'Annuel (OLD)'!A23</f>
        <v>Résultat net (Net income)</v>
      </c>
      <c t="str" s="40" r="B56">
        <f>'Annuel (OLD)'!B23</f>
        <v>-€ 24 898,67</v>
      </c>
      <c t="str" s="40" r="C56">
        <f>'Annuel (OLD)'!D23</f>
        <v>€ 101 134,27</v>
      </c>
      <c t="str" s="40" r="D56">
        <f>'Annuel (OLD)'!F23</f>
        <v>€ 422 741,19</v>
      </c>
      <c t="str" s="40" r="E56">
        <f>'Annuel (OLD)'!H23</f>
        <v>€ 1 169 975,44</v>
      </c>
      <c t="str" s="40" r="F56">
        <f>'Annuel (OLD)'!J23</f>
        <v>€ 1 690 375,61</v>
      </c>
      <c s="40" r="G56"/>
      <c s="40" r="H56"/>
      <c s="40" r="I56"/>
      <c s="40" r="J56"/>
      <c s="40" r="K56"/>
      <c s="40" r="L56"/>
      <c s="40" r="M56"/>
      <c s="40" r="N56"/>
      <c s="40" r="O56"/>
      <c s="40" r="P56"/>
      <c s="40" r="Q56"/>
      <c s="40" r="R56"/>
      <c s="40" r="S56"/>
      <c s="40" r="T56"/>
    </row>
    <row customHeight="1" r="57" ht="15.75">
      <c t="str" s="40" r="A57">
        <f>'Annuel (OLD)'!A24</f>
        <v>DEPENSES D'INVESTISSEMENT (CAPEX)  - R&amp;D et PROTOTYPE</v>
      </c>
      <c t="str" s="40" r="B57">
        <f>'Annuel (OLD)'!B24</f>
        <v>-€ 100 000,00</v>
      </c>
      <c t="str" s="40" r="C57">
        <f>'Annuel (OLD)'!D24</f>
        <v>-€ 100 000,00</v>
      </c>
      <c t="str" s="40" r="D57">
        <f>'Annuel (OLD)'!F24</f>
        <v/>
      </c>
      <c t="str" s="40" r="E57">
        <f>'Annuel (OLD)'!H24</f>
        <v/>
      </c>
      <c t="str" s="40" r="F57">
        <f>'Annuel (OLD)'!J24</f>
        <v/>
      </c>
      <c s="40" r="G57"/>
      <c s="40" r="H57"/>
      <c s="40" r="I57"/>
      <c s="40" r="J57"/>
      <c s="40" r="K57"/>
      <c s="40" r="L57"/>
      <c s="40" r="M57"/>
      <c s="40" r="N57"/>
      <c s="40" r="O57"/>
      <c s="40" r="P57"/>
      <c s="40" r="Q57"/>
      <c s="40" r="R57"/>
      <c s="40" r="S57"/>
      <c s="40" r="T57"/>
    </row>
    <row customHeight="1" r="58" ht="15.75">
      <c t="str" s="40" r="A58">
        <f>'Annuel (OLD)'!A25</f>
        <v>Variation du Fonds de Roulement</v>
      </c>
      <c t="str" s="40" r="B58">
        <f>'Annuel (OLD)'!B25</f>
        <v/>
      </c>
      <c t="str" s="40" r="C58">
        <f>'Annuel (OLD)'!D25</f>
        <v>-€ 188 010,00</v>
      </c>
      <c t="str" s="40" r="D58">
        <f>'Annuel (OLD)'!F25</f>
        <v>-€ 44 104,00</v>
      </c>
      <c t="str" s="40" r="E58">
        <f>'Annuel (OLD)'!H25</f>
        <v>-€ 198 712,50</v>
      </c>
      <c t="str" s="40" r="F58">
        <f>'Annuel (OLD)'!J25</f>
        <v>-€ 142 375,00</v>
      </c>
      <c s="40" r="G58"/>
      <c s="40" r="H58"/>
      <c s="40" r="I58"/>
      <c s="40" r="J58"/>
      <c s="40" r="K58"/>
      <c s="40" r="L58"/>
      <c s="40" r="M58"/>
      <c s="40" r="N58"/>
      <c s="40" r="O58"/>
      <c s="40" r="P58"/>
      <c s="40" r="Q58"/>
      <c s="40" r="R58"/>
      <c s="40" r="S58"/>
      <c s="40" r="T58"/>
    </row>
    <row customHeight="1" r="59" ht="15.75">
      <c t="str" s="40" r="A59">
        <f>'Annuel (OLD)'!A26</f>
        <v>Flux de Trésorerie internes</v>
      </c>
      <c t="str" s="40" r="B59">
        <f>'Annuel (OLD)'!B26</f>
        <v>-€ 124 898,67</v>
      </c>
      <c t="str" s="40" r="C59">
        <f>'Annuel (OLD)'!D26</f>
        <v>-€ 186 875,73</v>
      </c>
      <c t="str" s="40" r="D59">
        <f>'Annuel (OLD)'!F26</f>
        <v>€ 378 637,19</v>
      </c>
      <c t="str" s="40" r="E59">
        <f>'Annuel (OLD)'!H26</f>
        <v>€ 971 262,94</v>
      </c>
      <c t="str" s="40" r="F59">
        <f>'Annuel (OLD)'!J26</f>
        <v>€ 1 548 000,61</v>
      </c>
      <c s="40" r="G59"/>
      <c s="40" r="H59"/>
      <c s="40" r="I59"/>
      <c s="40" r="J59"/>
      <c s="40" r="K59"/>
      <c s="40" r="L59"/>
      <c s="40" r="M59"/>
      <c s="40" r="N59"/>
      <c s="40" r="O59"/>
      <c s="40" r="P59"/>
      <c s="40" r="Q59"/>
      <c s="40" r="R59"/>
      <c s="40" r="S59"/>
      <c s="40" r="T59"/>
    </row>
    <row customHeight="1" r="60" ht="15.75">
      <c t="str" s="40" r="A60">
        <f>'Annuel (OLD)'!A27</f>
        <v>EXIT (EBITDA*6)</v>
      </c>
      <c t="str" s="40" r="B60">
        <f>'Annuel (OLD)'!B27</f>
        <v/>
      </c>
      <c t="str" s="40" r="C60">
        <f>'Annuel (OLD)'!D27</f>
        <v/>
      </c>
      <c t="str" s="40" r="D60">
        <f>'Annuel (OLD)'!F27</f>
        <v/>
      </c>
      <c t="str" s="40" r="E60">
        <f>'Annuel (OLD)'!H27</f>
        <v/>
      </c>
      <c t="str" s="40" r="F60">
        <f>'Annuel (OLD)'!J27</f>
        <v>€ 15 137 692,00</v>
      </c>
      <c s="40" r="G60"/>
      <c s="40" r="H60"/>
      <c s="40" r="I60"/>
      <c s="40" r="J60"/>
      <c s="40" r="K60"/>
      <c s="40" r="L60"/>
      <c s="40" r="M60"/>
      <c s="40" r="N60"/>
      <c s="40" r="O60"/>
      <c s="40" r="P60"/>
      <c s="40" r="Q60"/>
      <c s="40" r="R60"/>
      <c s="40" r="S60"/>
      <c s="40" r="T60"/>
    </row>
    <row customHeight="1" r="61" ht="15.75">
      <c t="str" s="40" r="A61">
        <f>'Annuel (OLD)'!A28</f>
        <v>CFE Cash Flow to Equity</v>
      </c>
      <c t="str" s="40" r="B61">
        <f>'Annuel (OLD)'!B28</f>
        <v>-€ 124 898,67</v>
      </c>
      <c t="str" s="40" r="C61">
        <f>'Annuel (OLD)'!D28</f>
        <v>-€ 186 875,73</v>
      </c>
      <c t="str" s="40" r="D61">
        <f>'Annuel (OLD)'!F28</f>
        <v>€ 378 637,19</v>
      </c>
      <c t="str" s="40" r="E61">
        <f>'Annuel (OLD)'!H28</f>
        <v>€ 971 262,94</v>
      </c>
      <c t="str" s="40" r="F61">
        <f>'Annuel (OLD)'!J28</f>
        <v>€ 16 685 692,61</v>
      </c>
      <c s="40" r="G61"/>
      <c s="40" r="H61"/>
      <c s="40" r="I61"/>
      <c s="40" r="J61"/>
      <c s="40" r="K61"/>
      <c s="40" r="L61"/>
      <c s="40" r="M61"/>
      <c s="40" r="N61"/>
      <c s="40" r="O61"/>
      <c s="40" r="P61"/>
      <c s="40" r="Q61"/>
      <c s="40" r="R61"/>
      <c s="40" r="S61"/>
      <c s="40" r="T61"/>
    </row>
    <row customHeight="1" r="62" ht="12.75">
      <c t="str" s="18" r="A62">
        <f ref="A62:A64" t="shared" si="7">Annuel!#REF!</f>
        <v>#ERROR!</v>
      </c>
      <c s="18" r="B62"/>
    </row>
    <row customHeight="1" r="63" ht="12.75">
      <c t="str" s="169" r="A63">
        <f t="shared" si="7"/>
        <v>#ERROR!</v>
      </c>
      <c t="str" s="169" r="B63">
        <f ref="B63:B64" t="shared" si="8">Annuel!#REF!</f>
        <v>#ERROR!</v>
      </c>
    </row>
    <row customHeight="1" r="64" ht="12.75">
      <c t="str" s="18" r="A64">
        <f t="shared" si="7"/>
        <v>#ERROR!</v>
      </c>
      <c t="str" s="18" r="B64">
        <f t="shared" si="8"/>
        <v>#ERROR!</v>
      </c>
      <c t="str" s="18" r="C64">
        <f ref="C64:D64" t="shared" si="9">Annuel!#REF!</f>
        <v>#ERROR!</v>
      </c>
      <c t="str" s="169" r="D64">
        <f t="shared" si="9"/>
        <v>#ERROR!</v>
      </c>
    </row>
    <row customHeight="1" r="65" ht="12.75">
      <c s="18" r="A65"/>
      <c s="18" r="B65"/>
    </row>
    <row customHeight="1" r="66" ht="12.75">
      <c s="18" r="A66"/>
      <c s="18" r="B66"/>
    </row>
    <row customHeight="1" r="67" ht="12.75">
      <c s="18" r="A67"/>
      <c s="18" r="B67"/>
    </row>
    <row customHeight="1" r="68" ht="12.75">
      <c s="18" r="A68"/>
      <c s="18" r="B68"/>
    </row>
    <row customHeight="1" r="69" ht="12.75">
      <c s="18" r="A69"/>
      <c t="str" s="18" r="B69">
        <f ref="B69:F69" t="shared" si="10">B55</f>
        <v>2013</v>
      </c>
      <c t="str" s="18" r="C69">
        <f t="shared" si="10"/>
        <v>2014</v>
      </c>
      <c t="str" s="18" r="D69">
        <f t="shared" si="10"/>
        <v>2015</v>
      </c>
      <c t="str" s="18" r="E69">
        <f t="shared" si="10"/>
        <v>2016</v>
      </c>
      <c t="str" s="18" r="F69">
        <f t="shared" si="10"/>
        <v>2017</v>
      </c>
    </row>
    <row customHeight="1" r="70" ht="15.75">
      <c t="str" s="40" r="A70">
        <f>'Annuel (OLD)'!A23</f>
        <v>Résultat net (Net income)</v>
      </c>
      <c t="str" s="40" r="B70">
        <f>'Annuel (OLD)'!B23</f>
        <v>-€ 24 898,67</v>
      </c>
      <c t="str" s="40" r="C70">
        <f>'Annuel (OLD)'!D23</f>
        <v>€ 101 134,27</v>
      </c>
      <c t="str" s="40" r="D70">
        <f>'Annuel (OLD)'!F23</f>
        <v>€ 422 741,19</v>
      </c>
      <c t="str" s="40" r="E70">
        <f>'Annuel (OLD)'!H23</f>
        <v>€ 1 169 975,44</v>
      </c>
      <c t="str" s="40" r="F70">
        <f>'Annuel (OLD)'!J23</f>
        <v>€ 1 690 375,61</v>
      </c>
      <c s="40" r="G70"/>
      <c s="40" r="H70"/>
      <c s="40" r="I70"/>
      <c s="40" r="J70"/>
      <c s="40" r="K70"/>
      <c s="40" r="L70"/>
      <c s="40" r="M70"/>
      <c s="40" r="N70"/>
      <c s="40" r="O70"/>
      <c s="40" r="P70"/>
      <c s="40" r="Q70"/>
      <c s="40" r="R70"/>
      <c s="40" r="S70"/>
      <c s="40" r="T70"/>
    </row>
    <row customHeight="1" r="71" ht="15.75">
      <c t="str" s="40" r="A71">
        <f>'Annuel (OLD)'!A28</f>
        <v>CFE Cash Flow to Equity</v>
      </c>
      <c t="str" s="40" r="B71">
        <f>'Annuel (OLD)'!B28</f>
        <v>-€ 124 898,67</v>
      </c>
      <c t="str" s="40" r="C71">
        <f>'Annuel (OLD)'!D28</f>
        <v>-€ 186 875,73</v>
      </c>
      <c t="str" s="40" r="D71">
        <f>'Annuel (OLD)'!F28</f>
        <v>€ 378 637,19</v>
      </c>
      <c t="str" s="40" r="E71">
        <f>'Annuel (OLD)'!H28</f>
        <v>€ 971 262,94</v>
      </c>
      <c t="str" s="40" r="F71">
        <f>'Annuel (OLD)'!J28</f>
        <v>€ 16 685 692,61</v>
      </c>
      <c s="40" r="G71"/>
      <c s="40" r="H71"/>
      <c s="40" r="I71"/>
      <c s="40" r="J71"/>
      <c s="40" r="K71"/>
      <c s="40" r="L71"/>
      <c s="40" r="M71"/>
      <c s="40" r="N71"/>
      <c s="40" r="O71"/>
      <c s="40" r="P71"/>
      <c s="40" r="Q71"/>
      <c s="40" r="R71"/>
      <c s="40" r="S71"/>
      <c s="40" r="T71"/>
    </row>
    <row customHeight="1" r="72" ht="15.75">
      <c t="str" s="40" r="A72">
        <f>'Annuel (OLD)'!A29</f>
        <v>Flux de trésorerie investisseur</v>
      </c>
      <c t="str" s="40" r="B72">
        <f>'Annuel (OLD)'!B29</f>
        <v/>
      </c>
      <c t="str" s="40" r="C72">
        <f>'Annuel (OLD)'!D29</f>
        <v>#REF!</v>
      </c>
      <c t="str" s="40" r="D72">
        <f>'Annuel (OLD)'!F29</f>
        <v>#REF!</v>
      </c>
      <c t="str" s="40" r="E72">
        <f>'Annuel (OLD)'!H29</f>
        <v>#REF!</v>
      </c>
      <c t="str" s="40" r="F72">
        <f>'Annuel (OLD)'!J29</f>
        <v>#REF!</v>
      </c>
      <c s="40" r="G72"/>
      <c s="40" r="H72"/>
      <c s="40" r="I72"/>
      <c s="40" r="J72"/>
      <c s="40" r="K72"/>
      <c s="40" r="L72"/>
      <c s="40" r="M72"/>
      <c s="40" r="N72"/>
      <c s="40" r="O72"/>
      <c s="40" r="P72"/>
      <c s="40" r="Q72"/>
      <c s="40" r="R72"/>
      <c s="40" r="S72"/>
      <c s="40" r="T72"/>
    </row>
    <row customHeight="1" r="73" ht="12.75">
      <c t="str" s="18" r="A73">
        <f ref="A73:A77" t="shared" si="12">Annuel!#REF!</f>
        <v>#ERROR!</v>
      </c>
      <c s="18" r="B73"/>
      <c t="str" s="169" r="C73">
        <f ref="C73:F73" t="shared" si="11">Annuel!#REF!</f>
        <v>#ERROR!</v>
      </c>
      <c t="str" s="169" r="D73">
        <f t="shared" si="11"/>
        <v>#ERROR!</v>
      </c>
      <c t="str" s="18" r="E73">
        <f t="shared" si="11"/>
        <v>#ERROR!</v>
      </c>
      <c t="str" s="169" r="F73">
        <f t="shared" si="11"/>
        <v>#ERROR!</v>
      </c>
    </row>
    <row customHeight="1" r="74" ht="12.75">
      <c t="str" s="18" r="A74">
        <f t="shared" si="12"/>
        <v>#ERROR!</v>
      </c>
      <c t="str" s="169" r="B74">
        <f ref="B74:F74" t="shared" si="13">Annuel!#REF!</f>
        <v>#ERROR!</v>
      </c>
      <c t="str" s="169" r="C74">
        <f t="shared" si="13"/>
        <v>#ERROR!</v>
      </c>
      <c t="str" s="169" r="D74">
        <f t="shared" si="13"/>
        <v>#ERROR!</v>
      </c>
      <c t="str" s="18" r="E74">
        <f t="shared" si="13"/>
        <v>#ERROR!</v>
      </c>
      <c t="str" s="18" r="F74">
        <f t="shared" si="13"/>
        <v>#ERROR!</v>
      </c>
    </row>
    <row customHeight="1" r="75" ht="12.75">
      <c t="str" s="18" r="A75">
        <f t="shared" si="12"/>
        <v>#ERROR!</v>
      </c>
      <c s="18" r="B75"/>
      <c t="str" s="169" r="C75">
        <f ref="C75:D75" t="shared" si="14">Annuel!#REF!</f>
        <v>#ERROR!</v>
      </c>
      <c t="str" s="169" r="D75">
        <f t="shared" si="14"/>
        <v>#ERROR!</v>
      </c>
      <c t="str" s="169" r="F75">
        <f>Annuel!#REF!</f>
        <v>#ERROR!</v>
      </c>
    </row>
    <row customHeight="1" r="76" ht="12.75">
      <c t="str" s="18" r="A76">
        <f t="shared" si="12"/>
        <v>#ERROR!</v>
      </c>
      <c t="str" s="18" r="B76">
        <f ref="B76:D76" t="shared" si="15">Annuel!#REF!</f>
        <v>#ERROR!</v>
      </c>
      <c t="str" s="169" r="C76">
        <f t="shared" si="15"/>
        <v>#ERROR!</v>
      </c>
      <c t="str" s="169" r="D76">
        <f t="shared" si="15"/>
        <v>#ERROR!</v>
      </c>
      <c s="169" r="F76"/>
    </row>
    <row customHeight="1" r="77" ht="15.75">
      <c t="str" s="40" r="A77">
        <f t="shared" si="12"/>
        <v>#ERROR!</v>
      </c>
      <c s="18" r="B77"/>
    </row>
    <row customHeight="1" r="78" ht="12.75"/>
    <row customHeight="1" r="79" ht="12.75"/>
    <row customHeight="1" r="80" ht="12.75"/>
    <row customHeight="1" r="81" ht="12.75"/>
    <row customHeight="1" r="82" ht="12.75"/>
    <row customHeight="1" r="83" ht="12.75"/>
    <row customHeight="1" r="84" ht="12.75"/>
    <row customHeight="1" r="85" ht="12.75"/>
    <row customHeight="1" r="86" ht="12.75"/>
    <row customHeight="1" r="87" ht="12.75"/>
    <row customHeight="1" r="88" ht="12.75"/>
    <row customHeight="1" r="89" ht="12.75"/>
    <row customHeight="1" r="90" ht="12.75"/>
    <row customHeight="1" r="91" ht="12.75"/>
    <row customHeight="1" r="92" ht="12.75"/>
    <row customHeight="1" r="93" ht="12.75"/>
    <row customHeight="1" r="94" ht="12.75"/>
    <row customHeight="1" r="95" ht="12.75"/>
    <row customHeight="1" r="96" ht="12.75"/>
    <row customHeight="1" r="97" ht="12.75"/>
    <row customHeight="1" r="98" ht="12.75"/>
    <row customHeight="1" r="99" ht="12.75"/>
    <row customHeight="1" r="100" ht="12.75"/>
    <row customHeight="1" r="101" ht="12.75"/>
    <row customHeight="1" r="102" ht="12.75"/>
    <row customHeight="1" r="103" ht="12.75"/>
    <row customHeight="1" r="104" ht="12.75"/>
    <row customHeight="1" r="105" ht="12.75"/>
    <row customHeight="1" r="106" ht="12.75"/>
    <row customHeight="1" r="107" ht="12.75"/>
    <row customHeight="1" r="108" ht="12.75"/>
    <row customHeight="1" r="109" ht="12.75"/>
    <row customHeight="1" r="110" ht="12.75"/>
    <row customHeight="1" r="111" ht="12.75"/>
    <row customHeight="1" r="112" ht="12.75"/>
    <row customHeight="1" r="113" ht="12.75"/>
    <row customHeight="1" r="114" ht="12.75"/>
    <row customHeight="1" r="115" ht="12.75"/>
    <row customHeight="1" r="116" ht="12.75"/>
    <row customHeight="1" r="117" ht="12.75"/>
    <row customHeight="1" r="118" ht="12.75"/>
    <row customHeight="1" r="119" ht="12.75"/>
    <row customHeight="1" r="120" ht="12.75"/>
    <row customHeight="1" r="121" ht="12.75"/>
    <row customHeight="1" r="122" ht="12.75"/>
    <row customHeight="1" r="123" ht="12.75"/>
    <row customHeight="1" r="124" ht="12.75"/>
    <row customHeight="1" r="125" ht="12.75"/>
    <row customHeight="1" r="126" ht="12.75"/>
    <row customHeight="1" r="127" ht="12.75"/>
    <row customHeight="1" r="128" ht="12.75"/>
    <row customHeight="1" r="129" ht="12.75"/>
    <row customHeight="1" r="130" ht="12.75"/>
    <row customHeight="1" r="131" ht="12.75"/>
    <row customHeight="1" r="132" ht="12.75"/>
  </sheetData>
  <conditionalFormatting sqref="A56 B56 C56 D56 E56 F56 G56 H56 I56 J56 K56 L56 M56 N56 O56 P56 Q56 R56 S56 T56 A57 B57 C57 D57 E57 F57 G57 H57 I57 J57 K57 L57 M57 N57 O57 P57 Q57 R57 S57 T57 A58 B58 C58 D58 E58 F58 G58 H58 I58 J58 K58 L58 M58 N58 O58 P58 Q58 R58 S58 T58 A59 B59 C59 D59 E59 F59 G59 H59 I59 J59 K59 L59 M59 N59 O59 P59 Q59 R59 S59 T59 A60 B60 C60 D60 E60 F60 G60 H60 I60 J60 K60 L60 M60 N60 O60 P60 Q60 R60 S60 T60 A61 B61 C61 D61 E61 F61 G61 H61 I61 J61 K61 L61 M61 N61 O61 P61 Q61 R61 S61 T61 A70 B70 C70 D70 E70 F70 G70 H70 I70 J70 K70 L70 M70 N70 O70 P70 Q70 R70 S70 T70 A71 B71 C71 D71 E71 F71 G71 H71 I71 J71 K71 L71 M71 N71 O71 P71 Q71 R71 S71 T71 A72 B72 C72 D72 E72 F72 G72 H72 I72 J72 K72 L72 M72 N72 O72 P72 Q72 R72 S72 T72 A77">
    <cfRule priority="1" type="cellIs" operator="lessThan" stopIfTrue="1" dxfId="1">
      <formula>0</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B3" activeCell="B3" pane="bottomLeft"/>
    </sheetView>
  </sheetViews>
  <sheetFormatPr customHeight="1" defaultColWidth="17.29" defaultRowHeight="15.75"/>
  <cols>
    <col min="1" customWidth="1" max="1" width="12.29"/>
    <col min="2" customWidth="1" max="2" width="84.14"/>
    <col min="3" customWidth="1" max="3" width="13.86"/>
    <col min="4" customWidth="1" max="4" width="12.86"/>
    <col min="5" customWidth="1" max="5" width="13.57"/>
    <col min="6" customWidth="1" max="6" width="11.0"/>
    <col min="7" customWidth="1" max="14" width="13.57"/>
  </cols>
  <sheetData>
    <row customHeight="1" r="1" ht="12.0">
      <c t="s" s="18" r="A1">
        <v>4</v>
      </c>
      <c s="18" r="B1"/>
      <c s="19" r="C1"/>
      <c s="20" r="D1"/>
      <c t="s" s="18" r="E1">
        <v>5</v>
      </c>
      <c t="s" s="18" r="F1">
        <v>6</v>
      </c>
      <c t="s" s="18" r="G1">
        <v>7</v>
      </c>
    </row>
    <row customHeight="1" r="2" ht="15.75">
      <c t="s" s="18" r="A2">
        <v>8</v>
      </c>
      <c t="s" s="21" r="B2">
        <v>9</v>
      </c>
      <c s="22" r="C2"/>
      <c s="23" r="D2"/>
      <c s="21" r="E2"/>
      <c s="21" r="F2"/>
      <c s="21" r="G2"/>
      <c s="21" r="H2"/>
      <c s="21" r="I2"/>
      <c s="21" r="J2"/>
      <c s="21" r="K2"/>
      <c s="21" r="L2"/>
      <c s="21" r="M2"/>
      <c s="21" r="N2"/>
    </row>
    <row customHeight="1" r="3" ht="15.75">
      <c t="s" s="18" r="A3">
        <v>10</v>
      </c>
      <c t="s" s="24" r="B3">
        <v>11</v>
      </c>
      <c s="25" r="C3">
        <v>49990.0</v>
      </c>
      <c s="20" r="D3"/>
      <c s="24" r="E3"/>
      <c s="24" r="F3"/>
      <c s="24" r="G3"/>
      <c t="s" s="24" r="H3">
        <v>12</v>
      </c>
      <c s="26" r="I3">
        <v>0.2</v>
      </c>
      <c s="24" r="J3"/>
      <c s="24" r="K3"/>
      <c s="24" r="L3"/>
      <c s="24" r="M3"/>
      <c s="24" r="N3"/>
    </row>
    <row customHeight="1" r="4" ht="15.75">
      <c t="s" s="27" r="A4">
        <v>13</v>
      </c>
      <c t="s" s="28" r="B4">
        <v>14</v>
      </c>
      <c t="str" s="29" r="C4">
        <f>C3/(1+$I$3)</f>
        <v>€ 41 658,33</v>
      </c>
      <c s="30" r="D4"/>
      <c s="28" r="E4"/>
      <c s="28" r="F4"/>
      <c s="28" r="G4"/>
      <c s="28" r="H4"/>
      <c s="28" r="I4"/>
      <c s="28" r="J4"/>
      <c s="28" r="K4"/>
      <c s="28" r="L4"/>
      <c s="28" r="M4"/>
      <c s="28" r="N4"/>
    </row>
    <row customHeight="1" r="5" ht="15.75">
      <c s="18" r="A5"/>
      <c s="24" r="B5"/>
      <c s="31" r="C5"/>
      <c s="20" r="D5"/>
      <c s="24" r="E5"/>
      <c s="24" r="F5"/>
      <c s="24" r="G5"/>
      <c s="24" r="H5"/>
      <c s="24" r="I5"/>
      <c s="24" r="J5"/>
      <c s="24" r="K5"/>
      <c s="24" r="L5"/>
      <c s="24" r="M5"/>
      <c s="24" r="N5"/>
    </row>
    <row customHeight="1" r="6" ht="15.75">
      <c t="s" s="18" r="A6">
        <v>15</v>
      </c>
      <c t="s" s="24" r="B6">
        <v>16</v>
      </c>
      <c t="str" s="31" r="C6">
        <f>(C29*(1+$I$3)*1.2)</f>
        <v>€ 7 776,00</v>
      </c>
      <c s="20" r="D6"/>
      <c s="24" r="E6"/>
      <c s="24" r="F6"/>
      <c s="24" r="G6"/>
      <c s="24" r="H6"/>
      <c s="24" r="I6"/>
      <c s="24" r="J6"/>
      <c s="24" r="K6"/>
      <c s="24" r="L6"/>
      <c s="24" r="M6"/>
      <c s="24" r="N6"/>
    </row>
    <row customHeight="1" r="7" ht="15.75">
      <c t="s" s="18" r="A7">
        <v>17</v>
      </c>
      <c t="s" s="24" r="B7">
        <v>18</v>
      </c>
      <c t="str" s="29" r="C7">
        <f>C6/(1+$I$3)</f>
        <v>€ 6 480,00</v>
      </c>
      <c s="20" r="D7"/>
      <c s="24" r="E7"/>
      <c s="24" r="F7"/>
      <c s="24" r="G7"/>
      <c s="24" r="H7"/>
      <c s="24" r="I7"/>
      <c s="24" r="J7"/>
      <c s="24" r="K7"/>
      <c s="24" r="L7"/>
      <c s="24" r="M7"/>
      <c s="24" r="N7"/>
    </row>
    <row customHeight="1" r="8" ht="15.75">
      <c s="18" r="A8"/>
      <c t="s" s="24" r="B8">
        <v>19</v>
      </c>
      <c s="26" r="C8">
        <v>0.1</v>
      </c>
      <c s="20" r="D8"/>
      <c s="24" r="E8"/>
      <c s="24" r="F8"/>
      <c s="24" r="G8"/>
      <c s="24" r="H8"/>
      <c s="24" r="I8"/>
      <c s="24" r="J8"/>
      <c s="24" r="K8"/>
      <c s="24" r="L8"/>
      <c s="24" r="M8"/>
      <c s="24" r="N8"/>
    </row>
    <row customHeight="1" r="9" ht="15.75">
      <c s="18" r="A9"/>
      <c s="24" r="B9"/>
      <c s="31" r="C9"/>
      <c s="20" r="D9"/>
      <c s="24" r="E9"/>
      <c s="24" r="F9"/>
      <c s="24" r="G9"/>
      <c s="24" r="H9"/>
      <c s="24" r="I9"/>
      <c s="24" r="J9"/>
      <c s="24" r="K9"/>
      <c s="24" r="L9"/>
      <c s="24" r="M9"/>
      <c s="24" r="N9"/>
    </row>
    <row customHeight="1" r="10" ht="15.75">
      <c t="s" s="18" r="A10">
        <v>20</v>
      </c>
      <c t="s" s="24" r="B10">
        <v>21</v>
      </c>
      <c s="25" r="C10">
        <v>4020.0</v>
      </c>
      <c s="20" r="D10"/>
      <c s="24" r="E10"/>
      <c s="24" r="F10"/>
      <c s="24" r="G10"/>
      <c s="24" r="H10"/>
      <c s="24" r="I10"/>
      <c s="24" r="J10"/>
      <c s="24" r="K10"/>
      <c s="24" r="L10"/>
      <c s="24" r="M10"/>
      <c s="24" r="N10"/>
    </row>
    <row customHeight="1" r="11" ht="15.75">
      <c t="s" s="18" r="A11">
        <v>22</v>
      </c>
      <c t="s" s="24" r="B11">
        <v>23</v>
      </c>
      <c t="str" s="32" r="C11">
        <f>C10/(1+$I$3)</f>
        <v>€ 3 350,00</v>
      </c>
      <c s="20" r="D11"/>
      <c s="24" r="E11"/>
      <c s="24" r="F11"/>
      <c s="24" r="G11"/>
      <c s="24" r="H11"/>
      <c s="24" r="I11"/>
      <c s="24" r="J11"/>
      <c s="24" r="K11"/>
      <c s="24" r="L11"/>
      <c s="24" r="M11"/>
      <c s="24" r="N11"/>
    </row>
    <row customHeight="1" r="12" ht="15.75">
      <c s="18" r="A12"/>
      <c t="s" s="24" r="B12">
        <v>24</v>
      </c>
      <c s="26" r="C12">
        <v>0.1</v>
      </c>
      <c s="20" r="D12"/>
      <c s="24" r="E12"/>
      <c s="24" r="F12"/>
      <c s="24" r="G12"/>
      <c s="24" r="H12"/>
      <c s="24" r="I12"/>
      <c s="24" r="J12"/>
      <c s="24" r="K12"/>
      <c s="24" r="L12"/>
      <c s="24" r="M12"/>
      <c s="24" r="N12"/>
    </row>
    <row customHeight="1" r="13" ht="15.75">
      <c s="18" r="A13"/>
      <c s="24" r="B13"/>
      <c s="31" r="C13"/>
      <c s="20" r="D13"/>
      <c s="24" r="E13"/>
      <c s="24" r="F13"/>
      <c s="24" r="G13"/>
      <c s="24" r="H13"/>
      <c s="24" r="I13"/>
      <c s="24" r="J13"/>
      <c s="24" r="K13"/>
      <c s="24" r="L13"/>
      <c s="24" r="M13"/>
      <c s="24" r="N13"/>
    </row>
    <row customHeight="1" r="14" ht="12.0">
      <c t="s" s="18" r="A14">
        <v>25</v>
      </c>
      <c t="s" s="24" r="B14">
        <v>26</v>
      </c>
      <c s="25" r="C14">
        <v>100.0</v>
      </c>
      <c s="20" r="D14"/>
      <c s="18" r="F14"/>
    </row>
    <row customHeight="1" r="15" ht="15.75">
      <c t="s" s="18" r="A15">
        <v>27</v>
      </c>
      <c t="s" s="24" r="B15">
        <v>28</v>
      </c>
      <c s="19" r="C15"/>
      <c s="20" r="D15"/>
      <c t="str" s="32" r="F15">
        <f>C14/(1+$I$3)</f>
        <v>€ 83,33</v>
      </c>
      <c t="str" s="32" r="G15">
        <f>F15*12</f>
        <v>€ 1 000,00</v>
      </c>
    </row>
    <row customHeight="1" r="16" ht="15.75">
      <c t="s" s="18" r="A16">
        <v>29</v>
      </c>
      <c t="s" s="24" r="B16">
        <v>30</v>
      </c>
      <c s="26" r="C16">
        <v>0.1</v>
      </c>
      <c s="20" r="D16"/>
      <c s="18" r="F16"/>
    </row>
    <row customHeight="1" r="17" ht="15.0">
      <c s="18" r="A17"/>
      <c s="18" r="B17"/>
      <c s="19" r="C17"/>
      <c s="20" r="D17"/>
      <c s="18" r="F17"/>
    </row>
    <row customHeight="1" r="18" ht="12.0">
      <c t="s" s="33" r="A18">
        <v>31</v>
      </c>
      <c t="s" s="24" r="B18">
        <v>32</v>
      </c>
      <c s="25" r="C18"/>
      <c s="20" r="D18"/>
      <c s="32" r="F18">
        <v>700.0</v>
      </c>
      <c t="str" s="32" r="G18">
        <f>F18*12</f>
        <v>€ 8 400,00</v>
      </c>
    </row>
    <row customHeight="1" r="19" ht="12.0">
      <c t="s" s="33" r="A19">
        <v>33</v>
      </c>
      <c t="s" s="24" r="B19">
        <v>34</v>
      </c>
      <c s="34" r="C19">
        <v>3.0</v>
      </c>
      <c t="s" s="20" r="D19">
        <v>35</v>
      </c>
      <c s="18" r="F19"/>
    </row>
    <row customHeight="1" r="20" ht="15.75">
      <c s="18" r="A20"/>
      <c s="24" r="B20"/>
      <c s="31" r="C20"/>
      <c s="20" r="D20"/>
      <c s="24" r="E20"/>
      <c s="24" r="F20"/>
      <c s="24" r="G20"/>
      <c s="24" r="H20"/>
      <c s="24" r="I20"/>
      <c s="24" r="J20"/>
      <c s="24" r="K20"/>
      <c s="24" r="L20"/>
      <c s="24" r="M20"/>
      <c s="24" r="N20"/>
    </row>
    <row customHeight="1" r="21" ht="15.75">
      <c t="s" s="35" r="A21">
        <v>36</v>
      </c>
      <c t="s" s="21" r="B21">
        <v>37</v>
      </c>
      <c s="36" r="C21">
        <v>2014.0</v>
      </c>
      <c t="str" s="36" r="D21">
        <f ref="D21:G21" t="shared" si="1">C21+1</f>
        <v>2015</v>
      </c>
      <c t="str" s="36" r="E21">
        <f t="shared" si="1"/>
        <v>2016</v>
      </c>
      <c t="str" s="36" r="F21">
        <f t="shared" si="1"/>
        <v>2017</v>
      </c>
      <c t="str" s="36" r="G21">
        <f t="shared" si="1"/>
        <v>2018</v>
      </c>
      <c s="36" r="H21"/>
      <c s="21" r="I21"/>
      <c s="21" r="J21"/>
      <c s="21" r="K21"/>
      <c s="21" r="L21"/>
      <c s="21" r="M21"/>
      <c s="21" r="N21"/>
    </row>
    <row customHeight="1" r="22" ht="15.75">
      <c t="s" s="18" r="A22">
        <v>38</v>
      </c>
      <c t="s" s="34" r="B22">
        <v>39</v>
      </c>
      <c t="str" s="31" r="C22">
        <f>COGS!D43</f>
        <v>€ 16 000,00</v>
      </c>
      <c t="str" s="37" r="D22">
        <f ref="D22:D23" t="shared" si="3">C22*0.95</f>
        <v>15 200 €</v>
      </c>
      <c t="str" s="24" r="E22">
        <f ref="E22:E23" t="shared" si="4">D22*0.9</f>
        <v>13 680 €</v>
      </c>
      <c t="str" s="24" r="F22">
        <f ref="F22:G22" t="shared" si="2">E22*0.98</f>
        <v>13 406 €</v>
      </c>
      <c t="str" s="24" r="G22">
        <f t="shared" si="2"/>
        <v>13 138 €</v>
      </c>
      <c s="24" r="H22"/>
      <c s="24" r="I22"/>
      <c s="38" r="J22"/>
      <c s="39" r="K22"/>
      <c s="24" r="L22"/>
      <c s="24" r="M22"/>
      <c s="24" r="N22"/>
    </row>
    <row customHeight="1" r="23" ht="15.75">
      <c t="s" s="18" r="A23">
        <v>40</v>
      </c>
      <c t="s" s="24" r="B23">
        <v>41</v>
      </c>
      <c t="str" s="31" r="C23">
        <f>COGS!D44</f>
        <v>€ 4 100,00</v>
      </c>
      <c t="str" s="37" r="D23">
        <f t="shared" si="3"/>
        <v>3 895 €</v>
      </c>
      <c t="str" s="24" r="E23">
        <f t="shared" si="4"/>
        <v>3 506 €</v>
      </c>
      <c t="str" s="24" r="F23">
        <f ref="F23:G23" t="shared" si="5">E23*0.98</f>
        <v>3 435 €</v>
      </c>
      <c t="str" s="24" r="G23">
        <f t="shared" si="5"/>
        <v>3 367 €</v>
      </c>
      <c s="24" r="H23"/>
      <c s="24" r="I23"/>
      <c s="24" r="L23"/>
      <c s="24" r="M23"/>
      <c s="24" r="N23"/>
    </row>
    <row customHeight="1" r="24" ht="15.75">
      <c t="s" s="18" r="A24">
        <v>42</v>
      </c>
      <c t="s" s="24" r="B24">
        <v>43</v>
      </c>
      <c t="str" s="31" r="C24">
        <f>COGS!$D$45</f>
        <v>€ 6 050,00</v>
      </c>
      <c t="str" s="31" r="D24">
        <f>COGS!$D$45</f>
        <v>€ 6 050,00</v>
      </c>
      <c t="str" s="31" r="E24">
        <f>COGS!$D$45</f>
        <v>€ 6 050,00</v>
      </c>
      <c t="str" s="31" r="F24">
        <f>COGS!$D$45</f>
        <v>€ 6 050,00</v>
      </c>
      <c t="str" s="31" r="G24">
        <f>COGS!$D$45</f>
        <v>€ 6 050,00</v>
      </c>
      <c s="24" r="H24"/>
      <c s="24" r="I24"/>
      <c s="24" r="J24"/>
      <c s="24" r="K24"/>
      <c s="24" r="L24"/>
      <c s="24" r="M24"/>
      <c s="24" r="N24"/>
    </row>
    <row customHeight="1" r="25" ht="15.75">
      <c t="s" s="18" r="A25">
        <v>44</v>
      </c>
      <c t="s" s="28" r="B25">
        <v>45</v>
      </c>
      <c t="str" s="40" r="C25">
        <f ref="C25:G25" t="shared" si="6">SUM(C22:C24)</f>
        <v>€ 26 150,00</v>
      </c>
      <c t="str" s="40" r="D25">
        <f t="shared" si="6"/>
        <v>€ 25 145,00</v>
      </c>
      <c t="str" s="40" r="E25">
        <f t="shared" si="6"/>
        <v>€ 23 235,50</v>
      </c>
      <c t="str" s="40" r="F25">
        <f t="shared" si="6"/>
        <v>€ 22 891,79</v>
      </c>
      <c t="str" s="40" r="G25">
        <f t="shared" si="6"/>
        <v>€ 22 554,95</v>
      </c>
      <c s="28" r="H25"/>
      <c s="28" r="I25"/>
      <c s="28" r="J25"/>
      <c s="28" r="K25"/>
      <c s="28" r="L25"/>
      <c s="28" r="M25"/>
      <c s="28" r="N25"/>
    </row>
    <row customHeight="1" r="26" ht="15.75">
      <c t="s" s="33" r="A26">
        <v>46</v>
      </c>
      <c s="28" r="B26"/>
      <c t="str" s="41" r="C26">
        <f ref="C26:G26" t="shared" si="7">$C$4-C25</f>
        <v>€ 15 508,33</v>
      </c>
      <c t="str" s="41" r="D26">
        <f t="shared" si="7"/>
        <v>€ 16 513,33</v>
      </c>
      <c t="str" s="41" r="E26">
        <f t="shared" si="7"/>
        <v>€ 18 422,83</v>
      </c>
      <c t="str" s="41" r="F26">
        <f t="shared" si="7"/>
        <v>€ 18 766,54</v>
      </c>
      <c t="str" s="41" r="G26">
        <f t="shared" si="7"/>
        <v>€ 19 103,38</v>
      </c>
      <c s="28" r="H26"/>
      <c s="28" r="I26"/>
      <c s="28" r="J26"/>
      <c s="28" r="K26"/>
      <c s="28" r="L26"/>
      <c s="28" r="M26"/>
      <c s="28" r="N26"/>
    </row>
    <row r="27">
      <c t="s" s="16" r="A27">
        <v>47</v>
      </c>
      <c t="str" s="42" r="C27">
        <f ref="C27:G27" t="shared" si="8">C26/$C$4</f>
        <v>37,23%</v>
      </c>
      <c t="str" s="42" r="D27">
        <f t="shared" si="8"/>
        <v>39,64%</v>
      </c>
      <c t="str" s="42" r="E27">
        <f t="shared" si="8"/>
        <v>44,22%</v>
      </c>
      <c t="str" s="42" r="F27">
        <f t="shared" si="8"/>
        <v>45,05%</v>
      </c>
      <c t="str" s="42" r="G27">
        <f t="shared" si="8"/>
        <v>45,86%</v>
      </c>
    </row>
    <row customHeight="1" r="29" ht="15.75">
      <c t="s" s="18" r="A29">
        <v>48</v>
      </c>
      <c t="s" s="28" r="B29">
        <v>49</v>
      </c>
      <c t="str" s="40" r="C29">
        <f>COGS!D49</f>
        <v>€ 5 400,00</v>
      </c>
      <c s="30" r="D29"/>
      <c s="28" r="E29"/>
      <c s="28" r="F29"/>
      <c s="28" r="G29"/>
      <c s="28" r="H29"/>
      <c s="28" r="I29"/>
      <c s="28" r="J29"/>
      <c s="28" r="K29"/>
      <c s="28" r="L29"/>
      <c s="28" r="M29"/>
      <c s="28" r="N29"/>
    </row>
    <row customHeight="1" r="30" ht="15.75">
      <c s="18" r="A30"/>
      <c t="s" s="34" r="B30">
        <v>50</v>
      </c>
      <c s="43" r="C30">
        <v>0.05</v>
      </c>
      <c s="20" r="D30"/>
      <c s="24" r="E30"/>
      <c s="24" r="F30"/>
      <c s="24" r="G30"/>
      <c s="24" r="H30"/>
      <c s="24" r="I30"/>
      <c s="24" r="J30"/>
      <c s="24" r="K30"/>
      <c s="24" r="L30"/>
      <c s="24" r="M30"/>
      <c s="24" r="N30"/>
    </row>
    <row customHeight="1" r="31" ht="15.75">
      <c s="18" r="A31"/>
      <c s="24" r="B31"/>
      <c s="31" r="C31"/>
      <c s="20" r="D31"/>
      <c s="24" r="E31"/>
      <c s="24" r="F31"/>
      <c s="24" r="G31"/>
      <c s="24" r="H31"/>
      <c s="24" r="I31"/>
      <c s="24" r="J31"/>
      <c s="24" r="K31"/>
      <c s="24" r="L31"/>
      <c s="24" r="M31"/>
      <c s="24" r="N31"/>
    </row>
    <row customHeight="1" r="32" ht="15.75">
      <c t="s" s="18" r="A32">
        <v>51</v>
      </c>
      <c t="s" s="34" r="B32">
        <v>52</v>
      </c>
      <c s="25" r="C32">
        <v>5000.0</v>
      </c>
      <c s="20" r="D32"/>
      <c s="24" r="E32"/>
      <c s="24" r="F32"/>
      <c s="24" r="G32"/>
      <c s="24" r="H32"/>
      <c s="24" r="I32"/>
      <c s="24" r="J32"/>
      <c s="24" r="K32"/>
      <c s="24" r="L32"/>
      <c s="24" r="M32"/>
      <c s="24" r="N32"/>
    </row>
    <row customHeight="1" r="33" ht="15.75">
      <c t="s" s="18" r="A33">
        <v>53</v>
      </c>
      <c t="s" s="24" r="B33">
        <v>54</v>
      </c>
      <c t="str" s="31" r="C33">
        <f>COGS!E27</f>
        <v>€ 0,00</v>
      </c>
      <c s="20" r="D33"/>
      <c s="24" r="E33"/>
      <c s="24" r="F33"/>
      <c s="24" r="G33"/>
      <c s="24" r="H33"/>
      <c s="24" r="I33"/>
      <c s="24" r="J33"/>
      <c s="24" r="K33"/>
      <c s="24" r="L33"/>
      <c s="24" r="M33"/>
      <c s="24" r="N33"/>
    </row>
    <row customHeight="1" r="34" ht="15.75">
      <c t="s" s="18" r="A34">
        <v>55</v>
      </c>
      <c t="s" s="28" r="B34">
        <v>56</v>
      </c>
      <c t="str" s="40" r="C34">
        <f>SUM(C32:C33)</f>
        <v>€ 5 000,00</v>
      </c>
      <c s="30" r="D34"/>
      <c s="28" r="E34"/>
      <c s="28" r="F34"/>
      <c s="28" r="G34"/>
      <c s="28" r="H34"/>
      <c s="28" r="I34"/>
      <c s="28" r="J34"/>
      <c s="28" r="K34"/>
      <c s="28" r="L34"/>
      <c s="28" r="M34"/>
      <c s="28" r="N34"/>
    </row>
    <row customHeight="1" r="35" ht="15.75">
      <c s="18" r="A35"/>
      <c s="24" r="B35"/>
      <c s="31" r="C35"/>
      <c s="20" r="D35"/>
      <c s="24" r="E35"/>
      <c s="24" r="F35"/>
      <c s="24" r="G35"/>
      <c s="24" r="H35"/>
      <c s="24" r="I35"/>
      <c s="24" r="J35"/>
      <c s="24" r="K35"/>
      <c s="24" r="L35"/>
      <c s="24" r="M35"/>
      <c s="24" r="N35"/>
    </row>
    <row customHeight="1" r="36" ht="15.75">
      <c t="s" s="44" r="A36">
        <v>57</v>
      </c>
      <c t="s" s="45" r="B36">
        <v>58</v>
      </c>
      <c t="str" s="46" r="C36">
        <f>SUM(C25,C34)</f>
        <v>€ 31 150,00</v>
      </c>
      <c s="47" r="D36"/>
      <c s="45" r="E36"/>
      <c s="45" r="F36"/>
      <c s="45" r="G36"/>
      <c s="45" r="H36"/>
      <c s="45" r="I36"/>
      <c s="45" r="J36"/>
      <c s="45" r="K36"/>
      <c s="45" r="L36"/>
      <c s="45" r="M36"/>
      <c s="45" r="N36"/>
    </row>
    <row customHeight="1" r="37" ht="15.75">
      <c s="18" r="A37"/>
      <c s="24" r="B37"/>
      <c s="31" r="C37"/>
      <c s="20" r="D37"/>
      <c s="24" r="E37"/>
      <c s="24" r="F37"/>
      <c s="24" r="G37"/>
      <c s="24" r="H37"/>
      <c s="24" r="I37"/>
      <c s="24" r="J37"/>
      <c s="24" r="K37"/>
      <c s="24" r="L37"/>
      <c s="24" r="M37"/>
      <c s="24" r="N37"/>
    </row>
    <row customHeight="1" r="38" ht="15.75">
      <c t="s" s="18" r="A38">
        <v>59</v>
      </c>
      <c t="s" s="21" r="B38">
        <v>60</v>
      </c>
      <c s="22" r="C38"/>
      <c s="23" r="D38"/>
      <c s="21" r="E38"/>
      <c s="21" r="F38"/>
      <c s="21" r="G38"/>
      <c s="21" r="H38"/>
      <c s="21" r="I38"/>
      <c s="21" r="J38"/>
      <c s="21" r="K38"/>
      <c s="21" r="L38"/>
      <c s="21" r="M38"/>
      <c s="21" r="N38"/>
    </row>
    <row customHeight="1" r="39" ht="15.75">
      <c t="s" s="18" r="A39">
        <v>61</v>
      </c>
      <c t="s" s="24" r="B39">
        <v>62</v>
      </c>
      <c s="25" r="C39">
        <v>50.0</v>
      </c>
      <c s="20" r="D39"/>
      <c s="24" r="E39"/>
      <c s="24" r="F39"/>
      <c t="str" s="24" r="G39">
        <f ref="G39:G40" t="shared" si="9">C39*12</f>
        <v>€ 600,00</v>
      </c>
      <c s="24" r="H39"/>
      <c s="24" r="I39"/>
      <c s="24" r="J39"/>
      <c s="24" r="K39"/>
      <c s="24" r="L39"/>
      <c s="24" r="M39"/>
      <c s="24" r="N39"/>
    </row>
    <row customHeight="1" r="40" ht="15.75">
      <c t="s" s="18" r="A40">
        <v>63</v>
      </c>
      <c t="s" s="24" r="B40">
        <v>64</v>
      </c>
      <c s="25" r="C40">
        <v>50.0</v>
      </c>
      <c s="20" r="D40"/>
      <c s="24" r="E40"/>
      <c s="24" r="F40"/>
      <c t="str" s="24" r="G40">
        <f t="shared" si="9"/>
        <v>€ 600,00</v>
      </c>
      <c s="24" r="H40"/>
      <c s="24" r="I40"/>
      <c s="24" r="J40"/>
      <c s="24" r="K40"/>
      <c s="24" r="L40"/>
      <c s="24" r="M40"/>
      <c s="24" r="N40"/>
    </row>
    <row customHeight="1" r="41" ht="15.75">
      <c s="18" r="A41"/>
      <c s="24" r="B41"/>
      <c s="31" r="C41"/>
      <c s="20" r="D41"/>
      <c s="24" r="E41"/>
      <c s="24" r="F41"/>
      <c s="24" r="G41"/>
      <c s="24" r="H41"/>
      <c s="24" r="I41"/>
      <c s="24" r="J41"/>
      <c s="24" r="K41"/>
      <c s="24" r="L41"/>
      <c s="24" r="M41"/>
      <c s="24" r="N41"/>
    </row>
    <row customHeight="1" r="42" ht="15.75">
      <c s="18" r="A42"/>
      <c s="24" r="B42"/>
      <c s="31" r="C42"/>
      <c s="20" r="D42"/>
      <c s="24" r="E42"/>
      <c s="24" r="F42"/>
      <c s="24" r="G42"/>
      <c s="24" r="H42"/>
      <c s="24" r="I42"/>
      <c s="24" r="J42"/>
      <c s="24" r="K42"/>
      <c s="24" r="L42"/>
      <c s="24" r="M42"/>
      <c s="24" r="N42"/>
    </row>
    <row customHeight="1" r="43" ht="15.75">
      <c t="s" s="35" r="A43">
        <v>65</v>
      </c>
      <c t="s" s="21" r="B43">
        <v>66</v>
      </c>
      <c s="22" r="C43"/>
      <c s="23" r="D43"/>
      <c s="21" r="E43"/>
      <c s="21" r="F43"/>
      <c s="21" r="G43"/>
      <c s="21" r="H43"/>
      <c s="21" r="I43"/>
      <c s="21" r="J43"/>
      <c s="21" r="K43"/>
      <c s="21" r="L43"/>
      <c s="21" r="M43"/>
      <c s="21" r="N43"/>
    </row>
    <row customHeight="1" r="44" ht="15.75">
      <c t="s" s="18" r="A44">
        <v>67</v>
      </c>
      <c s="24" r="B44"/>
      <c s="25" r="C44"/>
      <c s="20" r="D44"/>
      <c s="24" r="E44"/>
      <c s="24" r="F44"/>
      <c s="24" r="G44"/>
      <c s="24" r="H44"/>
      <c s="24" r="I44"/>
      <c s="24" r="J44"/>
      <c s="24" r="K44"/>
      <c s="24" r="L44"/>
      <c s="24" r="M44"/>
      <c s="24" r="N44"/>
    </row>
    <row customHeight="1" r="45" ht="15.75">
      <c s="18" r="A45"/>
      <c s="24" r="B45"/>
      <c s="31" r="C45"/>
      <c s="20" r="D45"/>
      <c s="24" r="E45"/>
      <c s="24" r="F45"/>
      <c s="24" r="G45"/>
      <c s="24" r="H45"/>
      <c s="24" r="I45"/>
      <c s="24" r="J45"/>
      <c s="24" r="K45"/>
      <c s="24" r="L45"/>
      <c s="24" r="M45"/>
      <c s="24" r="N45"/>
    </row>
    <row customHeight="1" r="46" ht="15.75">
      <c s="18" r="A46"/>
      <c t="s" s="21" r="B46">
        <v>68</v>
      </c>
      <c s="22" r="C46"/>
      <c s="23" r="D46"/>
      <c s="21" r="E46"/>
      <c s="21" r="F46"/>
      <c s="21" r="G46"/>
      <c s="21" r="H46"/>
      <c s="21" r="I46"/>
      <c s="21" r="J46"/>
      <c s="21" r="K46"/>
      <c s="21" r="L46"/>
      <c s="21" r="M46"/>
      <c s="21" r="N46"/>
    </row>
    <row customHeight="1" r="47" ht="15.75">
      <c s="18" r="A47"/>
      <c t="s" s="24" r="B47">
        <v>69</v>
      </c>
      <c s="31" r="C47"/>
      <c s="34" r="D47">
        <v>6.0</v>
      </c>
      <c s="24" r="E47"/>
      <c s="24" r="F47"/>
      <c s="24" r="G47"/>
      <c s="24" r="H47"/>
      <c s="24" r="I47"/>
      <c s="24" r="J47"/>
      <c s="24" r="K47"/>
      <c s="24" r="L47"/>
      <c s="24" r="M47"/>
      <c s="24" r="N47"/>
    </row>
    <row customHeight="1" r="48" ht="15.75">
      <c s="18" r="A48"/>
      <c s="24" r="B48"/>
      <c s="31" r="C48"/>
      <c s="20" r="D48"/>
      <c s="24" r="E48"/>
      <c s="24" r="F48"/>
      <c s="24" r="G48"/>
      <c s="24" r="H48"/>
      <c s="24" r="I48"/>
      <c s="24" r="J48"/>
      <c s="24" r="K48"/>
      <c s="24" r="L48"/>
      <c s="24" r="M48"/>
      <c s="24" r="N48"/>
    </row>
    <row customHeight="1" r="49" ht="15.75">
      <c s="18" r="A49"/>
      <c t="s" s="21" r="B49">
        <v>70</v>
      </c>
      <c s="22" r="C49"/>
      <c s="23" r="D49"/>
      <c s="21" r="E49"/>
      <c s="21" r="F49"/>
      <c s="21" r="G49"/>
      <c s="21" r="H49"/>
      <c s="21" r="I49"/>
      <c s="21" r="J49"/>
      <c s="21" r="K49"/>
      <c s="21" r="L49"/>
      <c s="21" r="M49"/>
      <c s="21" r="N49"/>
    </row>
    <row customHeight="1" r="50" ht="15.75">
      <c s="18" r="A50"/>
      <c t="s" s="24" r="B50">
        <v>71</v>
      </c>
      <c s="31" r="C50"/>
      <c s="43" r="D50">
        <v>0.33</v>
      </c>
      <c s="24" r="E50"/>
      <c s="24" r="F50"/>
      <c s="24" r="G50"/>
      <c s="24" r="H50"/>
      <c s="24" r="I50"/>
      <c s="24" r="J50"/>
      <c s="24" r="K50"/>
      <c s="24" r="L50"/>
      <c s="24" r="M50"/>
      <c s="24" r="N50"/>
    </row>
    <row customHeight="1" r="51" ht="15.75">
      <c s="18" r="A51"/>
      <c s="24" r="B51"/>
      <c s="31" r="C51"/>
      <c s="20" r="D51"/>
      <c s="24" r="E51"/>
      <c s="24" r="F51"/>
      <c s="24" r="G51"/>
      <c s="24" r="H51"/>
      <c s="24" r="I51"/>
      <c s="24" r="J51"/>
      <c s="24" r="K51"/>
      <c s="24" r="L51"/>
      <c s="24" r="M51"/>
      <c s="24" r="N51"/>
    </row>
    <row customHeight="1" r="52" ht="15.75">
      <c s="18" r="A52"/>
      <c t="s" s="21" r="B52">
        <v>72</v>
      </c>
      <c s="22" r="C52"/>
      <c s="23" r="D52"/>
      <c s="21" r="E52"/>
      <c s="21" r="F52"/>
      <c s="21" r="G52"/>
      <c s="21" r="H52"/>
      <c s="21" r="I52"/>
      <c s="21" r="J52"/>
      <c s="21" r="K52"/>
      <c s="21" r="L52"/>
      <c s="21" r="M52"/>
      <c s="21" r="N52"/>
    </row>
    <row customHeight="1" r="53" ht="15.75">
      <c s="18" r="A53"/>
      <c t="s" s="48" r="B53">
        <v>73</v>
      </c>
      <c s="26" r="C53">
        <v>0.04</v>
      </c>
      <c s="20" r="D53"/>
      <c s="24" r="E53"/>
      <c s="31" r="F53"/>
      <c s="24" r="G53"/>
      <c s="24" r="H53"/>
      <c s="24" r="I53"/>
      <c s="24" r="J53"/>
      <c s="24" r="K53"/>
      <c s="24" r="L53"/>
      <c s="24" r="M53"/>
      <c s="24" r="N53"/>
    </row>
    <row customHeight="1" r="54" ht="15.75">
      <c s="18" r="A54"/>
      <c t="s" s="48" r="B54">
        <v>74</v>
      </c>
      <c s="31" r="C54"/>
      <c s="20" r="D54"/>
      <c s="24" r="E54"/>
      <c t="str" s="31" r="F54">
        <f>PMT(C53/12,C55*12,33000)</f>
        <v>-€ 451,07</v>
      </c>
      <c s="24" r="G54"/>
      <c s="24" r="H54"/>
      <c s="24" r="I54"/>
      <c s="24" r="J54"/>
      <c s="24" r="K54"/>
      <c s="24" r="L54"/>
      <c s="24" r="M54"/>
      <c s="24" r="N54"/>
    </row>
    <row customHeight="1" r="55" ht="15.75">
      <c s="18" r="A55"/>
      <c t="s" s="24" r="B55">
        <v>75</v>
      </c>
      <c s="49" r="C55">
        <v>7.0</v>
      </c>
      <c t="s" s="20" r="D55">
        <v>76</v>
      </c>
      <c s="24" r="E55"/>
      <c s="24" r="F55"/>
      <c s="24" r="G55"/>
      <c s="24" r="H55"/>
      <c s="24" r="I55"/>
      <c s="24" r="J55"/>
      <c s="24" r="K55"/>
      <c s="24" r="L55"/>
      <c s="24" r="M55"/>
      <c s="24" r="N55"/>
    </row>
    <row customHeight="1" r="56" ht="15.75">
      <c s="18" r="A56"/>
      <c s="24" r="B56"/>
      <c s="19" r="C56"/>
      <c s="20" r="D56"/>
      <c s="24" r="E56"/>
      <c s="18" r="F56"/>
      <c s="24" r="G56"/>
      <c s="24" r="H56"/>
      <c s="24" r="I56"/>
      <c s="24" r="J56"/>
      <c s="24" r="K56"/>
      <c s="24" r="L56"/>
      <c s="24" r="M56"/>
      <c s="24" r="N56"/>
    </row>
    <row customHeight="1" r="57" ht="15.75">
      <c s="18" r="A57"/>
      <c t="s" s="36" r="B57">
        <v>77</v>
      </c>
      <c s="36" r="C57">
        <v>2014.0</v>
      </c>
      <c s="36" r="D57">
        <v>2015.0</v>
      </c>
      <c s="36" r="E57">
        <v>2016.0</v>
      </c>
      <c s="36" r="F57">
        <v>2017.0</v>
      </c>
      <c s="21" r="G57"/>
      <c s="21" r="H57"/>
      <c s="21" r="I57"/>
      <c s="21" r="J57"/>
      <c s="21" r="K57"/>
      <c s="21" r="L57"/>
      <c s="21" r="M57"/>
      <c s="21" r="N57"/>
    </row>
    <row customHeight="1" r="58" ht="15.75">
      <c s="18" r="A58"/>
      <c t="s" s="16" r="B58">
        <v>78</v>
      </c>
      <c s="26" r="C58"/>
      <c s="26" r="D58">
        <v>0.0</v>
      </c>
      <c s="26" r="E58">
        <v>0.0</v>
      </c>
      <c s="26" r="F58">
        <v>0.0</v>
      </c>
      <c s="24" r="G58"/>
      <c s="24" r="H58"/>
      <c s="24" r="I58"/>
      <c s="24" r="J58"/>
      <c s="24" r="K58"/>
      <c s="24" r="L58"/>
      <c s="24" r="M58"/>
      <c s="24" r="N58"/>
    </row>
    <row customHeight="1" r="59" ht="15.75">
      <c s="18" r="A59"/>
      <c t="s" s="50" r="B59">
        <v>79</v>
      </c>
      <c s="26" r="C59"/>
      <c t="str" s="51" r="D59">
        <f ref="D59:F59" t="shared" si="10">1-D60</f>
        <v>60,00%</v>
      </c>
      <c t="str" s="51" r="E59">
        <f t="shared" si="10"/>
        <v>60,00%</v>
      </c>
      <c t="str" s="51" r="F59">
        <f t="shared" si="10"/>
        <v>60,00%</v>
      </c>
      <c s="24" r="G59"/>
      <c s="24" r="H59"/>
      <c s="24" r="I59"/>
      <c s="24" r="J59"/>
      <c s="24" r="K59"/>
      <c s="24" r="L59"/>
      <c s="24" r="M59"/>
      <c s="24" r="N59"/>
    </row>
    <row customHeight="1" r="60" ht="15.75">
      <c s="18" r="A60"/>
      <c t="s" s="52" r="B60">
        <v>80</v>
      </c>
      <c s="26" r="C60"/>
      <c s="26" r="D60">
        <v>0.4</v>
      </c>
      <c s="26" r="E60">
        <v>0.4</v>
      </c>
      <c s="26" r="F60">
        <v>0.4</v>
      </c>
      <c s="24" r="G60"/>
      <c s="24" r="H60"/>
      <c s="24" r="I60"/>
      <c s="24" r="J60"/>
      <c s="24" r="K60"/>
      <c s="24" r="L60"/>
      <c s="24" r="M60"/>
      <c s="24" r="N60"/>
    </row>
    <row customHeight="1" r="61" ht="15.75">
      <c s="18" r="A61"/>
      <c s="34" r="B61"/>
      <c s="31" r="C61"/>
      <c s="20" r="D61"/>
      <c s="24" r="E61"/>
      <c s="24" r="F61"/>
      <c s="24" r="G61"/>
      <c s="24" r="H61"/>
      <c s="24" r="I61"/>
      <c s="24" r="J61"/>
      <c s="24" r="K61"/>
      <c s="24" r="L61"/>
      <c s="24" r="M61"/>
      <c s="24" r="N6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D2" ySplit="1.0" xSplit="3.0" activePane="bottomRight" state="frozen"/>
      <selection sqref="D1" activeCell="D1" pane="topRight"/>
      <selection sqref="A2" activeCell="A2" pane="bottomLeft"/>
      <selection sqref="D2" activeCell="D2" pane="bottomRight"/>
    </sheetView>
  </sheetViews>
  <sheetFormatPr customHeight="1" defaultColWidth="17.29" defaultRowHeight="15.75"/>
  <cols>
    <col min="1" customWidth="1" max="1" width="28.57"/>
    <col min="2" customWidth="1" max="2" width="20.29"/>
    <col min="3" customWidth="1" max="46" width="17.14"/>
  </cols>
  <sheetData>
    <row customHeight="1" r="1" ht="15.75">
      <c s="53" r="A1"/>
      <c t="str" s="53" r="B1">
        <f>'Annuel (OLD)'!A1</f>
        <v/>
      </c>
      <c s="54" r="C1"/>
      <c s="55" r="D1">
        <v>41913.0</v>
      </c>
      <c s="55" r="E1">
        <v>41944.0</v>
      </c>
      <c s="55" r="F1">
        <v>41974.0</v>
      </c>
      <c s="55" r="G1">
        <v>42005.0</v>
      </c>
      <c s="55" r="H1">
        <v>42036.0</v>
      </c>
      <c s="55" r="I1">
        <v>42064.0</v>
      </c>
      <c s="55" r="J1">
        <v>42095.0</v>
      </c>
      <c s="55" r="K1">
        <v>42125.0</v>
      </c>
      <c s="55" r="L1">
        <v>42156.0</v>
      </c>
      <c s="55" r="M1">
        <v>42186.0</v>
      </c>
      <c s="55" r="N1">
        <v>42217.0</v>
      </c>
      <c s="55" r="O1">
        <v>42248.0</v>
      </c>
      <c s="55" r="P1">
        <v>42278.0</v>
      </c>
      <c s="55" r="Q1">
        <v>42309.0</v>
      </c>
      <c s="55" r="R1">
        <v>42339.0</v>
      </c>
      <c s="55" r="S1">
        <v>42370.0</v>
      </c>
      <c s="55" r="T1">
        <v>42401.0</v>
      </c>
      <c s="55" r="U1">
        <v>42430.0</v>
      </c>
      <c s="55" r="V1">
        <v>42461.0</v>
      </c>
      <c s="55" r="W1">
        <v>42491.0</v>
      </c>
      <c s="55" r="X1">
        <v>42522.0</v>
      </c>
      <c s="55" r="Y1">
        <v>42552.0</v>
      </c>
      <c s="55" r="Z1">
        <v>42583.0</v>
      </c>
      <c s="55" r="AA1">
        <v>42614.0</v>
      </c>
      <c s="55" r="AB1">
        <v>42644.0</v>
      </c>
      <c s="55" r="AC1">
        <v>42675.0</v>
      </c>
      <c s="55" r="AD1">
        <v>42705.0</v>
      </c>
      <c s="55" r="AE1">
        <v>42736.0</v>
      </c>
      <c s="55" r="AF1">
        <v>42767.0</v>
      </c>
      <c s="55" r="AG1">
        <v>42795.0</v>
      </c>
      <c s="55" r="AH1">
        <v>42826.0</v>
      </c>
      <c s="55" r="AI1">
        <v>42856.0</v>
      </c>
      <c s="55" r="AJ1">
        <v>42887.0</v>
      </c>
      <c s="55" r="AK1">
        <v>42917.0</v>
      </c>
      <c s="55" r="AL1">
        <v>42948.0</v>
      </c>
      <c s="55" r="AM1">
        <v>42979.0</v>
      </c>
      <c s="55" r="AN1">
        <v>43009.0</v>
      </c>
      <c s="55" r="AO1">
        <v>43040.0</v>
      </c>
      <c s="55" r="AP1">
        <v>43070.0</v>
      </c>
      <c s="16" r="AQ1">
        <v>2018.0</v>
      </c>
      <c s="54" r="AR1"/>
      <c s="54" r="AS1"/>
      <c s="54" r="AT1"/>
    </row>
    <row customHeight="1" r="2" ht="15.75">
      <c t="s" s="56" r="A2">
        <v>81</v>
      </c>
      <c s="56" r="B2"/>
      <c s="25" r="C2"/>
      <c s="57" r="D2">
        <v>1.0</v>
      </c>
      <c s="57" r="E2">
        <v>1.0</v>
      </c>
      <c s="57" r="F2">
        <v>1.0</v>
      </c>
      <c s="57" r="G2">
        <v>1.0</v>
      </c>
      <c s="57" r="H2">
        <v>1.0</v>
      </c>
      <c s="57" r="I2">
        <v>1.0</v>
      </c>
      <c s="57" r="J2">
        <v>1.0</v>
      </c>
      <c s="57" r="K2">
        <v>1.0</v>
      </c>
      <c s="57" r="L2">
        <v>1.0</v>
      </c>
      <c s="57" r="M2">
        <v>1.0</v>
      </c>
      <c s="57" r="N2">
        <v>1.0</v>
      </c>
      <c t="str" s="57" r="O2">
        <f>'Couts administratifs, SAV, fina'!N27</f>
        <v>1,</v>
      </c>
      <c t="str" s="57" r="P2">
        <f>'Couts administratifs, SAV, fina'!O27</f>
        <v>1,</v>
      </c>
      <c t="str" s="57" r="Q2">
        <f>'Couts administratifs, SAV, fina'!P27</f>
        <v>1,</v>
      </c>
      <c t="str" s="57" r="R2">
        <f>'Couts administratifs, SAV, fina'!Q27</f>
        <v>1,</v>
      </c>
      <c t="str" s="57" r="S2">
        <f>'Couts administratifs, SAV, fina'!R27</f>
        <v>1,</v>
      </c>
      <c t="str" s="57" r="T2">
        <f>'Couts administratifs, SAV, fina'!S27</f>
        <v>1,</v>
      </c>
      <c t="str" s="57" r="U2">
        <f>'Couts administratifs, SAV, fina'!T27</f>
        <v>1,</v>
      </c>
      <c t="str" s="57" r="V2">
        <f>'Couts administratifs, SAV, fina'!U27</f>
        <v>1,</v>
      </c>
      <c t="str" s="57" r="W2">
        <f>'Couts administratifs, SAV, fina'!V27</f>
        <v>1,</v>
      </c>
      <c t="str" s="57" r="X2">
        <f>'Couts administratifs, SAV, fina'!W27</f>
        <v>1,</v>
      </c>
      <c t="str" s="57" r="Y2">
        <f>'Couts administratifs, SAV, fina'!X27</f>
        <v>1,</v>
      </c>
      <c t="str" s="57" r="Z2">
        <f>'Couts administratifs, SAV, fina'!Y27</f>
        <v>1,</v>
      </c>
      <c t="str" s="57" r="AA2">
        <f>'Couts administratifs, SAV, fina'!Z27</f>
        <v>1,</v>
      </c>
      <c t="str" s="57" r="AB2">
        <f>'Couts administratifs, SAV, fina'!AA27</f>
        <v>1,</v>
      </c>
      <c t="str" s="57" r="AC2">
        <f>'Couts administratifs, SAV, fina'!AB27</f>
        <v>1,</v>
      </c>
      <c t="str" s="57" r="AD2">
        <f>'Couts administratifs, SAV, fina'!AC27</f>
        <v>1,</v>
      </c>
      <c t="str" s="57" r="AE2">
        <f>'Couts administratifs, SAV, fina'!AD27</f>
        <v>1,</v>
      </c>
      <c t="str" s="57" r="AF2">
        <f>'Couts administratifs, SAV, fina'!AE27</f>
        <v>1,</v>
      </c>
      <c t="str" s="57" r="AG2">
        <f>'Couts administratifs, SAV, fina'!AF27</f>
        <v>1,</v>
      </c>
      <c t="str" s="57" r="AH2">
        <f>'Couts administratifs, SAV, fina'!AG27</f>
        <v>1,</v>
      </c>
      <c t="str" s="57" r="AI2">
        <f>'Couts administratifs, SAV, fina'!AH27</f>
        <v>1,</v>
      </c>
      <c t="str" s="57" r="AJ2">
        <f>'Couts administratifs, SAV, fina'!AI27</f>
        <v>1,</v>
      </c>
      <c t="str" s="57" r="AK2">
        <f>'Couts administratifs, SAV, fina'!AJ27</f>
        <v>1,</v>
      </c>
      <c t="str" s="57" r="AL2">
        <f>'Couts administratifs, SAV, fina'!AK27</f>
        <v>1,</v>
      </c>
      <c t="str" s="57" r="AM2">
        <f>'Couts administratifs, SAV, fina'!AL27</f>
        <v>1,</v>
      </c>
      <c t="str" s="57" r="AN2">
        <f>'Couts administratifs, SAV, fina'!AM27</f>
        <v>1,</v>
      </c>
      <c t="str" s="57" r="AO2">
        <f>'Couts administratifs, SAV, fina'!AN27</f>
        <v>1,</v>
      </c>
      <c t="str" s="57" r="AP2">
        <f>'Couts administratifs, SAV, fina'!AO27</f>
        <v>1,</v>
      </c>
      <c t="str" s="57" r="AQ2">
        <f>AP2</f>
        <v>1,</v>
      </c>
      <c s="31" r="AR2"/>
      <c s="31" r="AS2"/>
      <c s="31" r="AT2"/>
    </row>
    <row customHeight="1" r="3" ht="15.75">
      <c t="s" s="56" r="A3">
        <v>82</v>
      </c>
      <c s="56" r="B3"/>
      <c s="25" r="C3"/>
      <c s="57" r="D3">
        <v>0.0</v>
      </c>
      <c s="57" r="E3">
        <v>1.0</v>
      </c>
      <c s="57" r="F3">
        <v>1.0</v>
      </c>
      <c s="57" r="G3">
        <v>1.0</v>
      </c>
      <c s="57" r="H3">
        <v>1.0</v>
      </c>
      <c s="57" r="I3">
        <v>1.0</v>
      </c>
      <c s="57" r="J3">
        <v>1.0</v>
      </c>
      <c s="57" r="K3">
        <v>1.0</v>
      </c>
      <c s="57" r="L3">
        <v>1.0</v>
      </c>
      <c t="str" s="57" r="M3">
        <f ref="M3:AP3" t="shared" si="1">M15</f>
        <v>1,01</v>
      </c>
      <c t="str" s="57" r="N3">
        <f t="shared" si="1"/>
        <v>1,02</v>
      </c>
      <c t="str" s="57" r="O3">
        <f t="shared" si="1"/>
        <v>1,03</v>
      </c>
      <c t="str" s="57" r="P3">
        <f t="shared" si="1"/>
        <v>1,04</v>
      </c>
      <c t="str" s="57" r="Q3">
        <f t="shared" si="1"/>
        <v>1,05</v>
      </c>
      <c t="str" s="57" r="R3">
        <f t="shared" si="1"/>
        <v>1,06</v>
      </c>
      <c t="str" s="57" r="S3">
        <f t="shared" si="1"/>
        <v>1,07</v>
      </c>
      <c t="str" s="57" r="T3">
        <f t="shared" si="1"/>
        <v>1,08</v>
      </c>
      <c t="str" s="57" r="U3">
        <f t="shared" si="1"/>
        <v>1,09</v>
      </c>
      <c t="str" s="57" r="V3">
        <f t="shared" si="1"/>
        <v>1,1</v>
      </c>
      <c t="str" s="57" r="W3">
        <f t="shared" si="1"/>
        <v>1,11</v>
      </c>
      <c t="str" s="57" r="X3">
        <f t="shared" si="1"/>
        <v>1,12</v>
      </c>
      <c t="str" s="57" r="Y3">
        <f t="shared" si="1"/>
        <v>1,13</v>
      </c>
      <c t="str" s="57" r="Z3">
        <f t="shared" si="1"/>
        <v>1,14</v>
      </c>
      <c t="str" s="57" r="AA3">
        <f t="shared" si="1"/>
        <v>1,15</v>
      </c>
      <c t="str" s="57" r="AB3">
        <f t="shared" si="1"/>
        <v>1,16</v>
      </c>
      <c t="str" s="57" r="AC3">
        <f t="shared" si="1"/>
        <v>1,17</v>
      </c>
      <c t="str" s="57" r="AD3">
        <f t="shared" si="1"/>
        <v>1,18</v>
      </c>
      <c t="str" s="57" r="AE3">
        <f t="shared" si="1"/>
        <v>1,19</v>
      </c>
      <c t="str" s="57" r="AF3">
        <f t="shared" si="1"/>
        <v>1,2</v>
      </c>
      <c t="str" s="57" r="AG3">
        <f t="shared" si="1"/>
        <v>1,21</v>
      </c>
      <c t="str" s="57" r="AH3">
        <f t="shared" si="1"/>
        <v>1,22</v>
      </c>
      <c t="str" s="57" r="AI3">
        <f t="shared" si="1"/>
        <v>1,23</v>
      </c>
      <c t="str" s="57" r="AJ3">
        <f t="shared" si="1"/>
        <v>1,24</v>
      </c>
      <c t="str" s="57" r="AK3">
        <f t="shared" si="1"/>
        <v>1,25</v>
      </c>
      <c t="str" s="57" r="AL3">
        <f t="shared" si="1"/>
        <v>1,26</v>
      </c>
      <c t="str" s="57" r="AM3">
        <f t="shared" si="1"/>
        <v>1,27</v>
      </c>
      <c t="str" s="57" r="AN3">
        <f t="shared" si="1"/>
        <v>1,28</v>
      </c>
      <c t="str" s="57" r="AO3">
        <f t="shared" si="1"/>
        <v>1,29</v>
      </c>
      <c t="str" s="57" r="AP3">
        <f t="shared" si="1"/>
        <v>1,3</v>
      </c>
      <c t="str" s="57" r="AQ3">
        <f>AP3*12</f>
        <v>15,6</v>
      </c>
      <c s="31" r="AR3"/>
      <c s="31" r="AS3"/>
      <c s="31" r="AT3"/>
    </row>
    <row customHeight="1" r="4" ht="15.75">
      <c s="56" r="A4"/>
      <c s="56" r="B4"/>
      <c t="s" s="58" r="C4">
        <v>83</v>
      </c>
      <c t="str" s="59" r="D4">
        <f>D2*D3</f>
        <v>0,00</v>
      </c>
      <c s="59" r="E4">
        <v>2.0</v>
      </c>
      <c s="59" r="F4">
        <v>3.0</v>
      </c>
      <c t="str" s="59" r="G4">
        <f ref="G4:AQ4" t="shared" si="2">G2*G3</f>
        <v>1,00</v>
      </c>
      <c t="str" s="59" r="H4">
        <f t="shared" si="2"/>
        <v>1,00</v>
      </c>
      <c t="str" s="59" r="I4">
        <f t="shared" si="2"/>
        <v>1,00</v>
      </c>
      <c t="str" s="59" r="J4">
        <f t="shared" si="2"/>
        <v>1,00</v>
      </c>
      <c t="str" s="59" r="K4">
        <f t="shared" si="2"/>
        <v>1,00</v>
      </c>
      <c t="str" s="59" r="L4">
        <f t="shared" si="2"/>
        <v>1,00</v>
      </c>
      <c t="str" s="59" r="M4">
        <f t="shared" si="2"/>
        <v>1,01</v>
      </c>
      <c t="str" s="59" r="N4">
        <f t="shared" si="2"/>
        <v>1,02</v>
      </c>
      <c t="str" s="59" r="O4">
        <f t="shared" si="2"/>
        <v>1,03</v>
      </c>
      <c t="str" s="59" r="P4">
        <f t="shared" si="2"/>
        <v>1,04</v>
      </c>
      <c t="str" s="59" r="Q4">
        <f t="shared" si="2"/>
        <v>1,05</v>
      </c>
      <c t="str" s="59" r="R4">
        <f t="shared" si="2"/>
        <v>1,06</v>
      </c>
      <c t="str" s="59" r="S4">
        <f t="shared" si="2"/>
        <v>1,07</v>
      </c>
      <c t="str" s="59" r="T4">
        <f t="shared" si="2"/>
        <v>1,08</v>
      </c>
      <c t="str" s="59" r="U4">
        <f t="shared" si="2"/>
        <v>1,09</v>
      </c>
      <c t="str" s="59" r="V4">
        <f t="shared" si="2"/>
        <v>1,10</v>
      </c>
      <c t="str" s="59" r="W4">
        <f t="shared" si="2"/>
        <v>1,11</v>
      </c>
      <c t="str" s="59" r="X4">
        <f t="shared" si="2"/>
        <v>1,12</v>
      </c>
      <c t="str" s="59" r="Y4">
        <f t="shared" si="2"/>
        <v>1,13</v>
      </c>
      <c t="str" s="59" r="Z4">
        <f t="shared" si="2"/>
        <v>1,14</v>
      </c>
      <c t="str" s="59" r="AA4">
        <f t="shared" si="2"/>
        <v>1,15</v>
      </c>
      <c t="str" s="59" r="AB4">
        <f t="shared" si="2"/>
        <v>1,16</v>
      </c>
      <c t="str" s="59" r="AC4">
        <f t="shared" si="2"/>
        <v>1,17</v>
      </c>
      <c t="str" s="59" r="AD4">
        <f t="shared" si="2"/>
        <v>1,18</v>
      </c>
      <c t="str" s="59" r="AE4">
        <f t="shared" si="2"/>
        <v>1,19</v>
      </c>
      <c t="str" s="59" r="AF4">
        <f t="shared" si="2"/>
        <v>1,20</v>
      </c>
      <c t="str" s="59" r="AG4">
        <f t="shared" si="2"/>
        <v>1,21</v>
      </c>
      <c t="str" s="59" r="AH4">
        <f t="shared" si="2"/>
        <v>1,22</v>
      </c>
      <c t="str" s="59" r="AI4">
        <f t="shared" si="2"/>
        <v>1,23</v>
      </c>
      <c t="str" s="59" r="AJ4">
        <f t="shared" si="2"/>
        <v>1,24</v>
      </c>
      <c t="str" s="59" r="AK4">
        <f t="shared" si="2"/>
        <v>1,25</v>
      </c>
      <c t="str" s="59" r="AL4">
        <f t="shared" si="2"/>
        <v>1,26</v>
      </c>
      <c t="str" s="59" r="AM4">
        <f t="shared" si="2"/>
        <v>1,27</v>
      </c>
      <c t="str" s="59" r="AN4">
        <f t="shared" si="2"/>
        <v>1,28</v>
      </c>
      <c t="str" s="59" r="AO4">
        <f t="shared" si="2"/>
        <v>1,29</v>
      </c>
      <c t="str" s="59" r="AP4">
        <f t="shared" si="2"/>
        <v>1,30</v>
      </c>
      <c t="str" s="59" r="AQ4">
        <f t="shared" si="2"/>
        <v>15,60</v>
      </c>
      <c s="31" r="AR4"/>
      <c s="31" r="AS4"/>
      <c s="31" r="AT4"/>
    </row>
    <row customHeight="1" r="5" ht="15.75">
      <c s="56" r="A5"/>
      <c s="56" r="B5"/>
      <c s="25" r="C5"/>
      <c s="57" r="D5"/>
      <c s="57" r="E5"/>
      <c s="57" r="F5"/>
      <c s="57" r="G5"/>
      <c s="57" r="H5"/>
      <c s="57" r="I5"/>
      <c s="57" r="J5"/>
      <c s="57" r="K5"/>
      <c s="57" r="L5"/>
      <c s="57" r="M5"/>
      <c s="57" r="N5"/>
      <c s="57" r="O5"/>
      <c s="57" r="P5"/>
      <c s="57" r="Q5"/>
      <c s="57" r="R5"/>
      <c s="57" r="S5"/>
      <c s="57" r="T5"/>
      <c s="57" r="U5"/>
      <c s="57" r="V5"/>
      <c s="57" r="W5"/>
      <c s="57" r="X5"/>
      <c s="57" r="Y5"/>
      <c s="57" r="Z5"/>
      <c s="57" r="AA5"/>
      <c s="57" r="AB5"/>
      <c s="57" r="AC5"/>
      <c s="57" r="AD5"/>
      <c s="57" r="AE5"/>
      <c s="57" r="AF5"/>
      <c s="57" r="AG5"/>
      <c s="57" r="AH5"/>
      <c s="57" r="AI5"/>
      <c s="57" r="AJ5"/>
      <c s="57" r="AK5"/>
      <c s="57" r="AL5"/>
      <c s="57" r="AM5"/>
      <c s="57" r="AN5"/>
      <c s="57" r="AO5"/>
      <c s="57" r="AP5"/>
      <c s="57" r="AQ5"/>
      <c s="31" r="AR5"/>
      <c s="31" r="AS5"/>
      <c s="31" r="AT5"/>
    </row>
    <row customHeight="1" r="6" ht="15.75">
      <c t="s" s="56" r="A6">
        <v>84</v>
      </c>
      <c s="56" r="B6"/>
      <c s="25" r="C6"/>
      <c t="str" s="57" r="D6">
        <f>'Couts administratifs, SAV, fina'!N29</f>
        <v/>
      </c>
      <c t="str" s="57" r="E6">
        <f>'Couts administratifs, SAV, fina'!O29</f>
        <v/>
      </c>
      <c t="str" s="57" r="F6">
        <f>'Couts administratifs, SAV, fina'!P29</f>
        <v/>
      </c>
      <c t="str" s="57" r="G6">
        <f>'Couts administratifs, SAV, fina'!Q29</f>
        <v/>
      </c>
      <c t="str" s="57" r="H6">
        <f>'Couts administratifs, SAV, fina'!R29</f>
        <v>1,</v>
      </c>
      <c t="str" s="57" r="I6">
        <f>'Couts administratifs, SAV, fina'!S29</f>
        <v>1,</v>
      </c>
      <c t="str" s="57" r="J6">
        <f>'Couts administratifs, SAV, fina'!T29</f>
        <v>1,</v>
      </c>
      <c t="str" s="57" r="K6">
        <f>'Couts administratifs, SAV, fina'!U29</f>
        <v>2,</v>
      </c>
      <c t="str" s="57" r="L6">
        <f>'Couts administratifs, SAV, fina'!V29</f>
        <v>2,</v>
      </c>
      <c t="str" s="57" r="M6">
        <f>'Couts administratifs, SAV, fina'!W29</f>
        <v>2,</v>
      </c>
      <c t="str" s="57" r="N6">
        <f>'Couts administratifs, SAV, fina'!X29</f>
        <v>2,</v>
      </c>
      <c t="str" s="57" r="O6">
        <f>'Couts administratifs, SAV, fina'!Y29</f>
        <v>2,</v>
      </c>
      <c t="str" s="57" r="P6">
        <f>'Couts administratifs, SAV, fina'!Z29</f>
        <v>2,</v>
      </c>
      <c t="str" s="57" r="Q6">
        <f>'Couts administratifs, SAV, fina'!AA29</f>
        <v>2,</v>
      </c>
      <c t="str" s="57" r="R6">
        <f>'Couts administratifs, SAV, fina'!AB29</f>
        <v>2,</v>
      </c>
      <c t="str" s="57" r="S6">
        <f>'Couts administratifs, SAV, fina'!AC29</f>
        <v>4,</v>
      </c>
      <c t="str" s="57" r="T6">
        <f>'Couts administratifs, SAV, fina'!AD29</f>
        <v>5,</v>
      </c>
      <c t="str" s="57" r="U6">
        <f>'Couts administratifs, SAV, fina'!AE29</f>
        <v>5,</v>
      </c>
      <c t="str" s="57" r="V6">
        <f>'Couts administratifs, SAV, fina'!AF29</f>
        <v>5,</v>
      </c>
      <c t="str" s="57" r="W6">
        <f>'Couts administratifs, SAV, fina'!AG29</f>
        <v>5,</v>
      </c>
      <c t="str" s="57" r="X6">
        <f>'Couts administratifs, SAV, fina'!AH29</f>
        <v>5,</v>
      </c>
      <c t="str" s="57" r="Y6">
        <f>'Couts administratifs, SAV, fina'!AI29</f>
        <v>5,</v>
      </c>
      <c t="str" s="57" r="Z6">
        <f>'Couts administratifs, SAV, fina'!AJ29</f>
        <v>5,</v>
      </c>
      <c t="str" s="57" r="AA6">
        <f>'Couts administratifs, SAV, fina'!AK29</f>
        <v>5,</v>
      </c>
      <c t="str" s="57" r="AB6">
        <f>'Couts administratifs, SAV, fina'!AL29</f>
        <v>5,</v>
      </c>
      <c t="str" s="57" r="AC6">
        <f>'Couts administratifs, SAV, fina'!AM29</f>
        <v>5,</v>
      </c>
      <c t="str" s="57" r="AD6">
        <f>'Couts administratifs, SAV, fina'!AN29</f>
        <v>5,</v>
      </c>
      <c t="str" s="57" r="AE6">
        <f>'Couts administratifs, SAV, fina'!AO29</f>
        <v>8,</v>
      </c>
      <c t="str" s="57" r="AF6">
        <f>'Couts administratifs, SAV, fina'!AP29</f>
        <v>8,</v>
      </c>
      <c t="str" s="57" r="AG6">
        <f>'Couts administratifs, SAV, fina'!AQ29</f>
        <v>8,</v>
      </c>
      <c t="str" s="57" r="AH6">
        <f>'Couts administratifs, SAV, fina'!AR29</f>
        <v>8,</v>
      </c>
      <c t="str" s="57" r="AI6">
        <f>'Couts administratifs, SAV, fina'!AS29</f>
        <v>8,</v>
      </c>
      <c t="str" s="57" r="AJ6">
        <f>'Couts administratifs, SAV, fina'!AT29</f>
        <v>8,</v>
      </c>
      <c t="str" s="57" r="AK6">
        <f>'Couts administratifs, SAV, fina'!AU29</f>
        <v>8,</v>
      </c>
      <c t="str" s="57" r="AL6">
        <f>'Couts administratifs, SAV, fina'!AV29</f>
        <v>8,</v>
      </c>
      <c t="str" s="57" r="AM6">
        <f>'Couts administratifs, SAV, fina'!AW29</f>
        <v>8,</v>
      </c>
      <c t="str" s="57" r="AN6">
        <f>'Couts administratifs, SAV, fina'!AX29</f>
        <v>8,</v>
      </c>
      <c t="str" s="57" r="AO6">
        <f>'Couts administratifs, SAV, fina'!AY29</f>
        <v>8,</v>
      </c>
      <c t="str" s="57" r="AP6">
        <f>'Couts administratifs, SAV, fina'!AZ29</f>
        <v>8,</v>
      </c>
      <c t="str" s="57" r="AQ6">
        <f ref="AQ6:AQ7" t="shared" si="3">AP6</f>
        <v>8,</v>
      </c>
      <c s="31" r="AR6"/>
      <c s="31" r="AS6"/>
      <c s="31" r="AT6"/>
    </row>
    <row customHeight="1" r="7" ht="15.75">
      <c t="s" s="60" r="A7">
        <v>85</v>
      </c>
      <c s="60" r="B7"/>
      <c s="61" r="C7"/>
      <c s="57" r="D7"/>
      <c s="57" r="E7"/>
      <c s="57" r="F7"/>
      <c s="57" r="G7"/>
      <c t="str" s="57" r="H7">
        <f>'Couts administratifs, SAV, fina'!N28+'Couts administratifs, SAV, fina'!N26+1</f>
        <v>2,</v>
      </c>
      <c t="str" s="57" r="I7">
        <f>'Couts administratifs, SAV, fina'!O28+'Couts administratifs, SAV, fina'!O26+1</f>
        <v>2,</v>
      </c>
      <c t="str" s="57" r="J7">
        <f>'Couts administratifs, SAV, fina'!P28+'Couts administratifs, SAV, fina'!P26+1</f>
        <v>2,</v>
      </c>
      <c t="str" s="57" r="K7">
        <f>'Couts administratifs, SAV, fina'!Q28+'Couts administratifs, SAV, fina'!Q26+1</f>
        <v>2,</v>
      </c>
      <c t="str" s="57" r="L7">
        <f>'Couts administratifs, SAV, fina'!R28+'Couts administratifs, SAV, fina'!R26+1</f>
        <v>3,</v>
      </c>
      <c t="str" s="57" r="M7">
        <f>'Couts administratifs, SAV, fina'!S28+'Couts administratifs, SAV, fina'!S26+1</f>
        <v>4,</v>
      </c>
      <c t="str" s="57" r="N7">
        <f>'Couts administratifs, SAV, fina'!T28+'Couts administratifs, SAV, fina'!T26+1</f>
        <v>4,</v>
      </c>
      <c t="str" s="57" r="O7">
        <f>'Couts administratifs, SAV, fina'!U28+'Couts administratifs, SAV, fina'!U26+1</f>
        <v>4,</v>
      </c>
      <c t="str" s="57" r="P7">
        <f>'Couts administratifs, SAV, fina'!V28+'Couts administratifs, SAV, fina'!V26+1</f>
        <v>4,</v>
      </c>
      <c t="str" s="57" r="Q7">
        <f>'Couts administratifs, SAV, fina'!W28+'Couts administratifs, SAV, fina'!W26+1</f>
        <v>4,</v>
      </c>
      <c t="str" s="57" r="R7">
        <f>'Couts administratifs, SAV, fina'!X28+'Couts administratifs, SAV, fina'!X26+1</f>
        <v>4,</v>
      </c>
      <c t="str" s="57" r="S7">
        <f>'Couts administratifs, SAV, fina'!Y28+'Couts administratifs, SAV, fina'!Y26+1</f>
        <v>4,</v>
      </c>
      <c t="str" s="57" r="T7">
        <f>'Couts administratifs, SAV, fina'!Z28+'Couts administratifs, SAV, fina'!Z26+1</f>
        <v>4,</v>
      </c>
      <c t="str" s="57" r="U7">
        <f>'Couts administratifs, SAV, fina'!AA28+'Couts administratifs, SAV, fina'!AA26+1</f>
        <v>4,</v>
      </c>
      <c t="str" s="57" r="V7">
        <f>'Couts administratifs, SAV, fina'!AB28+'Couts administratifs, SAV, fina'!AB26+1</f>
        <v>5,</v>
      </c>
      <c t="str" s="57" r="W7">
        <f>'Couts administratifs, SAV, fina'!AC28+'Couts administratifs, SAV, fina'!AC26+1</f>
        <v>6,</v>
      </c>
      <c t="str" s="57" r="X7">
        <f>'Couts administratifs, SAV, fina'!AD28+'Couts administratifs, SAV, fina'!AD26+1</f>
        <v>7,</v>
      </c>
      <c t="str" s="57" r="Y7">
        <f>'Couts administratifs, SAV, fina'!AE28+'Couts administratifs, SAV, fina'!AE26+1</f>
        <v>7,</v>
      </c>
      <c t="str" s="57" r="Z7">
        <f>'Couts administratifs, SAV, fina'!AF28+'Couts administratifs, SAV, fina'!AF26+1</f>
        <v>7,</v>
      </c>
      <c t="str" s="57" r="AA7">
        <f>'Couts administratifs, SAV, fina'!AG28+'Couts administratifs, SAV, fina'!AG26+1</f>
        <v>7,</v>
      </c>
      <c t="str" s="57" r="AB7">
        <f>'Couts administratifs, SAV, fina'!AH28+'Couts administratifs, SAV, fina'!AH26+1</f>
        <v>7,</v>
      </c>
      <c t="str" s="57" r="AC7">
        <f>'Couts administratifs, SAV, fina'!AI28+'Couts administratifs, SAV, fina'!AI26+1</f>
        <v>7,</v>
      </c>
      <c t="str" s="57" r="AD7">
        <f>'Couts administratifs, SAV, fina'!AJ28+'Couts administratifs, SAV, fina'!AJ26+1</f>
        <v>7,</v>
      </c>
      <c t="str" s="57" r="AE7">
        <f>'Couts administratifs, SAV, fina'!AK28+'Couts administratifs, SAV, fina'!AK26+1</f>
        <v>7,</v>
      </c>
      <c t="str" s="57" r="AF7">
        <f>'Couts administratifs, SAV, fina'!AL28+'Couts administratifs, SAV, fina'!AL26+1</f>
        <v>7,</v>
      </c>
      <c t="str" s="57" r="AG7">
        <f>'Couts administratifs, SAV, fina'!AM28+'Couts administratifs, SAV, fina'!AM26+1</f>
        <v>7,</v>
      </c>
      <c t="str" s="57" r="AH7">
        <f>'Couts administratifs, SAV, fina'!AN28+'Couts administratifs, SAV, fina'!AN26+1</f>
        <v>7,</v>
      </c>
      <c t="str" s="57" r="AI7">
        <f>'Couts administratifs, SAV, fina'!AO28+'Couts administratifs, SAV, fina'!AO26+1</f>
        <v>8,</v>
      </c>
      <c t="str" s="57" r="AJ7">
        <f>'Couts administratifs, SAV, fina'!AP28+'Couts administratifs, SAV, fina'!AP26+1</f>
        <v>8,</v>
      </c>
      <c t="str" s="57" r="AK7">
        <f>'Couts administratifs, SAV, fina'!AQ28+'Couts administratifs, SAV, fina'!AQ26+1</f>
        <v>8,</v>
      </c>
      <c t="str" s="57" r="AL7">
        <f>'Couts administratifs, SAV, fina'!AR28+'Couts administratifs, SAV, fina'!AR26+1</f>
        <v>8,</v>
      </c>
      <c t="str" s="57" r="AM7">
        <f>'Couts administratifs, SAV, fina'!AS28+'Couts administratifs, SAV, fina'!AS26+1</f>
        <v>8,</v>
      </c>
      <c t="str" s="57" r="AN7">
        <f>'Couts administratifs, SAV, fina'!AT28+'Couts administratifs, SAV, fina'!AT26+1</f>
        <v>8,</v>
      </c>
      <c t="str" s="57" r="AO7">
        <f>'Couts administratifs, SAV, fina'!AU28+'Couts administratifs, SAV, fina'!AU26+1</f>
        <v>8,</v>
      </c>
      <c t="str" s="57" r="AP7">
        <f>'Couts administratifs, SAV, fina'!AV28+'Couts administratifs, SAV, fina'!AV26+1</f>
        <v>8,</v>
      </c>
      <c t="str" s="57" r="AQ7">
        <f t="shared" si="3"/>
        <v>8,</v>
      </c>
      <c s="62" r="AR7"/>
      <c s="62" r="AS7"/>
      <c s="62" r="AT7"/>
    </row>
    <row customHeight="1" r="8" ht="15.75">
      <c t="s" s="56" r="A8">
        <v>86</v>
      </c>
      <c s="56" r="B8"/>
      <c s="25" r="C8"/>
      <c s="57" r="D8"/>
      <c s="57" r="E8"/>
      <c s="57" r="F8"/>
      <c s="57" r="G8"/>
      <c s="57" r="H8">
        <v>1.0</v>
      </c>
      <c s="57" r="I8">
        <v>1.0</v>
      </c>
      <c s="57" r="J8">
        <v>1.0</v>
      </c>
      <c s="57" r="K8">
        <v>1.0</v>
      </c>
      <c s="57" r="L8">
        <v>1.0</v>
      </c>
      <c t="str" s="57" r="M8">
        <f ref="M8:AP8" t="shared" si="4">M15</f>
        <v>1,01</v>
      </c>
      <c t="str" s="57" r="N8">
        <f t="shared" si="4"/>
        <v>1,02</v>
      </c>
      <c t="str" s="57" r="O8">
        <f t="shared" si="4"/>
        <v>1,03</v>
      </c>
      <c t="str" s="57" r="P8">
        <f t="shared" si="4"/>
        <v>1,04</v>
      </c>
      <c t="str" s="57" r="Q8">
        <f t="shared" si="4"/>
        <v>1,05</v>
      </c>
      <c t="str" s="57" r="R8">
        <f t="shared" si="4"/>
        <v>1,06</v>
      </c>
      <c t="str" s="57" r="S8">
        <f t="shared" si="4"/>
        <v>1,07</v>
      </c>
      <c t="str" s="57" r="T8">
        <f t="shared" si="4"/>
        <v>1,08</v>
      </c>
      <c t="str" s="57" r="U8">
        <f t="shared" si="4"/>
        <v>1,09</v>
      </c>
      <c t="str" s="57" r="V8">
        <f t="shared" si="4"/>
        <v>1,1</v>
      </c>
      <c t="str" s="57" r="W8">
        <f t="shared" si="4"/>
        <v>1,11</v>
      </c>
      <c t="str" s="57" r="X8">
        <f t="shared" si="4"/>
        <v>1,12</v>
      </c>
      <c t="str" s="57" r="Y8">
        <f t="shared" si="4"/>
        <v>1,13</v>
      </c>
      <c t="str" s="57" r="Z8">
        <f t="shared" si="4"/>
        <v>1,14</v>
      </c>
      <c t="str" s="57" r="AA8">
        <f t="shared" si="4"/>
        <v>1,15</v>
      </c>
      <c t="str" s="57" r="AB8">
        <f t="shared" si="4"/>
        <v>1,16</v>
      </c>
      <c t="str" s="57" r="AC8">
        <f t="shared" si="4"/>
        <v>1,17</v>
      </c>
      <c t="str" s="57" r="AD8">
        <f t="shared" si="4"/>
        <v>1,18</v>
      </c>
      <c t="str" s="57" r="AE8">
        <f t="shared" si="4"/>
        <v>1,19</v>
      </c>
      <c t="str" s="57" r="AF8">
        <f t="shared" si="4"/>
        <v>1,2</v>
      </c>
      <c t="str" s="57" r="AG8">
        <f t="shared" si="4"/>
        <v>1,21</v>
      </c>
      <c t="str" s="57" r="AH8">
        <f t="shared" si="4"/>
        <v>1,22</v>
      </c>
      <c t="str" s="57" r="AI8">
        <f t="shared" si="4"/>
        <v>1,23</v>
      </c>
      <c t="str" s="57" r="AJ8">
        <f t="shared" si="4"/>
        <v>1,24</v>
      </c>
      <c t="str" s="57" r="AK8">
        <f t="shared" si="4"/>
        <v>1,25</v>
      </c>
      <c t="str" s="57" r="AL8">
        <f t="shared" si="4"/>
        <v>1,26</v>
      </c>
      <c t="str" s="57" r="AM8">
        <f t="shared" si="4"/>
        <v>1,27</v>
      </c>
      <c t="str" s="57" r="AN8">
        <f t="shared" si="4"/>
        <v>1,28</v>
      </c>
      <c t="str" s="57" r="AO8">
        <f t="shared" si="4"/>
        <v>1,29</v>
      </c>
      <c t="str" s="57" r="AP8">
        <f t="shared" si="4"/>
        <v>1,3</v>
      </c>
      <c t="str" s="57" r="AQ8">
        <f>AP8*12</f>
        <v>15,6</v>
      </c>
      <c s="31" r="AR8"/>
      <c s="31" r="AS8"/>
      <c s="31" r="AT8"/>
    </row>
    <row customHeight="1" r="9" ht="15.75">
      <c s="60" r="A9"/>
      <c s="60" r="B9"/>
      <c t="s" s="63" r="C9">
        <v>87</v>
      </c>
      <c s="59" r="D9"/>
      <c s="59" r="E9"/>
      <c s="59" r="F9"/>
      <c s="59" r="G9"/>
      <c t="str" s="59" r="H9">
        <f ref="H9:AQ9" t="shared" si="5">H6*H8</f>
        <v>1,00</v>
      </c>
      <c t="str" s="59" r="I9">
        <f t="shared" si="5"/>
        <v>1,00</v>
      </c>
      <c t="str" s="59" r="J9">
        <f t="shared" si="5"/>
        <v>1,00</v>
      </c>
      <c t="str" s="59" r="K9">
        <f t="shared" si="5"/>
        <v>2,00</v>
      </c>
      <c t="str" s="59" r="L9">
        <f t="shared" si="5"/>
        <v>2,00</v>
      </c>
      <c t="str" s="59" r="M9">
        <f t="shared" si="5"/>
        <v>2,02</v>
      </c>
      <c t="str" s="59" r="N9">
        <f t="shared" si="5"/>
        <v>2,04</v>
      </c>
      <c t="str" s="59" r="O9">
        <f t="shared" si="5"/>
        <v>2,06</v>
      </c>
      <c t="str" s="59" r="P9">
        <f t="shared" si="5"/>
        <v>2,08</v>
      </c>
      <c t="str" s="59" r="Q9">
        <f t="shared" si="5"/>
        <v>2,10</v>
      </c>
      <c t="str" s="59" r="R9">
        <f t="shared" si="5"/>
        <v>2,12</v>
      </c>
      <c t="str" s="59" r="S9">
        <f t="shared" si="5"/>
        <v>4,28</v>
      </c>
      <c t="str" s="59" r="T9">
        <f t="shared" si="5"/>
        <v>5,40</v>
      </c>
      <c t="str" s="59" r="U9">
        <f t="shared" si="5"/>
        <v>5,45</v>
      </c>
      <c t="str" s="59" r="V9">
        <f t="shared" si="5"/>
        <v>5,50</v>
      </c>
      <c t="str" s="59" r="W9">
        <f t="shared" si="5"/>
        <v>5,55</v>
      </c>
      <c t="str" s="59" r="X9">
        <f t="shared" si="5"/>
        <v>5,60</v>
      </c>
      <c t="str" s="59" r="Y9">
        <f t="shared" si="5"/>
        <v>5,65</v>
      </c>
      <c t="str" s="59" r="Z9">
        <f t="shared" si="5"/>
        <v>5,70</v>
      </c>
      <c t="str" s="59" r="AA9">
        <f t="shared" si="5"/>
        <v>5,75</v>
      </c>
      <c t="str" s="59" r="AB9">
        <f t="shared" si="5"/>
        <v>5,80</v>
      </c>
      <c t="str" s="59" r="AC9">
        <f t="shared" si="5"/>
        <v>5,85</v>
      </c>
      <c t="str" s="59" r="AD9">
        <f t="shared" si="5"/>
        <v>5,90</v>
      </c>
      <c t="str" s="59" r="AE9">
        <f t="shared" si="5"/>
        <v>9,52</v>
      </c>
      <c t="str" s="59" r="AF9">
        <f t="shared" si="5"/>
        <v>9,60</v>
      </c>
      <c t="str" s="59" r="AG9">
        <f t="shared" si="5"/>
        <v>9,68</v>
      </c>
      <c t="str" s="59" r="AH9">
        <f t="shared" si="5"/>
        <v>9,76</v>
      </c>
      <c t="str" s="59" r="AI9">
        <f t="shared" si="5"/>
        <v>9,84</v>
      </c>
      <c t="str" s="59" r="AJ9">
        <f t="shared" si="5"/>
        <v>9,92</v>
      </c>
      <c t="str" s="59" r="AK9">
        <f t="shared" si="5"/>
        <v>10,00</v>
      </c>
      <c t="str" s="59" r="AL9">
        <f t="shared" si="5"/>
        <v>10,08</v>
      </c>
      <c t="str" s="59" r="AM9">
        <f t="shared" si="5"/>
        <v>10,16</v>
      </c>
      <c t="str" s="59" r="AN9">
        <f t="shared" si="5"/>
        <v>10,24</v>
      </c>
      <c t="str" s="59" r="AO9">
        <f t="shared" si="5"/>
        <v>10,32</v>
      </c>
      <c t="str" s="59" r="AP9">
        <f t="shared" si="5"/>
        <v>10,40</v>
      </c>
      <c t="str" s="59" r="AQ9">
        <f t="shared" si="5"/>
        <v>124,80</v>
      </c>
      <c s="62" r="AR9"/>
      <c s="62" r="AS9"/>
      <c s="62" r="AT9"/>
    </row>
    <row customHeight="1" r="10" ht="15.75">
      <c s="56" r="A10"/>
      <c s="56" r="B10"/>
      <c s="25" r="C10"/>
      <c s="61" r="D10"/>
      <c s="61" r="E10"/>
      <c s="61" r="F10"/>
      <c s="61" r="G10"/>
      <c s="61" r="H10"/>
      <c s="61" r="I10"/>
      <c s="61" r="J10"/>
      <c s="61" r="K10"/>
      <c s="61" r="L10"/>
      <c s="61" r="M10"/>
      <c s="61" r="N10"/>
      <c s="61" r="O10"/>
      <c s="61" r="P10"/>
      <c s="61" r="Q10"/>
      <c s="61" r="R10"/>
      <c s="61" r="S10"/>
      <c s="61" r="T10"/>
      <c s="61" r="U10"/>
      <c s="61" r="V10"/>
      <c s="61" r="W10"/>
      <c s="61" r="X10"/>
      <c s="61" r="Y10"/>
      <c s="61" r="Z10"/>
      <c s="61" r="AA10"/>
      <c s="61" r="AB10"/>
      <c s="61" r="AC10"/>
      <c s="61" r="AD10"/>
      <c s="61" r="AE10"/>
      <c s="61" r="AF10"/>
      <c s="61" r="AG10"/>
      <c s="61" r="AH10"/>
      <c s="61" r="AI10"/>
      <c s="61" r="AJ10"/>
      <c s="61" r="AK10"/>
      <c s="61" r="AL10"/>
      <c s="61" r="AM10"/>
      <c s="61" r="AN10"/>
      <c s="61" r="AO10"/>
      <c s="61" r="AP10"/>
      <c s="61" r="AQ10"/>
      <c s="31" r="AR10"/>
      <c s="31" r="AS10"/>
      <c s="31" r="AT10"/>
    </row>
    <row customHeight="1" r="11" ht="15.75">
      <c t="s" s="60" r="A11">
        <v>88</v>
      </c>
      <c s="60" r="B11"/>
      <c s="61" r="C11"/>
      <c s="61" r="D11"/>
      <c s="61" r="E11"/>
      <c s="61" r="F11"/>
      <c s="61" r="G11">
        <v>3.0</v>
      </c>
      <c s="61" r="H11"/>
      <c s="61" r="I11"/>
      <c s="61" r="J11">
        <v>4.0</v>
      </c>
      <c s="61" r="K11"/>
      <c s="61" r="L11"/>
      <c s="61" r="M11">
        <v>5.0</v>
      </c>
      <c s="61" r="N11"/>
      <c s="61" r="O11"/>
      <c s="61" r="P11">
        <v>5.0</v>
      </c>
      <c s="61" r="Q11"/>
      <c s="61" r="R11">
        <v>5.0</v>
      </c>
      <c s="61" r="S11">
        <v>5.0</v>
      </c>
      <c s="61" r="T11">
        <v>6.0</v>
      </c>
      <c s="61" r="U11">
        <v>6.0</v>
      </c>
      <c t="str" s="61" r="V11">
        <f ref="V11:AD11" t="shared" si="6">U11</f>
        <v>6,00</v>
      </c>
      <c t="str" s="61" r="W11">
        <f t="shared" si="6"/>
        <v>6,00</v>
      </c>
      <c t="str" s="61" r="X11">
        <f t="shared" si="6"/>
        <v>6,00</v>
      </c>
      <c t="str" s="61" r="Y11">
        <f t="shared" si="6"/>
        <v>6,00</v>
      </c>
      <c t="str" s="61" r="Z11">
        <f t="shared" si="6"/>
        <v>6,00</v>
      </c>
      <c t="str" s="61" r="AA11">
        <f t="shared" si="6"/>
        <v>6,00</v>
      </c>
      <c t="str" s="61" r="AB11">
        <f t="shared" si="6"/>
        <v>6,00</v>
      </c>
      <c t="str" s="61" r="AC11">
        <f t="shared" si="6"/>
        <v>6,00</v>
      </c>
      <c t="str" s="61" r="AD11">
        <f t="shared" si="6"/>
        <v>6,00</v>
      </c>
      <c s="61" r="AE11">
        <v>8.0</v>
      </c>
      <c s="61" r="AF11">
        <v>8.0</v>
      </c>
      <c s="61" r="AG11">
        <v>8.0</v>
      </c>
      <c s="61" r="AH11">
        <v>8.0</v>
      </c>
      <c s="61" r="AI11">
        <v>8.0</v>
      </c>
      <c s="61" r="AJ11">
        <v>8.0</v>
      </c>
      <c s="61" r="AK11">
        <v>8.0</v>
      </c>
      <c s="61" r="AL11">
        <v>8.0</v>
      </c>
      <c s="61" r="AM11">
        <v>8.0</v>
      </c>
      <c s="61" r="AN11">
        <v>8.0</v>
      </c>
      <c s="61" r="AO11">
        <v>8.0</v>
      </c>
      <c s="61" r="AP11">
        <v>8.0</v>
      </c>
      <c t="str" s="61" r="AQ11">
        <f>AP11</f>
        <v>8,00</v>
      </c>
      <c s="62" r="AR11"/>
      <c s="62" r="AS11"/>
      <c s="62" r="AT11"/>
    </row>
    <row r="12">
      <c t="s" s="60" r="A12">
        <v>89</v>
      </c>
      <c s="64" r="B12"/>
      <c s="64" r="C12"/>
      <c s="61" r="D12"/>
      <c s="61" r="E12"/>
      <c s="61" r="F12"/>
      <c s="61" r="G12">
        <v>1.0</v>
      </c>
      <c s="61" r="H12"/>
      <c s="61" r="I12"/>
      <c s="61" r="J12">
        <v>1.0</v>
      </c>
      <c s="61" r="K12"/>
      <c s="61" r="L12"/>
      <c s="61" r="M12">
        <v>1.0</v>
      </c>
      <c s="61" r="N12"/>
      <c s="61" r="O12"/>
      <c s="61" r="P12">
        <v>1.3333</v>
      </c>
      <c s="61" r="Q12"/>
      <c s="61" r="R12">
        <v>1.0</v>
      </c>
      <c t="str" s="61" r="S12">
        <f>4/3</f>
        <v>1,33</v>
      </c>
      <c t="str" s="61" r="T12">
        <f>5/4</f>
        <v>1,25</v>
      </c>
      <c t="str" s="61" r="U12">
        <f>6/4</f>
        <v>1,50</v>
      </c>
      <c s="61" r="V12">
        <v>1.5</v>
      </c>
      <c s="61" r="W12">
        <v>1.5</v>
      </c>
      <c s="61" r="X12">
        <v>1.5</v>
      </c>
      <c s="61" r="Y12">
        <v>1.5</v>
      </c>
      <c s="61" r="Z12">
        <v>1.5</v>
      </c>
      <c s="61" r="AA12">
        <v>1.5</v>
      </c>
      <c s="61" r="AB12">
        <v>1.5</v>
      </c>
      <c s="61" r="AC12">
        <v>1.5</v>
      </c>
      <c s="61" r="AD12">
        <v>1.5</v>
      </c>
      <c t="str" s="61" r="AE12">
        <f ref="AE12:AP12" t="shared" si="7">10/8</f>
        <v>1,25</v>
      </c>
      <c t="str" s="61" r="AF12">
        <f t="shared" si="7"/>
        <v>1,25</v>
      </c>
      <c t="str" s="61" r="AG12">
        <f t="shared" si="7"/>
        <v>1,25</v>
      </c>
      <c t="str" s="61" r="AH12">
        <f t="shared" si="7"/>
        <v>1,25</v>
      </c>
      <c t="str" s="61" r="AI12">
        <f t="shared" si="7"/>
        <v>1,25</v>
      </c>
      <c t="str" s="61" r="AJ12">
        <f t="shared" si="7"/>
        <v>1,25</v>
      </c>
      <c t="str" s="61" r="AK12">
        <f t="shared" si="7"/>
        <v>1,25</v>
      </c>
      <c t="str" s="61" r="AL12">
        <f t="shared" si="7"/>
        <v>1,25</v>
      </c>
      <c t="str" s="61" r="AM12">
        <f t="shared" si="7"/>
        <v>1,25</v>
      </c>
      <c t="str" s="61" r="AN12">
        <f t="shared" si="7"/>
        <v>1,25</v>
      </c>
      <c t="str" s="61" r="AO12">
        <f t="shared" si="7"/>
        <v>1,25</v>
      </c>
      <c t="str" s="61" r="AP12">
        <f t="shared" si="7"/>
        <v>1,25</v>
      </c>
      <c t="str" s="61" r="AQ12">
        <f>AP12*12</f>
        <v>15,00</v>
      </c>
      <c s="64" r="AR12"/>
      <c s="64" r="AS12"/>
      <c s="64" r="AT12"/>
    </row>
    <row customHeight="1" r="13" ht="15.75">
      <c s="25" r="A13"/>
      <c s="25" r="B13"/>
      <c t="s" s="58" r="C13">
        <v>90</v>
      </c>
      <c s="59" r="D13"/>
      <c s="59" r="E13"/>
      <c s="59" r="F13"/>
      <c t="str" s="59" r="G13">
        <f ref="G13:AQ13" t="shared" si="8">G11*G12</f>
        <v>3,00</v>
      </c>
      <c t="str" s="59" r="H13">
        <f t="shared" si="8"/>
        <v>0,00</v>
      </c>
      <c t="str" s="59" r="I13">
        <f t="shared" si="8"/>
        <v>0,00</v>
      </c>
      <c t="str" s="59" r="J13">
        <f t="shared" si="8"/>
        <v>4,00</v>
      </c>
      <c t="str" s="59" r="K13">
        <f t="shared" si="8"/>
        <v>0,00</v>
      </c>
      <c t="str" s="59" r="L13">
        <f t="shared" si="8"/>
        <v>0,00</v>
      </c>
      <c t="str" s="59" r="M13">
        <f t="shared" si="8"/>
        <v>5,00</v>
      </c>
      <c t="str" s="59" r="N13">
        <f t="shared" si="8"/>
        <v>0,00</v>
      </c>
      <c t="str" s="59" r="O13">
        <f t="shared" si="8"/>
        <v>0,00</v>
      </c>
      <c t="str" s="59" r="P13">
        <f t="shared" si="8"/>
        <v>6,67</v>
      </c>
      <c t="str" s="59" r="Q13">
        <f t="shared" si="8"/>
        <v>0,00</v>
      </c>
      <c t="str" s="59" r="R13">
        <f t="shared" si="8"/>
        <v>5,00</v>
      </c>
      <c t="str" s="59" r="S13">
        <f t="shared" si="8"/>
        <v>6,67</v>
      </c>
      <c t="str" s="59" r="T13">
        <f t="shared" si="8"/>
        <v>7,50</v>
      </c>
      <c t="str" s="59" r="U13">
        <f t="shared" si="8"/>
        <v>9,00</v>
      </c>
      <c t="str" s="59" r="V13">
        <f t="shared" si="8"/>
        <v>9,00</v>
      </c>
      <c t="str" s="59" r="W13">
        <f t="shared" si="8"/>
        <v>9,00</v>
      </c>
      <c t="str" s="59" r="X13">
        <f t="shared" si="8"/>
        <v>9,00</v>
      </c>
      <c t="str" s="59" r="Y13">
        <f t="shared" si="8"/>
        <v>9,00</v>
      </c>
      <c t="str" s="59" r="Z13">
        <f t="shared" si="8"/>
        <v>9,00</v>
      </c>
      <c t="str" s="59" r="AA13">
        <f t="shared" si="8"/>
        <v>9,00</v>
      </c>
      <c t="str" s="59" r="AB13">
        <f t="shared" si="8"/>
        <v>9,00</v>
      </c>
      <c t="str" s="59" r="AC13">
        <f t="shared" si="8"/>
        <v>9,00</v>
      </c>
      <c t="str" s="59" r="AD13">
        <f t="shared" si="8"/>
        <v>9,00</v>
      </c>
      <c t="str" s="59" r="AE13">
        <f t="shared" si="8"/>
        <v>10,00</v>
      </c>
      <c t="str" s="59" r="AF13">
        <f t="shared" si="8"/>
        <v>10,00</v>
      </c>
      <c t="str" s="59" r="AG13">
        <f t="shared" si="8"/>
        <v>10,00</v>
      </c>
      <c t="str" s="59" r="AH13">
        <f t="shared" si="8"/>
        <v>10,00</v>
      </c>
      <c t="str" s="59" r="AI13">
        <f t="shared" si="8"/>
        <v>10,00</v>
      </c>
      <c t="str" s="59" r="AJ13">
        <f t="shared" si="8"/>
        <v>10,00</v>
      </c>
      <c t="str" s="59" r="AK13">
        <f t="shared" si="8"/>
        <v>10,00</v>
      </c>
      <c t="str" s="59" r="AL13">
        <f t="shared" si="8"/>
        <v>10,00</v>
      </c>
      <c t="str" s="59" r="AM13">
        <f t="shared" si="8"/>
        <v>10,00</v>
      </c>
      <c t="str" s="59" r="AN13">
        <f t="shared" si="8"/>
        <v>10,00</v>
      </c>
      <c t="str" s="59" r="AO13">
        <f t="shared" si="8"/>
        <v>10,00</v>
      </c>
      <c t="str" s="59" r="AP13">
        <f t="shared" si="8"/>
        <v>10,00</v>
      </c>
      <c t="str" s="59" r="AQ13">
        <f t="shared" si="8"/>
        <v>120,00</v>
      </c>
      <c s="31" r="AR13"/>
      <c s="31" r="AS13"/>
      <c s="31" r="AT13"/>
    </row>
    <row customHeight="1" r="14" ht="15.75">
      <c s="25" r="A14"/>
      <c s="25" r="B14"/>
      <c s="25" r="C14"/>
      <c s="57" r="D14"/>
      <c s="57" r="E14"/>
      <c s="57" r="F14"/>
      <c s="57" r="G14"/>
      <c s="57" r="H14"/>
      <c s="57" r="I14"/>
      <c s="57" r="J14"/>
      <c s="57" r="K14"/>
      <c s="57" r="L14"/>
      <c s="57" r="M14"/>
      <c s="57" r="N14"/>
      <c s="57" r="O14"/>
      <c s="57" r="P14"/>
      <c s="57" r="Q14"/>
      <c s="57" r="R14"/>
      <c s="57" r="S14"/>
      <c s="57" r="T14"/>
      <c s="57" r="U14"/>
      <c s="57" r="V14"/>
      <c s="57" r="W14"/>
      <c s="57" r="X14"/>
      <c s="57" r="Y14"/>
      <c s="57" r="Z14"/>
      <c s="57" r="AA14"/>
      <c s="57" r="AB14"/>
      <c s="57" r="AC14"/>
      <c s="57" r="AD14"/>
      <c s="57" r="AE14"/>
      <c s="57" r="AF14"/>
      <c s="57" r="AG14"/>
      <c s="57" r="AH14"/>
      <c s="57" r="AI14"/>
      <c s="57" r="AJ14"/>
      <c s="57" r="AK14"/>
      <c s="57" r="AL14"/>
      <c s="57" r="AM14"/>
      <c s="57" r="AN14"/>
      <c s="57" r="AO14"/>
      <c s="57" r="AP14"/>
      <c s="57" r="AQ14"/>
      <c s="31" r="AR14"/>
      <c s="31" r="AS14"/>
      <c s="31" r="AT14"/>
    </row>
    <row customHeight="1" r="15" ht="15.75">
      <c t="s" s="25" r="A15">
        <v>91</v>
      </c>
      <c s="25" r="B15"/>
      <c s="25" r="C15"/>
      <c s="57" r="D15"/>
      <c s="57" r="E15"/>
      <c s="57" r="F15"/>
      <c s="57" r="G15"/>
      <c s="57" r="H15">
        <v>1.0</v>
      </c>
      <c s="57" r="I15">
        <v>1.0</v>
      </c>
      <c s="57" r="J15">
        <v>1.0</v>
      </c>
      <c s="57" r="K15">
        <v>1.0</v>
      </c>
      <c s="57" r="L15">
        <v>1.0</v>
      </c>
      <c s="57" r="M15">
        <v>1.01</v>
      </c>
      <c t="str" s="57" r="N15">
        <f ref="N15:AP15" t="shared" si="9">M15+0.01</f>
        <v>1,02</v>
      </c>
      <c t="str" s="57" r="O15">
        <f t="shared" si="9"/>
        <v>1,03</v>
      </c>
      <c t="str" s="57" r="P15">
        <f t="shared" si="9"/>
        <v>1,04</v>
      </c>
      <c t="str" s="57" r="Q15">
        <f t="shared" si="9"/>
        <v>1,05</v>
      </c>
      <c t="str" s="57" r="R15">
        <f t="shared" si="9"/>
        <v>1,06</v>
      </c>
      <c t="str" s="57" r="S15">
        <f t="shared" si="9"/>
        <v>1,07</v>
      </c>
      <c t="str" s="57" r="T15">
        <f t="shared" si="9"/>
        <v>1,08</v>
      </c>
      <c t="str" s="57" r="U15">
        <f t="shared" si="9"/>
        <v>1,09</v>
      </c>
      <c t="str" s="57" r="V15">
        <f t="shared" si="9"/>
        <v>1,1</v>
      </c>
      <c t="str" s="57" r="W15">
        <f t="shared" si="9"/>
        <v>1,11</v>
      </c>
      <c t="str" s="57" r="X15">
        <f t="shared" si="9"/>
        <v>1,12</v>
      </c>
      <c t="str" s="57" r="Y15">
        <f t="shared" si="9"/>
        <v>1,13</v>
      </c>
      <c t="str" s="57" r="Z15">
        <f t="shared" si="9"/>
        <v>1,14</v>
      </c>
      <c t="str" s="57" r="AA15">
        <f t="shared" si="9"/>
        <v>1,15</v>
      </c>
      <c t="str" s="57" r="AB15">
        <f t="shared" si="9"/>
        <v>1,16</v>
      </c>
      <c t="str" s="57" r="AC15">
        <f t="shared" si="9"/>
        <v>1,17</v>
      </c>
      <c t="str" s="57" r="AD15">
        <f t="shared" si="9"/>
        <v>1,18</v>
      </c>
      <c t="str" s="57" r="AE15">
        <f t="shared" si="9"/>
        <v>1,19</v>
      </c>
      <c t="str" s="57" r="AF15">
        <f t="shared" si="9"/>
        <v>1,2</v>
      </c>
      <c t="str" s="57" r="AG15">
        <f t="shared" si="9"/>
        <v>1,21</v>
      </c>
      <c t="str" s="57" r="AH15">
        <f t="shared" si="9"/>
        <v>1,22</v>
      </c>
      <c t="str" s="57" r="AI15">
        <f t="shared" si="9"/>
        <v>1,23</v>
      </c>
      <c t="str" s="57" r="AJ15">
        <f t="shared" si="9"/>
        <v>1,24</v>
      </c>
      <c t="str" s="57" r="AK15">
        <f t="shared" si="9"/>
        <v>1,25</v>
      </c>
      <c t="str" s="57" r="AL15">
        <f t="shared" si="9"/>
        <v>1,26</v>
      </c>
      <c t="str" s="57" r="AM15">
        <f t="shared" si="9"/>
        <v>1,27</v>
      </c>
      <c t="str" s="57" r="AN15">
        <f t="shared" si="9"/>
        <v>1,28</v>
      </c>
      <c t="str" s="57" r="AO15">
        <f t="shared" si="9"/>
        <v>1,29</v>
      </c>
      <c t="str" s="57" r="AP15">
        <f t="shared" si="9"/>
        <v>1,3</v>
      </c>
      <c s="57" r="AQ15"/>
      <c s="31" r="AR15"/>
      <c s="31" r="AS15"/>
      <c s="31" r="AT15"/>
    </row>
    <row customHeight="1" r="16" ht="15.75">
      <c s="31" r="A16"/>
      <c s="25" r="B16"/>
      <c s="25" r="C16"/>
      <c s="57" r="D16"/>
      <c s="57" r="E16"/>
      <c s="57" r="F16"/>
      <c s="57" r="G16"/>
      <c s="57" r="H16"/>
      <c s="57" r="I16"/>
      <c s="57" r="J16"/>
      <c s="57" r="K16"/>
      <c s="57" r="L16"/>
      <c s="57" r="M16"/>
      <c s="57" r="N16"/>
      <c s="57" r="O16"/>
      <c s="57" r="P16"/>
      <c s="57" r="Q16"/>
      <c s="57" r="R16"/>
      <c s="57" r="S16"/>
      <c s="57" r="T16"/>
      <c s="57" r="U16"/>
      <c s="57" r="V16"/>
      <c s="57" r="W16"/>
      <c s="57" r="X16"/>
      <c s="57" r="Y16"/>
      <c s="57" r="Z16"/>
      <c s="57" r="AA16"/>
      <c s="57" r="AB16"/>
      <c s="57" r="AC16"/>
      <c s="57" r="AD16"/>
      <c s="57" r="AE16"/>
      <c s="57" r="AF16"/>
      <c s="57" r="AG16"/>
      <c s="57" r="AH16"/>
      <c s="57" r="AI16"/>
      <c s="57" r="AJ16"/>
      <c s="57" r="AK16"/>
      <c s="57" r="AL16"/>
      <c s="57" r="AM16"/>
      <c s="57" r="AN16"/>
      <c s="57" r="AO16"/>
      <c s="57" r="AP16"/>
      <c s="31" r="AQ16"/>
      <c s="31" r="AR16"/>
      <c s="31" r="AS16"/>
      <c s="31" r="AT16"/>
    </row>
    <row customHeight="1" r="17" ht="15.75">
      <c s="4" r="A17"/>
      <c s="61" r="B17"/>
      <c t="s" s="63" r="C17">
        <v>92</v>
      </c>
      <c t="str" s="65" r="D17">
        <f ref="D17:AQ17" t="shared" si="10">D4+D9+D13</f>
        <v>0,00</v>
      </c>
      <c t="str" s="65" r="E17">
        <f t="shared" si="10"/>
        <v>2,00</v>
      </c>
      <c t="str" s="65" r="F17">
        <f t="shared" si="10"/>
        <v>3,00</v>
      </c>
      <c t="str" s="65" r="G17">
        <f t="shared" si="10"/>
        <v>4,00</v>
      </c>
      <c t="str" s="65" r="H17">
        <f t="shared" si="10"/>
        <v>2,00</v>
      </c>
      <c t="str" s="65" r="I17">
        <f t="shared" si="10"/>
        <v>2,00</v>
      </c>
      <c t="str" s="65" r="J17">
        <f t="shared" si="10"/>
        <v>6,00</v>
      </c>
      <c t="str" s="65" r="K17">
        <f t="shared" si="10"/>
        <v>3,00</v>
      </c>
      <c t="str" s="65" r="L17">
        <f t="shared" si="10"/>
        <v>3,00</v>
      </c>
      <c t="str" s="65" r="M17">
        <f t="shared" si="10"/>
        <v>8,03</v>
      </c>
      <c t="str" s="65" r="N17">
        <f t="shared" si="10"/>
        <v>3,06</v>
      </c>
      <c t="str" s="65" r="O17">
        <f t="shared" si="10"/>
        <v>3,09</v>
      </c>
      <c t="str" s="65" r="P17">
        <f t="shared" si="10"/>
        <v>9,79</v>
      </c>
      <c t="str" s="65" r="Q17">
        <f t="shared" si="10"/>
        <v>3,15</v>
      </c>
      <c t="str" s="65" r="R17">
        <f t="shared" si="10"/>
        <v>8,18</v>
      </c>
      <c t="str" s="65" r="S17">
        <f t="shared" si="10"/>
        <v>12,02</v>
      </c>
      <c t="str" s="65" r="T17">
        <f t="shared" si="10"/>
        <v>13,98</v>
      </c>
      <c t="str" s="65" r="U17">
        <f t="shared" si="10"/>
        <v>15,54</v>
      </c>
      <c t="str" s="65" r="V17">
        <f t="shared" si="10"/>
        <v>15,60</v>
      </c>
      <c t="str" s="65" r="W17">
        <f t="shared" si="10"/>
        <v>15,66</v>
      </c>
      <c t="str" s="65" r="X17">
        <f t="shared" si="10"/>
        <v>15,72</v>
      </c>
      <c t="str" s="65" r="Y17">
        <f t="shared" si="10"/>
        <v>15,78</v>
      </c>
      <c t="str" s="65" r="Z17">
        <f t="shared" si="10"/>
        <v>15,84</v>
      </c>
      <c t="str" s="65" r="AA17">
        <f t="shared" si="10"/>
        <v>15,90</v>
      </c>
      <c t="str" s="65" r="AB17">
        <f t="shared" si="10"/>
        <v>15,96</v>
      </c>
      <c t="str" s="65" r="AC17">
        <f t="shared" si="10"/>
        <v>16,02</v>
      </c>
      <c t="str" s="65" r="AD17">
        <f t="shared" si="10"/>
        <v>16,08</v>
      </c>
      <c t="str" s="65" r="AE17">
        <f t="shared" si="10"/>
        <v>20,71</v>
      </c>
      <c t="str" s="65" r="AF17">
        <f t="shared" si="10"/>
        <v>20,80</v>
      </c>
      <c t="str" s="65" r="AG17">
        <f t="shared" si="10"/>
        <v>20,89</v>
      </c>
      <c t="str" s="65" r="AH17">
        <f t="shared" si="10"/>
        <v>20,98</v>
      </c>
      <c t="str" s="65" r="AI17">
        <f t="shared" si="10"/>
        <v>21,07</v>
      </c>
      <c t="str" s="65" r="AJ17">
        <f t="shared" si="10"/>
        <v>21,16</v>
      </c>
      <c t="str" s="65" r="AK17">
        <f t="shared" si="10"/>
        <v>21,25</v>
      </c>
      <c t="str" s="65" r="AL17">
        <f t="shared" si="10"/>
        <v>21,34</v>
      </c>
      <c t="str" s="65" r="AM17">
        <f t="shared" si="10"/>
        <v>21,43</v>
      </c>
      <c t="str" s="65" r="AN17">
        <f t="shared" si="10"/>
        <v>21,52</v>
      </c>
      <c t="str" s="65" r="AO17">
        <f t="shared" si="10"/>
        <v>21,61</v>
      </c>
      <c t="str" s="65" r="AP17">
        <f t="shared" si="10"/>
        <v>21,70</v>
      </c>
      <c t="str" s="65" r="AQ17">
        <f t="shared" si="10"/>
        <v>260,40</v>
      </c>
      <c s="62" r="AR17"/>
      <c s="62" r="AS17"/>
      <c s="62" r="AT17"/>
    </row>
    <row customHeight="1" r="18" ht="15.75">
      <c s="62" r="A18"/>
      <c s="61" r="B18"/>
      <c t="s" s="63" r="C18">
        <v>93</v>
      </c>
      <c s="61" r="D18"/>
      <c s="61" r="E18"/>
      <c t="str" s="66" r="F18">
        <f>SUM(D17:F17)</f>
        <v>5,00</v>
      </c>
      <c s="61" r="G18"/>
      <c s="61" r="H18"/>
      <c s="61" r="I18"/>
      <c s="61" r="J18"/>
      <c s="61" r="K18"/>
      <c s="61" r="L18"/>
      <c s="61" r="M18"/>
      <c s="61" r="N18"/>
      <c s="61" r="O18"/>
      <c s="61" r="P18"/>
      <c s="61" r="Q18"/>
      <c t="str" s="66" r="R18">
        <f>SUM(G17:R17)</f>
        <v>55,30</v>
      </c>
      <c s="61" r="S18"/>
      <c s="61" r="T18"/>
      <c s="61" r="U18"/>
      <c s="61" r="V18"/>
      <c s="61" r="W18"/>
      <c s="61" r="X18"/>
      <c s="61" r="Y18"/>
      <c s="61" r="Z18"/>
      <c s="61" r="AA18"/>
      <c s="61" r="AB18"/>
      <c s="61" r="AC18"/>
      <c t="str" s="66" r="AD18">
        <f>SUM(S17:AD17)</f>
        <v>184,10</v>
      </c>
      <c s="61" r="AE18"/>
      <c s="61" r="AF18"/>
      <c s="61" r="AG18"/>
      <c s="61" r="AH18"/>
      <c s="61" r="AI18"/>
      <c s="61" r="AJ18"/>
      <c s="61" r="AK18"/>
      <c s="61" r="AL18"/>
      <c s="61" r="AM18"/>
      <c s="61" r="AN18"/>
      <c s="61" r="AO18"/>
      <c t="str" s="66" r="AP18">
        <f>SUM(AE17:AP17)</f>
        <v>254,46</v>
      </c>
      <c t="str" s="67" r="AQ18">
        <f>AQ17</f>
        <v>260,40</v>
      </c>
      <c s="62" r="AR18"/>
      <c s="62" r="AS18"/>
      <c s="62" r="AT18"/>
    </row>
    <row customHeight="1" r="19" ht="15.75">
      <c s="31" r="A19"/>
      <c s="56" r="B19"/>
      <c s="25" r="C19"/>
      <c s="57" r="D19"/>
      <c s="57" r="E19"/>
      <c s="57" r="F19"/>
      <c s="57" r="G19"/>
      <c s="57" r="H19"/>
      <c s="57" r="I19"/>
      <c s="57" r="J19"/>
      <c s="57" r="K19"/>
      <c s="57" r="L19"/>
      <c s="57" r="M19"/>
      <c s="57" r="N19"/>
      <c s="57" r="O19"/>
      <c s="57" r="P19"/>
      <c s="57" r="Q19"/>
      <c s="57" r="R19"/>
      <c s="57" r="S19"/>
      <c s="57" r="T19"/>
      <c s="57" r="U19"/>
      <c s="57" r="V19"/>
      <c s="57" r="W19"/>
      <c s="57" r="X19"/>
      <c s="57" r="Y19"/>
      <c s="57" r="Z19"/>
      <c s="57" r="AA19"/>
      <c s="57" r="AB19"/>
      <c s="57" r="AC19"/>
      <c s="57" r="AD19"/>
      <c s="57" r="AE19"/>
      <c s="57" r="AF19"/>
      <c s="57" r="AG19"/>
      <c s="57" r="AH19"/>
      <c s="57" r="AI19"/>
      <c s="57" r="AJ19"/>
      <c s="57" r="AK19"/>
      <c s="57" r="AL19"/>
      <c s="57" r="AM19"/>
      <c s="57" r="AN19"/>
      <c s="57" r="AO19"/>
      <c s="57" r="AP19"/>
      <c s="31" r="AQ19"/>
      <c s="31" r="AR19"/>
      <c s="31" r="AS19"/>
      <c s="31" r="AT19"/>
    </row>
    <row customHeight="1" r="20" ht="15.75">
      <c s="25" r="A20"/>
      <c s="56" r="B20"/>
      <c s="25" r="C20"/>
      <c s="57" r="D20"/>
      <c s="57" r="E20"/>
      <c s="57" r="F20"/>
      <c s="57" r="G20"/>
      <c s="57" r="H20"/>
      <c s="57" r="I20"/>
      <c s="57" r="J20"/>
      <c s="57" r="K20"/>
      <c s="57" r="L20"/>
      <c s="57" r="M20"/>
      <c s="57" r="N20"/>
      <c s="57" r="O20"/>
      <c s="57" r="P20"/>
      <c s="57" r="Q20"/>
      <c s="57" r="R20"/>
      <c s="57" r="S20"/>
      <c s="57" r="T20"/>
      <c s="57" r="U20"/>
      <c s="57" r="V20"/>
      <c s="57" r="W20"/>
      <c s="57" r="X20"/>
      <c s="57" r="Y20"/>
      <c s="57" r="Z20"/>
      <c s="57" r="AA20"/>
      <c s="57" r="AB20"/>
      <c s="57" r="AC20"/>
      <c s="57" r="AD20"/>
      <c s="57" r="AE20"/>
      <c s="57" r="AF20"/>
      <c s="57" r="AG20"/>
      <c s="57" r="AH20"/>
      <c s="57" r="AI20"/>
      <c s="57" r="AJ20"/>
      <c s="57" r="AK20"/>
      <c s="57" r="AL20"/>
      <c s="57" r="AM20"/>
      <c s="57" r="AN20"/>
      <c s="57" r="AO20"/>
      <c s="57" r="AP20"/>
      <c s="31" r="AQ20"/>
      <c s="31" r="AR20"/>
      <c s="31" r="AS20"/>
      <c s="31" r="AT20"/>
    </row>
    <row customHeight="1" r="21" ht="15.75">
      <c s="31" r="A21"/>
      <c s="25" r="B21"/>
      <c s="25" r="C21"/>
      <c s="57" r="D21"/>
      <c s="57" r="E21"/>
      <c s="57" r="F21"/>
      <c s="57" r="G21"/>
      <c s="57" r="H21"/>
      <c s="57" r="I21"/>
      <c s="57" r="J21"/>
      <c s="57" r="K21"/>
      <c s="57" r="L21"/>
      <c s="57" r="M21"/>
      <c s="57" r="N21"/>
      <c s="57" r="O21"/>
      <c s="57" r="P21"/>
      <c s="57" r="Q21"/>
      <c s="57" r="R21"/>
      <c s="57" r="S21"/>
      <c s="57" r="T21"/>
      <c s="57" r="U21"/>
      <c s="57" r="V21"/>
      <c s="57" r="W21"/>
      <c s="57" r="X21"/>
      <c s="57" r="Y21"/>
      <c s="57" r="Z21"/>
      <c s="57" r="AA21"/>
      <c s="57" r="AB21"/>
      <c s="57" r="AC21"/>
      <c s="57" r="AD21"/>
      <c s="57" r="AE21"/>
      <c s="57" r="AF21"/>
      <c s="57" r="AG21"/>
      <c s="57" r="AH21"/>
      <c s="57" r="AI21"/>
      <c s="57" r="AJ21"/>
      <c s="57" r="AK21"/>
      <c s="57" r="AL21"/>
      <c s="57" r="AM21"/>
      <c s="57" r="AN21"/>
      <c s="57" r="AO21"/>
      <c s="57" r="AP21"/>
      <c s="31" r="AQ21"/>
      <c s="31" r="AR21"/>
      <c s="31" r="AS21"/>
      <c s="31" r="AT21"/>
    </row>
    <row customHeight="1" r="22" ht="15.75">
      <c s="31" r="A22"/>
      <c s="25" r="B22"/>
      <c s="25" r="C22"/>
      <c s="57" r="D22"/>
      <c s="57" r="E22"/>
      <c s="57" r="F22"/>
      <c s="57" r="G22"/>
      <c s="57" r="H22"/>
      <c s="57" r="I22"/>
      <c s="57" r="J22"/>
      <c s="57" r="K22"/>
      <c s="57" r="L22"/>
      <c s="57" r="M22"/>
      <c s="57" r="N22"/>
      <c s="57" r="O22"/>
      <c s="57" r="P22"/>
      <c s="57" r="Q22"/>
      <c s="57" r="R22"/>
      <c s="57" r="S22"/>
      <c s="57" r="T22"/>
      <c s="57" r="U22"/>
      <c s="57" r="V22"/>
      <c s="57" r="W22"/>
      <c s="57" r="X22"/>
      <c s="57" r="Y22"/>
      <c s="57" r="Z22"/>
      <c s="57" r="AA22"/>
      <c s="57" r="AB22"/>
      <c s="57" r="AC22"/>
      <c s="57" r="AD22"/>
      <c s="57" r="AE22"/>
      <c s="57" r="AF22"/>
      <c s="57" r="AG22"/>
      <c s="57" r="AH22"/>
      <c s="57" r="AI22"/>
      <c s="57" r="AJ22"/>
      <c s="57" r="AK22"/>
      <c s="57" r="AL22"/>
      <c s="57" r="AM22"/>
      <c s="57" r="AN22"/>
      <c s="57" r="AO22"/>
      <c s="57" r="AP22"/>
      <c s="31" r="AQ22"/>
      <c s="31" r="AR22"/>
      <c s="31" r="AS22"/>
      <c s="31" r="AT22"/>
    </row>
    <row customHeight="1" r="23" ht="15.75">
      <c s="31" r="A23"/>
      <c s="25" r="B23"/>
      <c s="26" r="C23"/>
      <c s="57" r="D23"/>
      <c s="57" r="E23"/>
      <c s="57" r="F23"/>
      <c s="57" r="G23"/>
      <c s="57" r="H23"/>
      <c s="57" r="I23"/>
      <c s="57" r="J23"/>
      <c s="57" r="K23"/>
      <c s="57" r="L23"/>
      <c s="57" r="M23"/>
      <c s="57" r="N23"/>
      <c s="57" r="O23"/>
      <c s="57" r="P23"/>
      <c s="57" r="Q23"/>
      <c s="57" r="R23"/>
      <c s="57" r="S23"/>
      <c s="57" r="T23"/>
      <c s="57" r="U23"/>
      <c s="57" r="V23"/>
      <c s="57" r="W23"/>
      <c s="57" r="X23"/>
      <c s="57" r="Y23"/>
      <c s="57" r="Z23"/>
      <c s="57" r="AA23"/>
      <c s="57" r="AB23"/>
      <c s="57" r="AC23"/>
      <c s="57" r="AD23"/>
      <c s="57" r="AE23"/>
      <c s="57" r="AF23"/>
      <c s="57" r="AG23"/>
      <c s="57" r="AH23"/>
      <c s="57" r="AI23"/>
      <c s="57" r="AJ23"/>
      <c s="57" r="AK23"/>
      <c s="57" r="AL23"/>
      <c s="57" r="AM23"/>
      <c s="57" r="AN23"/>
      <c s="57" r="AO23"/>
      <c s="57" r="AP23"/>
      <c s="31" r="AQ23"/>
      <c s="31" r="AR23"/>
      <c s="31" r="AS23"/>
      <c s="31" r="AT23"/>
    </row>
    <row customHeight="1" r="24" ht="15.75">
      <c s="31" r="A24"/>
      <c s="31" r="B24"/>
      <c s="31" r="C24"/>
      <c s="31" r="D24"/>
      <c s="31" r="E24"/>
      <c s="31" r="F24"/>
      <c s="31" r="G24"/>
      <c s="31" r="H24"/>
      <c s="31" r="I24"/>
      <c s="31" r="J24"/>
      <c s="31" r="K24"/>
      <c s="31" r="L24"/>
      <c s="31" r="M24"/>
      <c s="31" r="N24"/>
      <c s="31" r="O24"/>
      <c s="31" r="P24"/>
      <c s="31" r="Q24"/>
      <c s="31" r="R24"/>
      <c s="31" r="S24"/>
      <c s="31" r="T24"/>
      <c s="31" r="U24"/>
      <c s="31" r="V24"/>
      <c s="31" r="W24"/>
      <c s="31" r="X24"/>
      <c s="31" r="Y24"/>
      <c s="31" r="Z24"/>
      <c s="31" r="AA24"/>
      <c s="31" r="AB24"/>
      <c s="31" r="AC24"/>
      <c s="31" r="AD24"/>
      <c s="31" r="AE24"/>
      <c s="31" r="AF24"/>
      <c s="31" r="AG24"/>
      <c s="31" r="AH24"/>
      <c s="31" r="AI24"/>
      <c s="31" r="AJ24"/>
      <c s="31" r="AK24"/>
      <c s="31" r="AL24"/>
      <c s="31" r="AM24"/>
      <c s="31" r="AN24"/>
      <c s="31" r="AO24"/>
      <c s="31" r="AP24"/>
      <c s="31" r="AQ24"/>
      <c s="31" r="AR24"/>
      <c s="31" r="AS24"/>
      <c s="31" r="AT24"/>
    </row>
    <row customHeight="1" r="25" ht="15.75">
      <c s="31" r="A25"/>
      <c s="56" r="B25"/>
      <c s="31" r="C25"/>
      <c s="31" r="D25"/>
      <c s="31" r="E25"/>
      <c s="31" r="F25"/>
      <c s="31" r="G25"/>
      <c s="31" r="H25"/>
      <c s="31" r="I25"/>
      <c s="31" r="J25"/>
      <c s="31" r="K25"/>
      <c s="31" r="L25"/>
      <c s="31" r="M25"/>
      <c s="31" r="N25"/>
      <c s="31" r="O25"/>
      <c s="31" r="P25"/>
      <c s="31" r="Q25"/>
      <c s="31" r="R25"/>
      <c s="31" r="S25"/>
      <c s="31" r="T25"/>
      <c s="31" r="U25"/>
      <c s="31" r="V25"/>
      <c s="31" r="W25"/>
      <c s="31" r="X25"/>
      <c s="31" r="Y25"/>
      <c s="31" r="Z25"/>
      <c s="31" r="AA25"/>
      <c s="31" r="AB25"/>
      <c s="31" r="AC25"/>
      <c s="31" r="AD25"/>
      <c s="31" r="AE25"/>
      <c s="31" r="AF25"/>
      <c s="31" r="AG25"/>
      <c s="31" r="AH25"/>
      <c s="31" r="AI25"/>
      <c s="31" r="AJ25"/>
      <c s="31" r="AK25"/>
      <c s="31" r="AL25"/>
      <c s="31" r="AM25"/>
      <c s="31" r="AN25"/>
      <c s="31" r="AO25"/>
      <c s="31" r="AP25"/>
      <c s="31" r="AQ25"/>
      <c s="31" r="AR25"/>
      <c s="31" r="AS25"/>
      <c s="31" r="AT25"/>
    </row>
    <row customHeight="1" r="26" ht="15.75">
      <c s="31" r="A26"/>
      <c s="56" r="B26"/>
      <c s="31" r="C26"/>
      <c s="25" r="D26"/>
      <c s="25" r="E26"/>
      <c s="25" r="F26"/>
      <c s="25" r="G26"/>
      <c s="25" r="H26"/>
      <c s="25" r="I26"/>
      <c s="25" r="J26"/>
      <c s="25" r="K26"/>
      <c s="25" r="L26"/>
      <c s="25" r="M26"/>
      <c s="25" r="N26"/>
      <c s="25" r="O26"/>
      <c s="25" r="P26"/>
      <c s="25" r="Q26"/>
      <c s="25" r="R26"/>
      <c s="25" r="S26"/>
      <c s="25" r="T26"/>
      <c s="25" r="U26"/>
      <c s="25" r="V26"/>
      <c s="25" r="W26"/>
      <c s="25" r="X26"/>
      <c s="25" r="Y26"/>
      <c s="25" r="Z26"/>
      <c s="25" r="AA26"/>
      <c s="25" r="AB26"/>
      <c s="25" r="AC26"/>
      <c s="25" r="AD26"/>
      <c s="25" r="AE26"/>
      <c s="25" r="AF26"/>
      <c s="25" r="AG26"/>
      <c s="25" r="AH26"/>
      <c s="25" r="AI26"/>
      <c s="25" r="AJ26"/>
      <c s="25" r="AK26"/>
      <c s="25" r="AL26"/>
      <c s="25" r="AM26"/>
      <c s="25" r="AN26"/>
      <c s="25" r="AO26"/>
      <c s="25" r="AP26"/>
      <c s="31" r="AQ26"/>
      <c s="31" r="AR26"/>
      <c s="31" r="AS26"/>
      <c s="31" r="AT26"/>
    </row>
    <row customHeight="1" r="27" ht="15.75">
      <c s="31" r="A27"/>
      <c s="31" r="B27"/>
      <c s="31" r="C27"/>
      <c s="25" r="D27"/>
      <c s="25" r="E27"/>
      <c s="25" r="F27"/>
      <c s="25" r="G27"/>
      <c s="25" r="H27"/>
      <c s="25" r="I27"/>
      <c s="25" r="J27"/>
      <c s="25" r="K27"/>
      <c s="25" r="L27"/>
      <c s="25" r="M27"/>
      <c s="25" r="N27"/>
      <c s="25" r="O27"/>
      <c s="25" r="P27"/>
      <c s="25" r="Q27"/>
      <c s="25" r="R27"/>
      <c s="25" r="S27"/>
      <c s="25" r="T27"/>
      <c s="25" r="U27"/>
      <c s="25" r="V27"/>
      <c s="25" r="W27"/>
      <c s="25" r="X27"/>
      <c s="25" r="Y27"/>
      <c s="25" r="Z27"/>
      <c s="25" r="AA27"/>
      <c s="25" r="AB27"/>
      <c s="25" r="AC27"/>
      <c s="25" r="AD27"/>
      <c s="25" r="AE27"/>
      <c s="25" r="AF27"/>
      <c s="25" r="AG27"/>
      <c s="25" r="AH27"/>
      <c s="25" r="AI27"/>
      <c s="25" r="AJ27"/>
      <c s="25" r="AK27"/>
      <c s="25" r="AL27"/>
      <c s="25" r="AM27"/>
      <c s="25" r="AN27"/>
      <c s="25" r="AO27"/>
      <c s="25" r="AP27"/>
      <c s="31" r="AQ27"/>
      <c s="31" r="AR27"/>
      <c s="31" r="AS27"/>
      <c s="31" r="AT27"/>
    </row>
    <row customHeight="1" r="28" ht="15.75">
      <c s="31" r="A28"/>
      <c s="31" r="B28"/>
      <c s="31" r="C28"/>
      <c s="31" r="D28"/>
      <c s="31" r="E28"/>
      <c s="31" r="F28"/>
      <c s="31" r="G28"/>
      <c s="31" r="H28"/>
      <c s="31" r="I28"/>
      <c s="31" r="J28"/>
      <c s="31" r="K28"/>
      <c s="31" r="L28"/>
      <c s="31" r="M28"/>
      <c s="31" r="N28"/>
      <c s="31" r="O28"/>
      <c s="31" r="P28"/>
      <c s="31" r="Q28"/>
      <c s="31" r="R28"/>
      <c s="31" r="S28"/>
      <c s="31" r="T28"/>
      <c s="31" r="U28"/>
      <c s="31" r="V28"/>
      <c s="31" r="W28"/>
      <c s="31" r="X28"/>
      <c s="31" r="Y28"/>
      <c s="31" r="Z28"/>
      <c s="31" r="AA28"/>
      <c s="31" r="AB28"/>
      <c s="31" r="AC28"/>
      <c s="31" r="AD28"/>
      <c s="31" r="AE28"/>
      <c s="31" r="AF28"/>
      <c s="31" r="AG28"/>
      <c s="31" r="AH28"/>
      <c s="31" r="AI28"/>
      <c s="31" r="AJ28"/>
      <c s="31" r="AK28"/>
      <c s="31" r="AL28"/>
      <c s="31" r="AM28"/>
      <c s="31" r="AN28"/>
      <c s="31" r="AO28"/>
      <c s="31" r="AP28"/>
      <c s="31" r="AQ28"/>
      <c s="31" r="AR28"/>
      <c s="31" r="AS28"/>
      <c s="31" r="AT28"/>
    </row>
    <row customHeight="1" r="29" ht="15.75">
      <c s="25" r="A29"/>
      <c s="31" r="B29"/>
      <c s="31" r="C29"/>
      <c s="31" r="D29"/>
      <c s="31" r="E29"/>
      <c s="31" r="F29"/>
      <c s="31" r="G29"/>
      <c s="31" r="H29"/>
      <c s="31" r="I29"/>
      <c s="31" r="J29"/>
      <c s="31" r="K29"/>
      <c s="31" r="L29"/>
      <c s="31" r="M29"/>
      <c s="31" r="N29"/>
      <c s="31" r="O29"/>
      <c s="31" r="P29"/>
      <c s="31" r="Q29"/>
      <c s="31" r="R29"/>
      <c s="31" r="S29"/>
      <c s="31" r="T29"/>
      <c s="31" r="U29"/>
      <c s="31" r="V29"/>
      <c s="31" r="W29"/>
      <c s="31" r="X29"/>
      <c s="31" r="Y29"/>
      <c s="31" r="Z29"/>
      <c s="31" r="AA29"/>
      <c s="31" r="AB29"/>
      <c s="31" r="AC29"/>
      <c s="31" r="AD29"/>
      <c s="31" r="AE29"/>
      <c s="31" r="AF29"/>
      <c s="31" r="AG29"/>
      <c s="31" r="AH29"/>
      <c s="31" r="AI29"/>
      <c s="31" r="AJ29"/>
      <c s="31" r="AK29"/>
      <c s="31" r="AL29"/>
      <c s="31" r="AM29"/>
      <c s="31" r="AN29"/>
      <c s="31" r="AO29"/>
      <c s="31" r="AP29"/>
      <c s="31" r="AQ29"/>
      <c s="31" r="AR29"/>
      <c s="31" r="AS29"/>
      <c s="31" r="AT29"/>
    </row>
  </sheetData>
  <conditionalFormatting sqref="D1:AP29 A2:A16 B2:C11 AQ2:AQ29 AR2:AT11 B13:C29 AR13:AT29 A18:A29">
    <cfRule priority="1" type="cellIs" operator="lessThan" stopIfTrue="1" dxfId="1">
      <formula>0</formula>
    </cfRule>
  </conditionalFormatting>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2" customWidth="1" max="2" width="70.29"/>
    <col min="4" customWidth="1" max="4" width="11.43"/>
    <col min="6" customWidth="1" max="6" width="11.14"/>
  </cols>
  <sheetData>
    <row r="1">
      <c s="18" r="A1"/>
      <c s="18" r="B1"/>
      <c s="19" r="C1"/>
      <c s="20" r="D1"/>
      <c s="20" r="E1"/>
      <c t="s" s="18" r="F1">
        <v>94</v>
      </c>
      <c t="s" s="18" r="G1">
        <v>95</v>
      </c>
      <c t="s" s="18" r="H1">
        <v>96</v>
      </c>
    </row>
    <row r="2">
      <c s="18" r="A2"/>
      <c t="s" s="21" r="B2">
        <v>97</v>
      </c>
      <c s="22" r="C2"/>
      <c s="23" r="D2"/>
      <c s="23" r="E2"/>
      <c s="21" r="F2"/>
      <c s="21" r="G2"/>
      <c s="21" r="H2"/>
      <c s="21" r="I2"/>
      <c s="21" r="J2"/>
    </row>
    <row r="3">
      <c s="18" r="A3"/>
      <c t="s" s="24" r="B3">
        <v>98</v>
      </c>
      <c s="25" r="C3">
        <v>49990.0</v>
      </c>
      <c s="20" r="D3"/>
      <c s="20" r="E3"/>
      <c s="24" r="F3"/>
      <c s="24" r="G3"/>
      <c s="24" r="H3"/>
      <c t="s" s="24" r="I3">
        <v>99</v>
      </c>
      <c s="26" r="J3">
        <v>0.2</v>
      </c>
    </row>
    <row r="4">
      <c s="27" r="A4"/>
      <c t="s" s="28" r="B4">
        <v>100</v>
      </c>
      <c t="str" s="29" r="C4">
        <f>C3/(1+$J$3)</f>
        <v>€ 41 658,33</v>
      </c>
      <c s="30" r="D4"/>
      <c s="30" r="E4"/>
      <c s="28" r="F4"/>
      <c s="28" r="G4"/>
      <c s="28" r="H4"/>
      <c s="28" r="I4"/>
      <c s="28" r="J4"/>
    </row>
    <row r="5">
      <c s="18" r="A5"/>
      <c s="24" r="B5"/>
      <c s="31" r="C5"/>
      <c s="20" r="D5"/>
      <c s="20" r="E5"/>
      <c s="24" r="F5"/>
      <c s="24" r="G5"/>
      <c s="24" r="H5"/>
      <c s="24" r="I5"/>
      <c s="24" r="J5"/>
    </row>
    <row r="6">
      <c s="33" r="A6"/>
      <c t="s" s="24" r="B6">
        <v>101</v>
      </c>
      <c s="25" r="C6"/>
      <c s="20" r="D6"/>
      <c s="20" r="E6"/>
      <c s="32" r="G6">
        <v>700.0</v>
      </c>
      <c t="str" s="32" r="H6">
        <f>G6*12</f>
        <v>€ 8 400,00</v>
      </c>
    </row>
    <row r="7">
      <c s="33" r="A7"/>
      <c t="s" s="24" r="B7">
        <v>102</v>
      </c>
      <c s="34" r="C7">
        <v>3.0</v>
      </c>
      <c s="20" r="D7"/>
      <c t="s" s="20" r="E7">
        <v>103</v>
      </c>
      <c s="18" r="G7"/>
    </row>
    <row r="8">
      <c s="18" r="A8"/>
      <c s="24" r="B8"/>
      <c s="31" r="C8"/>
      <c s="20" r="D8"/>
      <c s="20" r="E8"/>
      <c s="24" r="F8"/>
      <c s="24" r="G8"/>
      <c s="24" r="H8"/>
      <c s="24" r="I8"/>
      <c s="24" r="J8"/>
    </row>
    <row r="9">
      <c s="35" r="A9"/>
      <c t="s" s="21" r="B9">
        <v>104</v>
      </c>
      <c s="36" r="C9">
        <v>2014.0</v>
      </c>
      <c s="36" r="D9"/>
      <c t="str" s="36" r="E9">
        <f>C9+1</f>
        <v>2015</v>
      </c>
      <c t="str" s="36" r="F9">
        <f ref="F9:H9" t="shared" si="1">E9+1</f>
        <v>2016</v>
      </c>
      <c t="str" s="36" r="G9">
        <f t="shared" si="1"/>
        <v>2017</v>
      </c>
      <c t="str" s="36" r="H9">
        <f t="shared" si="1"/>
        <v>2018</v>
      </c>
      <c s="36" r="I9"/>
      <c s="21" r="J9"/>
    </row>
    <row r="10">
      <c s="18" r="A10"/>
      <c t="s" s="34" r="B10">
        <v>105</v>
      </c>
      <c t="str" s="31" r="C10">
        <f>COGS!D43</f>
        <v>€ 16 000,00</v>
      </c>
      <c s="37" r="D10"/>
      <c t="str" s="37" r="E10">
        <f ref="E10:E11" t="shared" si="2">C10*0.95</f>
        <v>15 200 €</v>
      </c>
      <c t="str" s="24" r="F10">
        <f ref="F10:F11" t="shared" si="3">E10*0.9</f>
        <v>13 680 €</v>
      </c>
      <c t="str" s="24" r="G10">
        <f ref="G10:G11" t="shared" si="4">F10*0.98</f>
        <v>13 406 €</v>
      </c>
      <c t="str" s="24" r="H10">
        <f ref="H10:H11" t="shared" si="5">G10</f>
        <v>13 406 €</v>
      </c>
      <c s="24" r="I10"/>
      <c s="24" r="J10"/>
    </row>
    <row r="11">
      <c s="18" r="A11"/>
      <c t="s" s="24" r="B11">
        <v>106</v>
      </c>
      <c t="str" s="31" r="C11">
        <f>COGS!D44</f>
        <v>€ 4 100,00</v>
      </c>
      <c s="37" r="D11"/>
      <c t="str" s="37" r="E11">
        <f t="shared" si="2"/>
        <v>3 895 €</v>
      </c>
      <c t="str" s="24" r="F11">
        <f t="shared" si="3"/>
        <v>3 506 €</v>
      </c>
      <c t="str" s="24" r="G11">
        <f t="shared" si="4"/>
        <v>3 435 €</v>
      </c>
      <c t="str" s="24" r="H11">
        <f t="shared" si="5"/>
        <v>3 435 €</v>
      </c>
      <c s="24" r="I11"/>
      <c s="24" r="J11"/>
    </row>
    <row r="12">
      <c s="18" r="A12"/>
      <c t="s" s="24" r="B12">
        <v>107</v>
      </c>
      <c t="str" s="31" r="C12">
        <f>COGS!$D$45</f>
        <v>€ 6 050,00</v>
      </c>
      <c s="31" r="D12"/>
      <c t="str" s="31" r="E12">
        <f>COGS!$D$45</f>
        <v>€ 6 050,00</v>
      </c>
      <c t="str" s="31" r="F12">
        <f>COGS!$D$45</f>
        <v>€ 6 050,00</v>
      </c>
      <c t="str" s="31" r="G12">
        <f>COGS!$D$45</f>
        <v>€ 6 050,00</v>
      </c>
      <c t="str" s="31" r="H12">
        <f>COGS!$D$45</f>
        <v>€ 6 050,00</v>
      </c>
      <c s="24" r="I12"/>
      <c s="24" r="J12"/>
    </row>
    <row r="13">
      <c s="18" r="A13"/>
      <c t="s" s="28" r="B13">
        <v>108</v>
      </c>
      <c t="str" s="40" r="C13">
        <f>SUM(C10:C12)</f>
        <v>€ 26 150,00</v>
      </c>
      <c s="40" r="D13"/>
      <c t="str" s="40" r="E13">
        <f ref="E13:H13" t="shared" si="6">SUM(E10:E12)</f>
        <v>€ 25 145,00</v>
      </c>
      <c t="str" s="40" r="F13">
        <f t="shared" si="6"/>
        <v>€ 23 235,50</v>
      </c>
      <c t="str" s="40" r="G13">
        <f t="shared" si="6"/>
        <v>€ 22 891,79</v>
      </c>
      <c t="str" s="40" r="H13">
        <f t="shared" si="6"/>
        <v>€ 22 891,79</v>
      </c>
      <c s="28" r="I13"/>
      <c s="28" r="J13"/>
    </row>
    <row r="14">
      <c t="s" s="68" r="B14">
        <v>109</v>
      </c>
      <c t="str" s="41" r="C14">
        <f>$C$4-C13</f>
        <v>€ 15 508,33</v>
      </c>
      <c s="41" r="D14"/>
      <c t="str" s="41" r="E14">
        <f ref="E14:H14" t="shared" si="7">$C$4-E13</f>
        <v>€ 16 513,33</v>
      </c>
      <c t="str" s="41" r="F14">
        <f t="shared" si="7"/>
        <v>€ 18 422,83</v>
      </c>
      <c t="str" s="41" r="G14">
        <f t="shared" si="7"/>
        <v>€ 18 766,54</v>
      </c>
      <c t="str" s="41" r="H14">
        <f t="shared" si="7"/>
        <v>€ 18 766,54</v>
      </c>
      <c s="28" r="I14"/>
      <c s="28" r="J14"/>
    </row>
    <row r="15">
      <c s="16" r="A15"/>
      <c t="str" s="42" r="C15">
        <f>C14/$C$4</f>
        <v>37,23%</v>
      </c>
      <c s="42" r="D15"/>
      <c t="str" s="42" r="E15">
        <f ref="E15:H15" t="shared" si="8">E14/$C$4</f>
        <v>39,64%</v>
      </c>
      <c t="str" s="42" r="F15">
        <f t="shared" si="8"/>
        <v>44,22%</v>
      </c>
      <c t="str" s="42" r="G15">
        <f t="shared" si="8"/>
        <v>45,05%</v>
      </c>
      <c t="str" s="42" r="H15">
        <f t="shared" si="8"/>
        <v>45,05%</v>
      </c>
    </row>
    <row r="17">
      <c s="44" r="A17"/>
      <c t="s" s="45" r="B17">
        <v>110</v>
      </c>
      <c t="str" s="46" r="C17">
        <f>C13</f>
        <v>€ 26 150,00</v>
      </c>
      <c s="47" r="D17"/>
      <c s="47" r="E17"/>
      <c s="45" r="F17"/>
      <c s="45" r="G17"/>
      <c s="45" r="H17"/>
      <c s="45" r="I17"/>
      <c s="45" r="J17"/>
    </row>
    <row r="18">
      <c s="18" r="A18"/>
      <c s="24" r="B18"/>
      <c s="31" r="C18"/>
      <c s="20" r="D18"/>
      <c s="20" r="E18"/>
      <c s="24" r="F18"/>
      <c s="24" r="G18"/>
      <c s="24" r="H18"/>
      <c s="24" r="I18"/>
      <c s="24" r="J18"/>
    </row>
    <row r="19">
      <c s="18" r="A19"/>
      <c s="24" r="B19"/>
      <c t="s" s="25" r="C19">
        <v>111</v>
      </c>
      <c s="34" r="D19"/>
      <c t="s" s="34" r="E19">
        <v>112</v>
      </c>
      <c s="24" r="F19"/>
      <c s="24" r="G19"/>
      <c s="24" r="H19"/>
      <c s="24" r="I19"/>
      <c s="24" r="J19"/>
    </row>
    <row r="20">
      <c s="18" r="A20"/>
      <c t="s" s="34" r="B20">
        <v>113</v>
      </c>
      <c t="str" s="25" r="C20">
        <f>C14</f>
        <v>€ 15 508,33</v>
      </c>
      <c s="34" r="D20"/>
      <c t="str" s="34" r="E20">
        <f>H6+('Hypothèses'!F54*12)</f>
        <v>€ 2 987,15</v>
      </c>
      <c s="24" r="F20"/>
      <c s="24" r="G20"/>
      <c s="24" r="I20"/>
    </row>
    <row r="21">
      <c t="s" s="69" r="H21">
        <v>114</v>
      </c>
      <c t="s" s="70" r="J21">
        <v>115</v>
      </c>
    </row>
    <row r="22">
      <c s="18" r="A22"/>
      <c s="24" r="B22"/>
      <c s="25" r="C22"/>
      <c s="34" r="D22"/>
      <c s="34" r="E22"/>
      <c s="24" r="F22"/>
      <c s="24" r="G22"/>
      <c t="s" s="71" r="H22">
        <v>116</v>
      </c>
      <c t="s" s="72" r="I22">
        <v>117</v>
      </c>
      <c t="s" s="71" r="J22">
        <v>118</v>
      </c>
      <c t="s" s="73" r="K22">
        <v>119</v>
      </c>
    </row>
    <row r="23">
      <c s="35" r="A23"/>
      <c t="s" s="36" r="B23">
        <v>120</v>
      </c>
      <c t="s" s="74" r="C23">
        <v>121</v>
      </c>
      <c t="s" s="75" r="D23">
        <v>122</v>
      </c>
      <c s="23" r="E23"/>
      <c s="21" r="F23"/>
      <c s="21" r="G23"/>
      <c s="76" r="H23"/>
      <c s="77" r="I23"/>
      <c s="76" r="J23"/>
      <c s="77" r="K23"/>
    </row>
    <row r="24">
      <c s="18" r="A24"/>
      <c t="s" s="34" r="B24">
        <v>123</v>
      </c>
      <c t="str" s="25" r="C24">
        <f ref="C24:C31" t="shared" si="9">$C$33*D24</f>
        <v>€ 342,60</v>
      </c>
      <c s="43" r="D24">
        <v>0.05</v>
      </c>
      <c t="str" s="25" r="E24">
        <f ref="E24:E31" t="shared" si="10">$E$33*F24</f>
        <v>€ 64,77</v>
      </c>
      <c t="str" s="43" r="F24">
        <f ref="F24:F31" t="shared" si="11">D24</f>
        <v>5%</v>
      </c>
      <c s="24" r="G24"/>
      <c t="str" s="78" r="H24">
        <f ref="H24:H31" t="shared" si="12">C24*10</f>
        <v>€ 3 426,05</v>
      </c>
      <c t="str" s="79" r="I24">
        <f ref="I24:I31" t="shared" si="13">E24*10</f>
        <v>€ 647,68</v>
      </c>
      <c t="str" s="78" r="J24">
        <f ref="J24:J31" t="shared" si="14">C24*100</f>
        <v>€ 34 260,46</v>
      </c>
      <c t="str" s="80" r="K24">
        <f ref="K24:K31" t="shared" si="15">E24*100</f>
        <v>€ 6 476,82</v>
      </c>
    </row>
    <row r="25">
      <c t="s" s="16" r="B25">
        <v>124</v>
      </c>
      <c t="str" s="25" r="C25">
        <f t="shared" si="9"/>
        <v>€ 274,08</v>
      </c>
      <c s="81" r="D25">
        <v>0.04</v>
      </c>
      <c t="str" s="25" r="E25">
        <f t="shared" si="10"/>
        <v>€ 51,81</v>
      </c>
      <c t="str" s="43" r="F25">
        <f t="shared" si="11"/>
        <v>4%</v>
      </c>
      <c t="str" s="78" r="H25">
        <f t="shared" si="12"/>
        <v>€ 2 740,84</v>
      </c>
      <c t="str" s="79" r="I25">
        <f t="shared" si="13"/>
        <v>€ 518,15</v>
      </c>
      <c t="str" s="78" r="J25">
        <f t="shared" si="14"/>
        <v>€ 27 408,37</v>
      </c>
      <c t="str" s="80" r="K25">
        <f t="shared" si="15"/>
        <v>€ 5 181,46</v>
      </c>
    </row>
    <row r="26">
      <c t="s" s="16" r="B26">
        <v>125</v>
      </c>
      <c t="str" s="25" r="C26">
        <f t="shared" si="9"/>
        <v>€ 342,60</v>
      </c>
      <c s="81" r="D26">
        <v>0.05</v>
      </c>
      <c t="str" s="25" r="E26">
        <f t="shared" si="10"/>
        <v>€ 64,77</v>
      </c>
      <c t="str" s="43" r="F26">
        <f t="shared" si="11"/>
        <v>5%</v>
      </c>
      <c t="str" s="78" r="H26">
        <f t="shared" si="12"/>
        <v>€ 3 426,05</v>
      </c>
      <c t="str" s="79" r="I26">
        <f t="shared" si="13"/>
        <v>€ 647,68</v>
      </c>
      <c t="str" s="78" r="J26">
        <f t="shared" si="14"/>
        <v>€ 34 260,46</v>
      </c>
      <c t="str" s="80" r="K26">
        <f t="shared" si="15"/>
        <v>€ 6 476,82</v>
      </c>
    </row>
    <row r="27">
      <c t="s" s="16" r="B27">
        <v>126</v>
      </c>
      <c t="str" s="25" r="C27">
        <f t="shared" si="9"/>
        <v>€ 342,60</v>
      </c>
      <c s="81" r="D27">
        <v>0.05</v>
      </c>
      <c t="str" s="25" r="E27">
        <f t="shared" si="10"/>
        <v>€ 64,77</v>
      </c>
      <c t="str" s="43" r="F27">
        <f t="shared" si="11"/>
        <v>5%</v>
      </c>
      <c t="str" s="78" r="H27">
        <f t="shared" si="12"/>
        <v>€ 3 426,05</v>
      </c>
      <c t="str" s="79" r="I27">
        <f t="shared" si="13"/>
        <v>€ 647,68</v>
      </c>
      <c t="str" s="78" r="J27">
        <f t="shared" si="14"/>
        <v>€ 34 260,46</v>
      </c>
      <c t="str" s="80" r="K27">
        <f t="shared" si="15"/>
        <v>€ 6 476,82</v>
      </c>
    </row>
    <row r="28">
      <c t="s" s="16" r="B28">
        <v>127</v>
      </c>
      <c t="str" s="25" r="C28">
        <f t="shared" si="9"/>
        <v>€ 68,52</v>
      </c>
      <c s="81" r="D28">
        <v>0.01</v>
      </c>
      <c t="str" s="25" r="E28">
        <f t="shared" si="10"/>
        <v>€ 12,95</v>
      </c>
      <c t="str" s="43" r="F28">
        <f t="shared" si="11"/>
        <v>1%</v>
      </c>
      <c t="str" s="78" r="H28">
        <f t="shared" si="12"/>
        <v>€ 685,21</v>
      </c>
      <c t="str" s="79" r="I28">
        <f t="shared" si="13"/>
        <v>€ 129,54</v>
      </c>
      <c t="str" s="78" r="J28">
        <f t="shared" si="14"/>
        <v>€ 6 852,09</v>
      </c>
      <c t="str" s="80" r="K28">
        <f t="shared" si="15"/>
        <v>€ 1 295,36</v>
      </c>
    </row>
    <row r="29">
      <c t="s" s="16" r="B29">
        <v>128</v>
      </c>
      <c t="str" s="25" r="C29">
        <f t="shared" si="9"/>
        <v>€ 4 453,86</v>
      </c>
      <c s="81" r="D29">
        <v>0.65</v>
      </c>
      <c t="str" s="25" r="E29">
        <f t="shared" si="10"/>
        <v>€ 841,99</v>
      </c>
      <c t="str" s="43" r="F29">
        <f t="shared" si="11"/>
        <v>65%</v>
      </c>
      <c t="str" s="78" r="H29">
        <f t="shared" si="12"/>
        <v>€ 44 538,60</v>
      </c>
      <c t="str" s="79" r="I29">
        <f t="shared" si="13"/>
        <v>€ 8 419,87</v>
      </c>
      <c t="str" s="78" r="J29">
        <f t="shared" si="14"/>
        <v>€ 445 385,96</v>
      </c>
      <c t="str" s="80" r="K29">
        <f t="shared" si="15"/>
        <v>€ 84 198,69</v>
      </c>
    </row>
    <row r="30">
      <c t="s" s="16" r="B30">
        <v>129</v>
      </c>
      <c t="str" s="25" r="C30">
        <f t="shared" si="9"/>
        <v>€ 685,21</v>
      </c>
      <c s="81" r="D30">
        <v>0.1</v>
      </c>
      <c t="str" s="25" r="E30">
        <f t="shared" si="10"/>
        <v>€ 129,54</v>
      </c>
      <c t="str" s="43" r="F30">
        <f t="shared" si="11"/>
        <v>10%</v>
      </c>
      <c t="str" s="78" r="H30">
        <f t="shared" si="12"/>
        <v>€ 6 852,09</v>
      </c>
      <c t="str" s="79" r="I30">
        <f t="shared" si="13"/>
        <v>€ 1 295,36</v>
      </c>
      <c t="str" s="78" r="J30">
        <f t="shared" si="14"/>
        <v>€ 68 520,92</v>
      </c>
      <c t="str" s="80" r="K30">
        <f t="shared" si="15"/>
        <v>€ 12 953,65</v>
      </c>
    </row>
    <row r="31">
      <c t="s" s="16" r="B31">
        <v>130</v>
      </c>
      <c t="str" s="25" r="C31">
        <f t="shared" si="9"/>
        <v>€ 342,60</v>
      </c>
      <c s="81" r="D31">
        <v>0.05</v>
      </c>
      <c t="str" s="25" r="E31">
        <f t="shared" si="10"/>
        <v>€ 64,77</v>
      </c>
      <c t="str" s="43" r="F31">
        <f t="shared" si="11"/>
        <v>5%</v>
      </c>
      <c t="str" s="78" r="H31">
        <f t="shared" si="12"/>
        <v>€ 3 426,05</v>
      </c>
      <c t="str" s="79" r="I31">
        <f t="shared" si="13"/>
        <v>€ 647,68</v>
      </c>
      <c t="str" s="78" r="J31">
        <f t="shared" si="14"/>
        <v>€ 34 260,46</v>
      </c>
      <c t="str" s="80" r="K31">
        <f t="shared" si="15"/>
        <v>€ 6 476,82</v>
      </c>
    </row>
    <row r="32">
      <c s="82" r="B32"/>
      <c t="str" s="83" r="D32">
        <f>SUM(D24:D31)</f>
        <v>100%</v>
      </c>
      <c t="str" s="83" r="F32">
        <f>SUM(F24:F31)</f>
        <v>100%</v>
      </c>
      <c s="84" r="H32"/>
      <c s="80" r="I32"/>
      <c s="84" r="J32"/>
      <c s="80" r="K32"/>
    </row>
    <row r="33">
      <c t="s" s="82" r="B33">
        <v>131</v>
      </c>
      <c t="str" s="6" r="C33">
        <f>C57*D33</f>
        <v>€ 6 852,09</v>
      </c>
      <c s="85" r="D33">
        <v>0.74</v>
      </c>
      <c t="str" s="6" r="E33">
        <f>E57*F33</f>
        <v>€ 1 295,36</v>
      </c>
      <c s="85" r="F33">
        <v>0.75</v>
      </c>
      <c t="str" s="84" r="H33">
        <f ref="H33:K33" t="shared" si="16">SUM(H24:H31)</f>
        <v>€ 68 520,92</v>
      </c>
      <c t="str" s="80" r="I33">
        <f t="shared" si="16"/>
        <v>€ 12 953,65</v>
      </c>
      <c t="str" s="84" r="J33">
        <f t="shared" si="16"/>
        <v>€ 685 209,17</v>
      </c>
      <c t="str" s="80" r="K33">
        <f t="shared" si="16"/>
        <v>€ 129 536,45</v>
      </c>
    </row>
    <row r="34">
      <c s="35" r="A34"/>
      <c t="s" s="36" r="B34">
        <v>132</v>
      </c>
      <c s="22" r="C34"/>
      <c t="s" s="75" r="D34">
        <v>133</v>
      </c>
      <c s="23" r="E34"/>
      <c s="21" r="F34"/>
      <c s="21" r="G34"/>
      <c s="76" r="H34"/>
      <c s="77" r="I34"/>
      <c s="76" r="J34"/>
      <c s="77" r="K34"/>
    </row>
    <row r="35">
      <c t="s" s="16" r="B35">
        <v>134</v>
      </c>
      <c t="str" s="86" r="C35">
        <f ref="C35:C45" t="shared" si="17">$C$47*D35</f>
        <v>€ 18,52</v>
      </c>
      <c s="81" r="D35">
        <v>0.01</v>
      </c>
      <c t="str" s="25" r="E35">
        <f ref="E35:E45" t="shared" si="18">$E$47*F35</f>
        <v>€ 3,45</v>
      </c>
      <c t="str" s="81" r="F35">
        <f ref="F35:F45" t="shared" si="19">D35</f>
        <v>1%</v>
      </c>
      <c t="str" s="78" r="H35">
        <f ref="H35:H45" t="shared" si="20">C35*10</f>
        <v>€ 185,19</v>
      </c>
      <c t="str" s="79" r="I35">
        <f ref="I35:I45" t="shared" si="21">E35*10</f>
        <v>€ 34,54</v>
      </c>
      <c t="str" s="84" r="J35">
        <f ref="J35:J45" t="shared" si="22">C35*100</f>
        <v>€ 1 851,92</v>
      </c>
      <c t="str" s="80" r="K35">
        <f ref="K35:K45" t="shared" si="23">E35*100</f>
        <v>€ 345,43</v>
      </c>
    </row>
    <row r="36">
      <c t="s" s="16" r="B36">
        <v>135</v>
      </c>
      <c t="str" s="86" r="C36">
        <f t="shared" si="17"/>
        <v>€ 55,56</v>
      </c>
      <c s="81" r="D36">
        <v>0.03</v>
      </c>
      <c t="str" s="25" r="E36">
        <f t="shared" si="18"/>
        <v>€ 10,36</v>
      </c>
      <c t="str" s="81" r="F36">
        <f t="shared" si="19"/>
        <v>3%</v>
      </c>
      <c t="str" s="78" r="H36">
        <f t="shared" si="20"/>
        <v>€ 555,58</v>
      </c>
      <c t="str" s="79" r="I36">
        <f t="shared" si="21"/>
        <v>€ 103,63</v>
      </c>
      <c t="str" s="84" r="J36">
        <f t="shared" si="22"/>
        <v>€ 5 555,75</v>
      </c>
      <c t="str" s="80" r="K36">
        <f t="shared" si="23"/>
        <v>€ 1 036,29</v>
      </c>
    </row>
    <row r="37">
      <c t="s" s="16" r="B37">
        <v>136</v>
      </c>
      <c t="str" s="86" r="C37">
        <f t="shared" si="17"/>
        <v>€ 55,56</v>
      </c>
      <c s="81" r="D37">
        <v>0.03</v>
      </c>
      <c t="str" s="25" r="E37">
        <f t="shared" si="18"/>
        <v>€ 10,36</v>
      </c>
      <c t="str" s="81" r="F37">
        <f t="shared" si="19"/>
        <v>3%</v>
      </c>
      <c t="str" s="78" r="H37">
        <f t="shared" si="20"/>
        <v>€ 555,58</v>
      </c>
      <c t="str" s="79" r="I37">
        <f t="shared" si="21"/>
        <v>€ 103,63</v>
      </c>
      <c t="str" s="84" r="J37">
        <f t="shared" si="22"/>
        <v>€ 5 555,75</v>
      </c>
      <c t="str" s="80" r="K37">
        <f t="shared" si="23"/>
        <v>€ 1 036,29</v>
      </c>
    </row>
    <row r="38">
      <c t="s" s="16" r="B38">
        <v>137</v>
      </c>
      <c t="str" s="86" r="C38">
        <f t="shared" si="17"/>
        <v>€ 111,12</v>
      </c>
      <c s="81" r="D38">
        <v>0.06</v>
      </c>
      <c t="str" s="25" r="E38">
        <f t="shared" si="18"/>
        <v>€ 20,73</v>
      </c>
      <c t="str" s="81" r="F38">
        <f t="shared" si="19"/>
        <v>6%</v>
      </c>
      <c t="str" s="78" r="H38">
        <f t="shared" si="20"/>
        <v>€ 1 111,15</v>
      </c>
      <c t="str" s="79" r="I38">
        <f t="shared" si="21"/>
        <v>€ 207,26</v>
      </c>
      <c t="str" s="84" r="J38">
        <f t="shared" si="22"/>
        <v>€ 11 111,50</v>
      </c>
      <c t="str" s="80" r="K38">
        <f t="shared" si="23"/>
        <v>€ 2 072,58</v>
      </c>
    </row>
    <row r="39">
      <c t="s" s="16" r="B39">
        <v>138</v>
      </c>
      <c t="str" s="86" r="C39">
        <f t="shared" si="17"/>
        <v>€ 18,52</v>
      </c>
      <c s="81" r="D39">
        <v>0.01</v>
      </c>
      <c t="str" s="25" r="E39">
        <f t="shared" si="18"/>
        <v>€ 3,45</v>
      </c>
      <c t="str" s="81" r="F39">
        <f t="shared" si="19"/>
        <v>1%</v>
      </c>
      <c t="str" s="78" r="H39">
        <f t="shared" si="20"/>
        <v>€ 185,19</v>
      </c>
      <c t="str" s="79" r="I39">
        <f t="shared" si="21"/>
        <v>€ 34,54</v>
      </c>
      <c t="str" s="84" r="J39">
        <f t="shared" si="22"/>
        <v>€ 1 851,92</v>
      </c>
      <c t="str" s="80" r="K39">
        <f t="shared" si="23"/>
        <v>€ 345,43</v>
      </c>
    </row>
    <row r="40">
      <c t="s" s="16" r="B40">
        <v>139</v>
      </c>
      <c t="str" s="86" r="C40">
        <f t="shared" si="17"/>
        <v>€ 37,04</v>
      </c>
      <c s="81" r="D40">
        <v>0.02</v>
      </c>
      <c t="str" s="25" r="E40">
        <f t="shared" si="18"/>
        <v>€ 6,91</v>
      </c>
      <c t="str" s="81" r="F40">
        <f t="shared" si="19"/>
        <v>2%</v>
      </c>
      <c t="str" s="78" r="H40">
        <f t="shared" si="20"/>
        <v>€ 370,38</v>
      </c>
      <c t="str" s="79" r="I40">
        <f t="shared" si="21"/>
        <v>€ 69,09</v>
      </c>
      <c t="str" s="84" r="J40">
        <f t="shared" si="22"/>
        <v>€ 3 703,83</v>
      </c>
      <c t="str" s="80" r="K40">
        <f t="shared" si="23"/>
        <v>€ 690,86</v>
      </c>
    </row>
    <row r="41">
      <c t="s" s="16" r="B41">
        <v>140</v>
      </c>
      <c t="str" s="86" r="C41">
        <f t="shared" si="17"/>
        <v>€ 37,04</v>
      </c>
      <c s="81" r="D41">
        <v>0.02</v>
      </c>
      <c t="str" s="25" r="E41">
        <f t="shared" si="18"/>
        <v>€ 6,91</v>
      </c>
      <c t="str" s="81" r="F41">
        <f t="shared" si="19"/>
        <v>2%</v>
      </c>
      <c t="str" s="78" r="H41">
        <f t="shared" si="20"/>
        <v>€ 370,38</v>
      </c>
      <c t="str" s="79" r="I41">
        <f t="shared" si="21"/>
        <v>€ 69,09</v>
      </c>
      <c t="str" s="84" r="J41">
        <f t="shared" si="22"/>
        <v>€ 3 703,83</v>
      </c>
      <c t="str" s="80" r="K41">
        <f t="shared" si="23"/>
        <v>€ 690,86</v>
      </c>
    </row>
    <row r="42">
      <c t="s" s="16" r="B42">
        <v>141</v>
      </c>
      <c t="str" s="86" r="C42">
        <f t="shared" si="17"/>
        <v>€ 1 037,07</v>
      </c>
      <c s="81" r="D42">
        <v>0.56</v>
      </c>
      <c t="str" s="25" r="E42">
        <f t="shared" si="18"/>
        <v>€ 193,44</v>
      </c>
      <c t="str" s="81" r="F42">
        <f t="shared" si="19"/>
        <v>56%</v>
      </c>
      <c t="str" s="78" r="H42">
        <f t="shared" si="20"/>
        <v>€ 10 370,73</v>
      </c>
      <c t="str" s="79" r="I42">
        <f t="shared" si="21"/>
        <v>€ 1 934,41</v>
      </c>
      <c t="str" s="84" r="J42">
        <f t="shared" si="22"/>
        <v>€ 103 707,33</v>
      </c>
      <c t="str" s="80" r="K42">
        <f t="shared" si="23"/>
        <v>€ 19 344,11</v>
      </c>
    </row>
    <row r="43">
      <c t="s" s="16" r="B43">
        <v>142</v>
      </c>
      <c t="str" s="86" r="C43">
        <f t="shared" si="17"/>
        <v>€ 222,23</v>
      </c>
      <c s="81" r="D43">
        <v>0.12</v>
      </c>
      <c t="str" s="25" r="E43">
        <f t="shared" si="18"/>
        <v>€ 41,45</v>
      </c>
      <c t="str" s="81" r="F43">
        <f t="shared" si="19"/>
        <v>12%</v>
      </c>
      <c t="str" s="78" r="H43">
        <f t="shared" si="20"/>
        <v>€ 2 222,30</v>
      </c>
      <c t="str" s="79" r="I43">
        <f t="shared" si="21"/>
        <v>€ 414,52</v>
      </c>
      <c t="str" s="84" r="J43">
        <f t="shared" si="22"/>
        <v>€ 22 223,00</v>
      </c>
      <c t="str" s="80" r="K43">
        <f t="shared" si="23"/>
        <v>€ 4 145,17</v>
      </c>
    </row>
    <row r="44">
      <c t="s" s="16" r="B44">
        <v>143</v>
      </c>
      <c t="str" s="86" r="C44">
        <f t="shared" si="17"/>
        <v>€ 74,08</v>
      </c>
      <c s="81" r="D44">
        <v>0.04</v>
      </c>
      <c t="str" s="25" r="E44">
        <f t="shared" si="18"/>
        <v>€ 13,82</v>
      </c>
      <c t="str" s="81" r="F44">
        <f t="shared" si="19"/>
        <v>4%</v>
      </c>
      <c t="str" s="78" r="H44">
        <f t="shared" si="20"/>
        <v>€ 740,77</v>
      </c>
      <c t="str" s="79" r="I44">
        <f t="shared" si="21"/>
        <v>€ 138,17</v>
      </c>
      <c t="str" s="84" r="J44">
        <f t="shared" si="22"/>
        <v>€ 7 407,67</v>
      </c>
      <c t="str" s="80" r="K44">
        <f t="shared" si="23"/>
        <v>€ 1 381,72</v>
      </c>
    </row>
    <row r="45">
      <c t="s" s="16" r="B45">
        <v>144</v>
      </c>
      <c t="str" s="86" r="C45">
        <f t="shared" si="17"/>
        <v>€ 185,19</v>
      </c>
      <c s="81" r="D45">
        <v>0.1</v>
      </c>
      <c t="str" s="25" r="E45">
        <f t="shared" si="18"/>
        <v>€ 34,54</v>
      </c>
      <c t="str" s="81" r="F45">
        <f t="shared" si="19"/>
        <v>10%</v>
      </c>
      <c t="str" s="78" r="H45">
        <f t="shared" si="20"/>
        <v>€ 1 851,92</v>
      </c>
      <c t="str" s="79" r="I45">
        <f t="shared" si="21"/>
        <v>€ 345,43</v>
      </c>
      <c t="str" s="84" r="J45">
        <f t="shared" si="22"/>
        <v>€ 18 519,17</v>
      </c>
      <c t="str" s="80" r="K45">
        <f t="shared" si="23"/>
        <v>€ 3 454,31</v>
      </c>
    </row>
    <row r="46">
      <c s="82" r="B46"/>
      <c t="str" s="81" r="D46">
        <f>SUM(D35:D45)</f>
        <v>100%</v>
      </c>
      <c t="str" s="81" r="F46">
        <f>SUM(F35:F45)</f>
        <v>100%</v>
      </c>
      <c s="84" r="H46"/>
      <c s="80" r="I46"/>
      <c s="84" r="J46"/>
      <c s="80" r="K46"/>
    </row>
    <row r="47">
      <c t="s" s="82" r="B47">
        <v>145</v>
      </c>
      <c t="str" s="6" r="C47">
        <f>C57*D47</f>
        <v>€ 1 851,92</v>
      </c>
      <c s="85" r="D47">
        <v>0.2</v>
      </c>
      <c t="str" s="6" r="E47">
        <f>E57*F47</f>
        <v>€ 345,43</v>
      </c>
      <c s="85" r="F47">
        <v>0.2</v>
      </c>
      <c t="str" s="84" r="H47">
        <f ref="H47:K47" t="shared" si="24">SUM(H35:H45)</f>
        <v>€ 18 519,17</v>
      </c>
      <c t="str" s="80" r="I47">
        <f t="shared" si="24"/>
        <v>€ 3 454,31</v>
      </c>
      <c t="str" s="84" r="J47">
        <f t="shared" si="24"/>
        <v>€ 185 191,67</v>
      </c>
      <c t="str" s="80" r="K47">
        <f t="shared" si="24"/>
        <v>€ 34 543,05</v>
      </c>
    </row>
    <row r="48">
      <c s="35" r="A48"/>
      <c t="s" s="36" r="B48">
        <v>146</v>
      </c>
      <c s="22" r="C48"/>
      <c t="s" s="75" r="D48">
        <v>147</v>
      </c>
      <c s="23" r="E48"/>
      <c s="21" r="F48"/>
      <c s="21" r="G48"/>
      <c s="76" r="H48"/>
      <c s="77" r="I48"/>
      <c s="76" r="J48"/>
      <c s="77" r="K48"/>
    </row>
    <row r="49">
      <c s="84" r="H49"/>
      <c s="80" r="I49"/>
      <c s="84" r="J49"/>
      <c s="80" r="K49"/>
    </row>
    <row r="50">
      <c t="s" s="16" r="B50">
        <v>148</v>
      </c>
      <c t="str" s="86" r="C50">
        <f ref="C50:C52" t="shared" si="25">$C$54*D50</f>
        <v>€ 488,91</v>
      </c>
      <c s="81" r="D50">
        <v>0.88</v>
      </c>
      <c t="str" s="25" r="E50">
        <f ref="E50:E52" t="shared" si="26">$E$54*F50</f>
        <v>€ 75,99</v>
      </c>
      <c t="str" s="81" r="F50">
        <f ref="F50:F52" t="shared" si="27">D50</f>
        <v>88%</v>
      </c>
      <c t="str" s="78" r="H50">
        <f ref="H50:H52" t="shared" si="28">C50*10</f>
        <v>€ 4 889,06</v>
      </c>
      <c t="str" s="80" r="I50">
        <f ref="I50:I52" t="shared" si="29">E50*10</f>
        <v>€ 759,95</v>
      </c>
      <c t="str" s="84" r="J50">
        <f ref="J50:J52" t="shared" si="30">C50*100</f>
        <v>€ 48 890,60</v>
      </c>
      <c t="str" s="80" r="K50">
        <f ref="K50:K52" t="shared" si="31">E50*100</f>
        <v>€ 7 599,47</v>
      </c>
    </row>
    <row r="51">
      <c t="s" s="16" r="B51">
        <v>149</v>
      </c>
      <c t="str" s="86" r="C51">
        <f t="shared" si="25"/>
        <v>€ 22,22</v>
      </c>
      <c s="81" r="D51">
        <v>0.04</v>
      </c>
      <c t="str" s="25" r="E51">
        <f t="shared" si="26"/>
        <v>€ 3,45</v>
      </c>
      <c t="str" s="81" r="F51">
        <f t="shared" si="27"/>
        <v>4%</v>
      </c>
      <c t="str" s="78" r="H51">
        <f t="shared" si="28"/>
        <v>€ 222,23</v>
      </c>
      <c t="str" s="80" r="I51">
        <f t="shared" si="29"/>
        <v>€ 34,54</v>
      </c>
      <c t="str" s="84" r="J51">
        <f t="shared" si="30"/>
        <v>€ 2 222,30</v>
      </c>
      <c t="str" s="80" r="K51">
        <f t="shared" si="31"/>
        <v>€ 345,43</v>
      </c>
    </row>
    <row r="52">
      <c t="s" s="16" r="B52">
        <v>150</v>
      </c>
      <c t="str" s="86" r="C52">
        <f t="shared" si="25"/>
        <v>€ 44,45</v>
      </c>
      <c s="81" r="D52">
        <v>0.08</v>
      </c>
      <c t="str" s="25" r="E52">
        <f t="shared" si="26"/>
        <v>€ 6,91</v>
      </c>
      <c t="str" s="81" r="F52">
        <f t="shared" si="27"/>
        <v>8%</v>
      </c>
      <c t="str" s="78" r="H52">
        <f t="shared" si="28"/>
        <v>€ 444,46</v>
      </c>
      <c t="str" s="80" r="I52">
        <f t="shared" si="29"/>
        <v>€ 69,09</v>
      </c>
      <c t="str" s="84" r="J52">
        <f t="shared" si="30"/>
        <v>€ 4 444,60</v>
      </c>
      <c t="str" s="80" r="K52">
        <f t="shared" si="31"/>
        <v>€ 690,86</v>
      </c>
    </row>
    <row r="53">
      <c s="82" r="B53"/>
      <c t="str" s="83" r="D53">
        <f>SUM(D50:D52)</f>
        <v>100%</v>
      </c>
      <c t="str" s="83" r="F53">
        <f>SUM(F50:F52)</f>
        <v>100%</v>
      </c>
      <c s="84" r="H53"/>
      <c s="80" r="I53"/>
      <c s="84" r="J53"/>
      <c s="80" r="K53"/>
    </row>
    <row r="54">
      <c t="s" s="82" r="B54">
        <v>151</v>
      </c>
      <c t="str" s="6" r="C54">
        <f>C57*D54</f>
        <v>€ 555,58</v>
      </c>
      <c s="85" r="D54">
        <v>0.06</v>
      </c>
      <c t="str" s="6" r="E54">
        <f>E57*F54</f>
        <v>€ 86,36</v>
      </c>
      <c s="85" r="F54">
        <v>0.05</v>
      </c>
      <c t="str" s="84" r="H54">
        <f ref="H54:K54" t="shared" si="32">SUM(H50:H52)</f>
        <v>€ 5 555,75</v>
      </c>
      <c t="str" s="80" r="I54">
        <f t="shared" si="32"/>
        <v>€ 863,58</v>
      </c>
      <c t="str" s="84" r="J54">
        <f t="shared" si="32"/>
        <v>€ 55 557,50</v>
      </c>
      <c t="str" s="80" r="K54">
        <f t="shared" si="32"/>
        <v>€ 8 635,76</v>
      </c>
    </row>
    <row r="55">
      <c s="84" r="H55"/>
      <c s="80" r="I55"/>
      <c s="84" r="J55"/>
      <c s="80" r="K55"/>
    </row>
    <row r="56">
      <c t="s" s="82" r="B56">
        <v>152</v>
      </c>
      <c t="str" s="6" r="C56">
        <f ref="C56:E56" t="shared" si="33">C33+C47+C54</f>
        <v>€ 9 259,58</v>
      </c>
      <c t="str" s="83" r="D56">
        <f t="shared" si="33"/>
        <v>100%</v>
      </c>
      <c t="str" s="6" r="E56">
        <f t="shared" si="33"/>
        <v>€ 1 727,15</v>
      </c>
      <c t="str" s="87" r="H56">
        <f ref="H56:K56" t="shared" si="34">H33+H47+H54</f>
        <v>€ 92 595,83</v>
      </c>
      <c t="str" s="88" r="I56">
        <f t="shared" si="34"/>
        <v>€ 17 271,53</v>
      </c>
      <c t="str" s="87" r="J56">
        <f t="shared" si="34"/>
        <v>€ 925 958,33</v>
      </c>
      <c t="str" s="88" r="K56">
        <f t="shared" si="34"/>
        <v>€ 172 715,27</v>
      </c>
    </row>
    <row r="57">
      <c t="s" s="89" r="B57">
        <v>153</v>
      </c>
      <c t="str" s="86" r="C57">
        <f>(C14-C58)</f>
        <v>€ 9 259,58</v>
      </c>
      <c t="str" s="86" r="E57">
        <f>(E20-E58)</f>
        <v>€ 1 727,15</v>
      </c>
    </row>
    <row r="58">
      <c t="s" s="89" r="B58">
        <v>154</v>
      </c>
      <c t="str" s="6" r="C58">
        <f>C4*C59</f>
        <v>€ 6 248,75</v>
      </c>
      <c t="str" s="6" r="E58">
        <f>H6*E59</f>
        <v>€ 1 260,00</v>
      </c>
    </row>
    <row r="59">
      <c t="s" s="89" r="B59">
        <v>155</v>
      </c>
      <c s="85" r="C59">
        <v>0.15</v>
      </c>
      <c s="81" r="D59"/>
      <c s="85" r="E59">
        <v>0.15</v>
      </c>
    </row>
  </sheetData>
  <mergeCells count="2">
    <mergeCell ref="J21:K21"/>
    <mergeCell ref="H21:I21"/>
  </mergeCells>
  <conditionalFormatting sqref="B43">
    <cfRule priority="1" type="cellIs" operator="lessThan" stopIfTrue="1" dxfId="1">
      <formula>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B3" ySplit="2.0" xSplit="1.0" activePane="bottomRight" state="frozen"/>
      <selection sqref="B1" activeCell="B1" pane="topRight"/>
      <selection sqref="A3" activeCell="A3" pane="bottomLeft"/>
      <selection sqref="B3" activeCell="B3" pane="bottomRight"/>
    </sheetView>
  </sheetViews>
  <sheetFormatPr customHeight="1" defaultColWidth="17.29" defaultRowHeight="15.75"/>
  <cols>
    <col min="1" customWidth="1" max="1" width="27.57"/>
  </cols>
  <sheetData>
    <row r="1">
      <c t="s" s="16" r="A1">
        <v>156</v>
      </c>
      <c s="90" r="B1">
        <v>41640.0</v>
      </c>
      <c s="90" r="C1">
        <v>41671.0</v>
      </c>
      <c s="90" r="D1">
        <v>41699.0</v>
      </c>
      <c s="90" r="E1">
        <v>41730.0</v>
      </c>
      <c s="90" r="F1">
        <v>41760.0</v>
      </c>
      <c s="90" r="G1">
        <v>41791.0</v>
      </c>
      <c s="91" r="H1">
        <v>41821.0</v>
      </c>
      <c s="91" r="I1">
        <v>41852.0</v>
      </c>
      <c s="91" r="J1">
        <v>41883.0</v>
      </c>
      <c s="91" r="K1">
        <v>41913.0</v>
      </c>
      <c s="91" r="L1">
        <v>41944.0</v>
      </c>
      <c s="91" r="M1">
        <v>41974.0</v>
      </c>
      <c s="91" r="N1">
        <v>42005.0</v>
      </c>
      <c s="91" r="O1">
        <v>42036.0</v>
      </c>
      <c s="91" r="P1">
        <v>42064.0</v>
      </c>
      <c s="91" r="Q1">
        <v>42095.0</v>
      </c>
      <c s="91" r="R1">
        <v>42125.0</v>
      </c>
      <c s="91" r="S1">
        <v>42156.0</v>
      </c>
      <c s="91" r="T1">
        <v>42186.0</v>
      </c>
      <c s="91" r="U1">
        <v>42217.0</v>
      </c>
      <c s="91" r="V1">
        <v>42248.0</v>
      </c>
      <c s="91" r="W1">
        <v>42278.0</v>
      </c>
      <c s="91" r="X1">
        <v>42309.0</v>
      </c>
      <c s="91" r="Y1">
        <v>42339.0</v>
      </c>
      <c s="91" r="Z1">
        <v>42370.0</v>
      </c>
      <c s="91" r="AA1">
        <v>42401.0</v>
      </c>
      <c s="91" r="AB1">
        <v>42430.0</v>
      </c>
      <c s="91" r="AC1">
        <v>42461.0</v>
      </c>
      <c s="91" r="AD1">
        <v>42491.0</v>
      </c>
      <c s="91" r="AE1">
        <v>42522.0</v>
      </c>
      <c s="91" r="AF1">
        <v>42552.0</v>
      </c>
      <c s="91" r="AG1">
        <v>42583.0</v>
      </c>
      <c s="91" r="AH1">
        <v>42614.0</v>
      </c>
      <c s="91" r="AI1">
        <v>42644.0</v>
      </c>
      <c s="91" r="AJ1">
        <v>42675.0</v>
      </c>
      <c s="91" r="AK1">
        <v>42705.0</v>
      </c>
      <c s="91" r="AL1">
        <v>42736.0</v>
      </c>
      <c s="91" r="AM1">
        <v>42767.0</v>
      </c>
      <c s="91" r="AN1">
        <v>42795.0</v>
      </c>
      <c s="91" r="AO1">
        <v>42826.0</v>
      </c>
      <c s="91" r="AP1">
        <v>42856.0</v>
      </c>
      <c s="91" r="AQ1">
        <v>42887.0</v>
      </c>
      <c s="91" r="AR1">
        <v>42917.0</v>
      </c>
      <c s="91" r="AS1">
        <v>42948.0</v>
      </c>
      <c s="91" r="AT1">
        <v>42979.0</v>
      </c>
      <c s="91" r="AU1">
        <v>43009.0</v>
      </c>
      <c s="91" r="AV1">
        <v>43040.0</v>
      </c>
      <c s="91" r="AW1">
        <v>43070.0</v>
      </c>
      <c s="91" r="AX1">
        <v>43101.0</v>
      </c>
      <c s="91" r="AY1"/>
      <c s="91" r="AZ1"/>
      <c s="91" r="BA1"/>
      <c s="91" r="BB1"/>
    </row>
    <row r="2">
      <c t="s" s="16" r="A2">
        <v>157</v>
      </c>
      <c t="str" s="92" r="B2">
        <f ref="B2:AX2" t="shared" si="1">YEAR(B1)</f>
        <v>2014</v>
      </c>
      <c t="str" s="92" r="C2">
        <f t="shared" si="1"/>
        <v>2014</v>
      </c>
      <c t="str" s="92" r="D2">
        <f t="shared" si="1"/>
        <v>2014</v>
      </c>
      <c t="str" s="92" r="E2">
        <f t="shared" si="1"/>
        <v>2014</v>
      </c>
      <c t="str" s="92" r="F2">
        <f t="shared" si="1"/>
        <v>2014</v>
      </c>
      <c t="str" s="92" r="G2">
        <f t="shared" si="1"/>
        <v>2014</v>
      </c>
      <c t="str" s="16" r="H2">
        <f t="shared" si="1"/>
        <v>2014</v>
      </c>
      <c t="str" s="16" r="I2">
        <f t="shared" si="1"/>
        <v>2014</v>
      </c>
      <c t="str" s="16" r="J2">
        <f t="shared" si="1"/>
        <v>2014</v>
      </c>
      <c t="str" s="16" r="K2">
        <f t="shared" si="1"/>
        <v>2014</v>
      </c>
      <c t="str" s="16" r="L2">
        <f t="shared" si="1"/>
        <v>2014</v>
      </c>
      <c t="str" s="16" r="M2">
        <f t="shared" si="1"/>
        <v>2014</v>
      </c>
      <c t="str" s="16" r="N2">
        <f t="shared" si="1"/>
        <v>2015</v>
      </c>
      <c t="str" s="16" r="O2">
        <f t="shared" si="1"/>
        <v>2015</v>
      </c>
      <c t="str" s="16" r="P2">
        <f t="shared" si="1"/>
        <v>2015</v>
      </c>
      <c t="str" s="16" r="Q2">
        <f t="shared" si="1"/>
        <v>2015</v>
      </c>
      <c t="str" s="16" r="R2">
        <f t="shared" si="1"/>
        <v>2015</v>
      </c>
      <c t="str" s="16" r="S2">
        <f t="shared" si="1"/>
        <v>2015</v>
      </c>
      <c t="str" s="16" r="T2">
        <f t="shared" si="1"/>
        <v>2015</v>
      </c>
      <c t="str" s="16" r="U2">
        <f t="shared" si="1"/>
        <v>2015</v>
      </c>
      <c t="str" s="16" r="V2">
        <f t="shared" si="1"/>
        <v>2015</v>
      </c>
      <c t="str" s="16" r="W2">
        <f t="shared" si="1"/>
        <v>2015</v>
      </c>
      <c t="str" s="16" r="X2">
        <f t="shared" si="1"/>
        <v>2015</v>
      </c>
      <c t="str" s="16" r="Y2">
        <f t="shared" si="1"/>
        <v>2015</v>
      </c>
      <c t="str" s="16" r="Z2">
        <f t="shared" si="1"/>
        <v>2016</v>
      </c>
      <c t="str" s="16" r="AA2">
        <f t="shared" si="1"/>
        <v>2016</v>
      </c>
      <c t="str" s="16" r="AB2">
        <f t="shared" si="1"/>
        <v>2016</v>
      </c>
      <c t="str" s="16" r="AC2">
        <f t="shared" si="1"/>
        <v>2016</v>
      </c>
      <c t="str" s="16" r="AD2">
        <f t="shared" si="1"/>
        <v>2016</v>
      </c>
      <c t="str" s="16" r="AE2">
        <f t="shared" si="1"/>
        <v>2016</v>
      </c>
      <c t="str" s="16" r="AF2">
        <f t="shared" si="1"/>
        <v>2016</v>
      </c>
      <c t="str" s="16" r="AG2">
        <f t="shared" si="1"/>
        <v>2016</v>
      </c>
      <c t="str" s="16" r="AH2">
        <f t="shared" si="1"/>
        <v>2016</v>
      </c>
      <c t="str" s="16" r="AI2">
        <f t="shared" si="1"/>
        <v>2016</v>
      </c>
      <c t="str" s="16" r="AJ2">
        <f t="shared" si="1"/>
        <v>2016</v>
      </c>
      <c t="str" s="16" r="AK2">
        <f t="shared" si="1"/>
        <v>2016</v>
      </c>
      <c t="str" s="16" r="AL2">
        <f t="shared" si="1"/>
        <v>2017</v>
      </c>
      <c t="str" s="16" r="AM2">
        <f t="shared" si="1"/>
        <v>2017</v>
      </c>
      <c t="str" s="16" r="AN2">
        <f t="shared" si="1"/>
        <v>2017</v>
      </c>
      <c t="str" s="16" r="AO2">
        <f t="shared" si="1"/>
        <v>2017</v>
      </c>
      <c t="str" s="16" r="AP2">
        <f t="shared" si="1"/>
        <v>2017</v>
      </c>
      <c t="str" s="16" r="AQ2">
        <f t="shared" si="1"/>
        <v>2017</v>
      </c>
      <c t="str" s="16" r="AR2">
        <f t="shared" si="1"/>
        <v>2017</v>
      </c>
      <c t="str" s="16" r="AS2">
        <f t="shared" si="1"/>
        <v>2017</v>
      </c>
      <c t="str" s="16" r="AT2">
        <f t="shared" si="1"/>
        <v>2017</v>
      </c>
      <c t="str" s="16" r="AU2">
        <f t="shared" si="1"/>
        <v>2017</v>
      </c>
      <c t="str" s="16" r="AV2">
        <f t="shared" si="1"/>
        <v>2017</v>
      </c>
      <c t="str" s="16" r="AW2">
        <f t="shared" si="1"/>
        <v>2017</v>
      </c>
      <c t="str" s="16" r="AX2">
        <f t="shared" si="1"/>
        <v>2018</v>
      </c>
      <c s="16" r="AY2"/>
      <c s="16" r="AZ2"/>
      <c s="16" r="BA2"/>
      <c s="16" r="BB2"/>
    </row>
    <row r="3">
      <c t="s" s="16" r="A3">
        <v>158</v>
      </c>
      <c s="92" r="B3">
        <v>1.0</v>
      </c>
      <c s="92" r="C3">
        <v>0.0</v>
      </c>
      <c s="92" r="D3">
        <v>0.0</v>
      </c>
      <c s="92" r="E3">
        <v>0.0</v>
      </c>
      <c s="92" r="F3">
        <v>0.0</v>
      </c>
      <c s="92" r="G3">
        <v>0.0</v>
      </c>
      <c s="16" r="H3">
        <v>0.0</v>
      </c>
      <c s="16" r="I3">
        <v>0.0</v>
      </c>
      <c s="16" r="J3">
        <v>0.0</v>
      </c>
      <c s="16" r="K3">
        <v>0.0</v>
      </c>
      <c s="16" r="L3">
        <v>0.0</v>
      </c>
      <c s="16" r="M3">
        <v>0.0</v>
      </c>
      <c s="16" r="N3">
        <v>0.0</v>
      </c>
      <c s="16" r="O3">
        <v>0.0</v>
      </c>
      <c s="16" r="P3">
        <v>0.0</v>
      </c>
      <c s="16" r="Q3">
        <v>0.0</v>
      </c>
      <c s="16" r="R3">
        <v>0.0</v>
      </c>
      <c s="16" r="S3">
        <v>0.0</v>
      </c>
      <c s="16" r="T3">
        <v>0.0</v>
      </c>
      <c s="16" r="U3">
        <v>0.0</v>
      </c>
      <c s="16" r="V3">
        <v>0.0</v>
      </c>
      <c s="16" r="W3">
        <v>0.0</v>
      </c>
      <c s="16" r="X3">
        <v>0.0</v>
      </c>
      <c s="16" r="Y3">
        <v>0.0</v>
      </c>
      <c s="16" r="Z3">
        <v>0.0</v>
      </c>
      <c s="16" r="AA3">
        <v>0.0</v>
      </c>
      <c s="16" r="AB3">
        <v>0.0</v>
      </c>
      <c s="16" r="AC3">
        <v>0.0</v>
      </c>
      <c s="16" r="AD3">
        <v>0.0</v>
      </c>
      <c s="16" r="AE3">
        <v>0.0</v>
      </c>
      <c s="16" r="AF3">
        <v>0.0</v>
      </c>
      <c s="16" r="AG3">
        <v>0.0</v>
      </c>
      <c s="16" r="AH3">
        <v>0.0</v>
      </c>
      <c s="16" r="AI3">
        <v>0.0</v>
      </c>
      <c s="16" r="AJ3">
        <v>0.0</v>
      </c>
      <c s="16" r="AK3">
        <v>0.0</v>
      </c>
      <c s="16" r="AL3">
        <v>0.0</v>
      </c>
      <c s="16" r="AM3">
        <v>0.0</v>
      </c>
      <c s="16" r="AN3">
        <v>0.0</v>
      </c>
      <c s="16" r="AO3">
        <v>0.0</v>
      </c>
      <c s="16" r="AP3">
        <v>0.0</v>
      </c>
      <c s="16" r="AQ3">
        <v>0.0</v>
      </c>
      <c s="16" r="AR3">
        <v>0.0</v>
      </c>
      <c s="16" r="AS3">
        <v>0.0</v>
      </c>
      <c s="16" r="AT3">
        <v>0.0</v>
      </c>
      <c s="16" r="AU3">
        <v>0.0</v>
      </c>
      <c s="16" r="AV3">
        <v>0.0</v>
      </c>
      <c s="16" r="AW3">
        <v>0.0</v>
      </c>
      <c s="16" r="AX3">
        <v>0.0</v>
      </c>
    </row>
    <row r="4">
      <c t="s" s="93" r="A4">
        <v>159</v>
      </c>
      <c s="94" r="B4">
        <v>0.0</v>
      </c>
      <c s="94" r="C4">
        <v>0.0</v>
      </c>
      <c s="94" r="D4">
        <v>0.0</v>
      </c>
      <c s="94" r="E4">
        <v>0.0</v>
      </c>
      <c s="94" r="F4">
        <v>0.0</v>
      </c>
      <c s="94" r="G4">
        <v>0.0</v>
      </c>
      <c s="95" r="H4">
        <v>0.0</v>
      </c>
      <c s="95" r="I4">
        <v>0.0</v>
      </c>
      <c s="95" r="J4">
        <v>0.0</v>
      </c>
      <c s="95" r="K4">
        <v>0.0</v>
      </c>
      <c t="str" s="95" r="L4">
        <f>('Plan de ventes'!E17-'Plan de ventes'!E13)*'Hypothèses'!$D$59</f>
        <v>1,20</v>
      </c>
      <c t="str" s="95" r="M4">
        <f>('Plan de ventes'!F17-'Plan de ventes'!F13)*'Hypothèses'!$D$59</f>
        <v>1,80</v>
      </c>
      <c t="str" s="95" r="N4">
        <f>('Plan de ventes'!G17-'Plan de ventes'!G13)*'Hypothèses'!$D$59</f>
        <v>0,60</v>
      </c>
      <c t="str" s="95" r="O4">
        <f>('Plan de ventes'!H17-'Plan de ventes'!H13)*'Hypothèses'!$D$59</f>
        <v>1,20</v>
      </c>
      <c t="str" s="95" r="P4">
        <f>('Plan de ventes'!I17-'Plan de ventes'!I13)*'Hypothèses'!$D$59</f>
        <v>1,20</v>
      </c>
      <c t="str" s="95" r="Q4">
        <f>('Plan de ventes'!J17-'Plan de ventes'!J13)*'Hypothèses'!$D$59</f>
        <v>1,20</v>
      </c>
      <c t="str" s="95" r="R4">
        <f>('Plan de ventes'!K17-'Plan de ventes'!K13)*'Hypothèses'!$D$59</f>
        <v>1,80</v>
      </c>
      <c t="str" s="95" r="S4">
        <f>('Plan de ventes'!L17-'Plan de ventes'!L13)*'Hypothèses'!$D$59</f>
        <v>1,80</v>
      </c>
      <c t="str" s="95" r="T4">
        <f>('Plan de ventes'!M17-'Plan de ventes'!M13)*'Hypothèses'!$D$59</f>
        <v>1,82</v>
      </c>
      <c t="str" s="95" r="U4">
        <f>('Plan de ventes'!N17-'Plan de ventes'!N13)*'Hypothèses'!$D$59</f>
        <v>1,84</v>
      </c>
      <c t="str" s="95" r="V4">
        <f>('Plan de ventes'!O17-'Plan de ventes'!O13)*'Hypothèses'!$D$59</f>
        <v>1,85</v>
      </c>
      <c t="str" s="95" r="W4">
        <f>('Plan de ventes'!P17-'Plan de ventes'!P13)*'Hypothèses'!$D$59</f>
        <v>1,87</v>
      </c>
      <c t="str" s="95" r="X4">
        <f>('Plan de ventes'!Q17-'Plan de ventes'!Q13)*'Hypothèses'!$D$59</f>
        <v>1,89</v>
      </c>
      <c t="str" s="95" r="Y4">
        <f>('Plan de ventes'!R17-'Plan de ventes'!R13)*'Hypothèses'!$D$59</f>
        <v>1,91</v>
      </c>
      <c t="str" s="95" r="Z4">
        <f>('Plan de ventes'!S17-'Plan de ventes'!S13)*'Hypothèses'!$D$59</f>
        <v>3,21</v>
      </c>
      <c t="str" s="95" r="AA4">
        <f>('Plan de ventes'!T17-'Plan de ventes'!T13)*'Hypothèses'!$D$59</f>
        <v>3,89</v>
      </c>
      <c t="str" s="95" r="AB4">
        <f>('Plan de ventes'!U17-'Plan de ventes'!U13)*'Hypothèses'!$D$59</f>
        <v>3,92</v>
      </c>
      <c t="str" s="95" r="AC4">
        <f>('Plan de ventes'!V17-'Plan de ventes'!V13)*'Hypothèses'!$D$59</f>
        <v>3,96</v>
      </c>
      <c t="str" s="95" r="AD4">
        <f>('Plan de ventes'!W17-'Plan de ventes'!W13)*'Hypothèses'!$D$59</f>
        <v>4,00</v>
      </c>
      <c t="str" s="95" r="AE4">
        <f>('Plan de ventes'!X17-'Plan de ventes'!X13)*'Hypothèses'!$D$59</f>
        <v>4,03</v>
      </c>
      <c t="str" s="95" r="AF4">
        <f>('Plan de ventes'!Y17-'Plan de ventes'!Y13)*'Hypothèses'!$D$59</f>
        <v>4,07</v>
      </c>
      <c t="str" s="95" r="AG4">
        <f>('Plan de ventes'!Z17-'Plan de ventes'!Z13)*'Hypothèses'!$D$59</f>
        <v>4,10</v>
      </c>
      <c t="str" s="95" r="AH4">
        <f>('Plan de ventes'!AA17-'Plan de ventes'!AA13)*'Hypothèses'!$D$59</f>
        <v>4,14</v>
      </c>
      <c t="str" s="95" r="AI4">
        <f>('Plan de ventes'!AB17-'Plan de ventes'!AB13)*'Hypothèses'!$D$59</f>
        <v>4,18</v>
      </c>
      <c t="str" s="95" r="AJ4">
        <f>('Plan de ventes'!AC17-'Plan de ventes'!AC13)*'Hypothèses'!$D$59</f>
        <v>4,21</v>
      </c>
      <c t="str" s="95" r="AK4">
        <f>('Plan de ventes'!AD17-'Plan de ventes'!AD13)*'Hypothèses'!$D$59</f>
        <v>4,25</v>
      </c>
      <c t="str" s="95" r="AL4">
        <f>('Plan de ventes'!AE17-'Plan de ventes'!AE13)*'Hypothèses'!$D$59</f>
        <v>6,43</v>
      </c>
      <c t="str" s="95" r="AM4">
        <f>('Plan de ventes'!AF17-'Plan de ventes'!AF13)*'Hypothèses'!$D$59</f>
        <v>6,48</v>
      </c>
      <c t="str" s="95" r="AN4">
        <f>('Plan de ventes'!AG17-'Plan de ventes'!AG13)*'Hypothèses'!$D$59</f>
        <v>6,53</v>
      </c>
      <c t="str" s="95" r="AO4">
        <f>('Plan de ventes'!AH17-'Plan de ventes'!AH13)*'Hypothèses'!$D$59</f>
        <v>6,59</v>
      </c>
      <c t="str" s="95" r="AP4">
        <f>('Plan de ventes'!AI17-'Plan de ventes'!AI13)*'Hypothèses'!$D$59</f>
        <v>6,64</v>
      </c>
      <c t="str" s="95" r="AQ4">
        <f>('Plan de ventes'!AJ17-'Plan de ventes'!AJ13)*'Hypothèses'!$D$59</f>
        <v>6,70</v>
      </c>
      <c t="str" s="95" r="AR4">
        <f>('Plan de ventes'!AK17-'Plan de ventes'!AK13)*'Hypothèses'!$D$59</f>
        <v>6,75</v>
      </c>
      <c t="str" s="95" r="AS4">
        <f>('Plan de ventes'!AL17-'Plan de ventes'!AL13)*'Hypothèses'!$D$59</f>
        <v>6,80</v>
      </c>
      <c t="str" s="95" r="AT4">
        <f>('Plan de ventes'!AM17-'Plan de ventes'!AM13)*'Hypothèses'!$D$59</f>
        <v>6,86</v>
      </c>
      <c t="str" s="95" r="AU4">
        <f>('Plan de ventes'!AN17-'Plan de ventes'!AN13)*'Hypothèses'!$D$59</f>
        <v>6,91</v>
      </c>
      <c t="str" s="95" r="AV4">
        <f>('Plan de ventes'!AO17-'Plan de ventes'!AO13)*'Hypothèses'!$D$59</f>
        <v>6,97</v>
      </c>
      <c t="str" s="95" r="AW4">
        <f>('Plan de ventes'!AP17-'Plan de ventes'!AP13)*'Hypothèses'!$D$59</f>
        <v>7,02</v>
      </c>
      <c t="str" s="95" r="AX4">
        <f>('Plan de ventes'!AQ17-'Plan de ventes'!AQ13)*'Hypothèses'!$D$59</f>
        <v>84,24</v>
      </c>
      <c s="4" r="AY4"/>
      <c s="4" r="AZ4"/>
      <c s="4" r="BA4"/>
      <c s="4" r="BB4"/>
    </row>
    <row r="5">
      <c t="s" s="96" r="A5">
        <v>160</v>
      </c>
      <c s="94" r="B5">
        <v>0.0</v>
      </c>
      <c s="94" r="C5">
        <v>0.0</v>
      </c>
      <c s="94" r="D5">
        <v>0.0</v>
      </c>
      <c s="94" r="E5">
        <v>0.0</v>
      </c>
      <c s="94" r="F5">
        <v>0.0</v>
      </c>
      <c s="94" r="G5">
        <v>0.0</v>
      </c>
      <c s="95" r="H5">
        <v>0.0</v>
      </c>
      <c s="95" r="I5">
        <v>0.0</v>
      </c>
      <c s="95" r="J5">
        <v>0.0</v>
      </c>
      <c s="95" r="K5">
        <v>0.0</v>
      </c>
      <c t="str" s="95" r="L5">
        <f>('Plan de ventes'!E17-'Plan de ventes'!E13)*'Hypothèses'!$D$60</f>
        <v>0,80</v>
      </c>
      <c t="str" s="95" r="M5">
        <f>('Plan de ventes'!F17-'Plan de ventes'!F13)*'Hypothèses'!$D$60</f>
        <v>1,20</v>
      </c>
      <c t="str" s="95" r="N5">
        <f>('Plan de ventes'!G17-'Plan de ventes'!G13)*'Hypothèses'!$D$60</f>
        <v>0,40</v>
      </c>
      <c t="str" s="95" r="O5">
        <f>('Plan de ventes'!H17-'Plan de ventes'!H13)*'Hypothèses'!$D$60</f>
        <v>0,80</v>
      </c>
      <c t="str" s="95" r="P5">
        <f>('Plan de ventes'!I17-'Plan de ventes'!I13)*'Hypothèses'!$D$60</f>
        <v>0,80</v>
      </c>
      <c t="str" s="95" r="Q5">
        <f>('Plan de ventes'!J17-'Plan de ventes'!J13)*'Hypothèses'!$D$60</f>
        <v>0,80</v>
      </c>
      <c t="str" s="95" r="R5">
        <f>('Plan de ventes'!K17-'Plan de ventes'!K13)*'Hypothèses'!$D$60</f>
        <v>1,20</v>
      </c>
      <c t="str" s="95" r="S5">
        <f>('Plan de ventes'!L17-'Plan de ventes'!L13)*'Hypothèses'!$D$60</f>
        <v>1,20</v>
      </c>
      <c t="str" s="95" r="T5">
        <f>('Plan de ventes'!M17-'Plan de ventes'!M13)*'Hypothèses'!$D$60</f>
        <v>1,21</v>
      </c>
      <c t="str" s="95" r="U5">
        <f>('Plan de ventes'!N17-'Plan de ventes'!N13)*'Hypothèses'!$D$60</f>
        <v>1,22</v>
      </c>
      <c t="str" s="95" r="V5">
        <f>('Plan de ventes'!O17-'Plan de ventes'!O13)*'Hypothèses'!$D$60</f>
        <v>1,24</v>
      </c>
      <c t="str" s="95" r="W5">
        <f>('Plan de ventes'!P17-'Plan de ventes'!P13)*'Hypothèses'!$D$60</f>
        <v>1,25</v>
      </c>
      <c t="str" s="95" r="X5">
        <f>('Plan de ventes'!Q17-'Plan de ventes'!Q13)*'Hypothèses'!$D$60</f>
        <v>1,26</v>
      </c>
      <c t="str" s="95" r="Y5">
        <f>('Plan de ventes'!R17-'Plan de ventes'!R13)*'Hypothèses'!$D$60</f>
        <v>1,27</v>
      </c>
      <c t="str" s="95" r="Z5">
        <f>('Plan de ventes'!S17-'Plan de ventes'!S13)*'Hypothèses'!$D$60</f>
        <v>2,14</v>
      </c>
      <c t="str" s="95" r="AA5">
        <f>('Plan de ventes'!T17-'Plan de ventes'!T13)*'Hypothèses'!$D$60</f>
        <v>2,59</v>
      </c>
      <c t="str" s="95" r="AB5">
        <f>('Plan de ventes'!U17-'Plan de ventes'!U13)*'Hypothèses'!$D$60</f>
        <v>2,62</v>
      </c>
      <c t="str" s="95" r="AC5">
        <f>('Plan de ventes'!V17-'Plan de ventes'!V13)*'Hypothèses'!$D$60</f>
        <v>2,64</v>
      </c>
      <c t="str" s="95" r="AD5">
        <f>('Plan de ventes'!W17-'Plan de ventes'!W13)*'Hypothèses'!$D$60</f>
        <v>2,66</v>
      </c>
      <c t="str" s="95" r="AE5">
        <f>('Plan de ventes'!X17-'Plan de ventes'!X13)*'Hypothèses'!$D$60</f>
        <v>2,69</v>
      </c>
      <c t="str" s="95" r="AF5">
        <f>('Plan de ventes'!Y17-'Plan de ventes'!Y13)*'Hypothèses'!$D$60</f>
        <v>2,71</v>
      </c>
      <c t="str" s="95" r="AG5">
        <f>('Plan de ventes'!Z17-'Plan de ventes'!Z13)*'Hypothèses'!$D$60</f>
        <v>2,74</v>
      </c>
      <c t="str" s="95" r="AH5">
        <f>('Plan de ventes'!AA17-'Plan de ventes'!AA13)*'Hypothèses'!$D$60</f>
        <v>2,76</v>
      </c>
      <c t="str" s="95" r="AI5">
        <f>('Plan de ventes'!AB17-'Plan de ventes'!AB13)*'Hypothèses'!$D$60</f>
        <v>2,78</v>
      </c>
      <c t="str" s="95" r="AJ5">
        <f>('Plan de ventes'!AC17-'Plan de ventes'!AC13)*'Hypothèses'!$D$60</f>
        <v>2,81</v>
      </c>
      <c t="str" s="95" r="AK5">
        <f>('Plan de ventes'!AD17-'Plan de ventes'!AD13)*'Hypothèses'!$D$60</f>
        <v>2,83</v>
      </c>
      <c t="str" s="95" r="AL5">
        <f>('Plan de ventes'!AE17-'Plan de ventes'!AE13)*'Hypothèses'!$D$60</f>
        <v>4,28</v>
      </c>
      <c t="str" s="95" r="AM5">
        <f>('Plan de ventes'!AF17-'Plan de ventes'!AF13)*'Hypothèses'!$D$60</f>
        <v>4,32</v>
      </c>
      <c t="str" s="95" r="AN5">
        <f>('Plan de ventes'!AG17-'Plan de ventes'!AG13)*'Hypothèses'!$D$60</f>
        <v>4,36</v>
      </c>
      <c t="str" s="95" r="AO5">
        <f>('Plan de ventes'!AH17-'Plan de ventes'!AH13)*'Hypothèses'!$D$60</f>
        <v>4,39</v>
      </c>
      <c t="str" s="95" r="AP5">
        <f>('Plan de ventes'!AI17-'Plan de ventes'!AI13)*'Hypothèses'!$D$60</f>
        <v>4,43</v>
      </c>
      <c t="str" s="95" r="AQ5">
        <f>('Plan de ventes'!AJ17-'Plan de ventes'!AJ13)*'Hypothèses'!$D$60</f>
        <v>4,46</v>
      </c>
      <c t="str" s="95" r="AR5">
        <f>('Plan de ventes'!AK17-'Plan de ventes'!AK13)*'Hypothèses'!$D$60</f>
        <v>4,50</v>
      </c>
      <c t="str" s="95" r="AS5">
        <f>('Plan de ventes'!AL17-'Plan de ventes'!AL13)*'Hypothèses'!$D$60</f>
        <v>4,54</v>
      </c>
      <c t="str" s="95" r="AT5">
        <f>('Plan de ventes'!AM17-'Plan de ventes'!AM13)*'Hypothèses'!$D$60</f>
        <v>4,57</v>
      </c>
      <c t="str" s="95" r="AU5">
        <f>('Plan de ventes'!AN17-'Plan de ventes'!AN13)*'Hypothèses'!$D$60</f>
        <v>4,61</v>
      </c>
      <c t="str" s="95" r="AV5">
        <f>('Plan de ventes'!AO17-'Plan de ventes'!AO13)*'Hypothèses'!$D$60</f>
        <v>4,64</v>
      </c>
      <c t="str" s="95" r="AW5">
        <f>('Plan de ventes'!AP17-'Plan de ventes'!AP13)*'Hypothèses'!$D$60</f>
        <v>4,68</v>
      </c>
      <c t="str" s="95" r="AX5">
        <f>('Plan de ventes'!AQ17-'Plan de ventes'!AQ13)*'Hypothèses'!$D$60</f>
        <v>56,16</v>
      </c>
      <c s="4" r="AY5"/>
      <c s="4" r="AZ5"/>
      <c s="4" r="BA5"/>
      <c s="4" r="BB5"/>
    </row>
    <row r="6">
      <c t="s" s="33" r="A6">
        <v>161</v>
      </c>
      <c s="97" r="B6"/>
      <c s="97" r="C6"/>
      <c s="97" r="D6"/>
      <c s="97" r="E6"/>
      <c s="97" r="F6"/>
      <c s="97" r="G6"/>
      <c s="5" r="H6"/>
      <c s="5" r="I6"/>
      <c s="5" r="J6"/>
      <c s="5" r="K6"/>
      <c t="str" s="5" r="L6">
        <f>'Plan de ventes'!E13</f>
        <v/>
      </c>
      <c t="str" s="5" r="M6">
        <f>'Plan de ventes'!F13</f>
        <v/>
      </c>
      <c t="str" s="5" r="N6">
        <f>'Plan de ventes'!G13</f>
        <v>3</v>
      </c>
      <c t="str" s="5" r="O6">
        <f>'Plan de ventes'!H13</f>
        <v>0</v>
      </c>
      <c t="str" s="5" r="P6">
        <f>'Plan de ventes'!I13</f>
        <v>0</v>
      </c>
      <c t="str" s="5" r="Q6">
        <f>'Plan de ventes'!J13</f>
        <v>4</v>
      </c>
      <c t="str" s="5" r="R6">
        <f>'Plan de ventes'!K13</f>
        <v>0</v>
      </c>
      <c t="str" s="5" r="S6">
        <f>'Plan de ventes'!L13</f>
        <v>0</v>
      </c>
      <c t="str" s="5" r="T6">
        <f>'Plan de ventes'!M13</f>
        <v>5</v>
      </c>
      <c t="str" s="5" r="U6">
        <f>'Plan de ventes'!N13</f>
        <v>0</v>
      </c>
      <c t="str" s="5" r="V6">
        <f>'Plan de ventes'!O13</f>
        <v>0</v>
      </c>
      <c t="str" s="5" r="W6">
        <f>'Plan de ventes'!P13</f>
        <v>7</v>
      </c>
      <c t="str" s="5" r="X6">
        <f>'Plan de ventes'!Q13</f>
        <v>0</v>
      </c>
      <c t="str" s="5" r="Y6">
        <f>'Plan de ventes'!R13</f>
        <v>5</v>
      </c>
      <c t="str" s="5" r="Z6">
        <f>'Plan de ventes'!S13</f>
        <v>7</v>
      </c>
      <c t="str" s="5" r="AA6">
        <f>'Plan de ventes'!T13</f>
        <v>8</v>
      </c>
      <c t="str" s="5" r="AB6">
        <f>'Plan de ventes'!U13</f>
        <v>9</v>
      </c>
      <c t="str" s="5" r="AC6">
        <f>'Plan de ventes'!V13</f>
        <v>9</v>
      </c>
      <c t="str" s="5" r="AD6">
        <f>'Plan de ventes'!W13</f>
        <v>9</v>
      </c>
      <c t="str" s="5" r="AE6">
        <f>'Plan de ventes'!X13</f>
        <v>9</v>
      </c>
      <c t="str" s="5" r="AF6">
        <f>'Plan de ventes'!Y13</f>
        <v>9</v>
      </c>
      <c t="str" s="5" r="AG6">
        <f>'Plan de ventes'!Z13</f>
        <v>9</v>
      </c>
      <c t="str" s="5" r="AH6">
        <f>'Plan de ventes'!AA13</f>
        <v>9</v>
      </c>
      <c t="str" s="5" r="AI6">
        <f>'Plan de ventes'!AB13</f>
        <v>9</v>
      </c>
      <c t="str" s="5" r="AJ6">
        <f>'Plan de ventes'!AC13</f>
        <v>9</v>
      </c>
      <c t="str" s="5" r="AK6">
        <f>'Plan de ventes'!AD13</f>
        <v>9</v>
      </c>
      <c t="str" s="5" r="AL6">
        <f>'Plan de ventes'!AE13</f>
        <v>10</v>
      </c>
      <c t="str" s="5" r="AM6">
        <f>'Plan de ventes'!AF13</f>
        <v>10</v>
      </c>
      <c t="str" s="5" r="AN6">
        <f>'Plan de ventes'!AG13</f>
        <v>10</v>
      </c>
      <c t="str" s="5" r="AO6">
        <f>'Plan de ventes'!AH13</f>
        <v>10</v>
      </c>
      <c t="str" s="5" r="AP6">
        <f>'Plan de ventes'!AI13</f>
        <v>10</v>
      </c>
      <c t="str" s="5" r="AQ6">
        <f>'Plan de ventes'!AJ13</f>
        <v>10</v>
      </c>
      <c t="str" s="5" r="AR6">
        <f>'Plan de ventes'!AK13</f>
        <v>10</v>
      </c>
      <c t="str" s="5" r="AS6">
        <f>'Plan de ventes'!AL13</f>
        <v>10</v>
      </c>
      <c t="str" s="5" r="AT6">
        <f>'Plan de ventes'!AM13</f>
        <v>10</v>
      </c>
      <c t="str" s="5" r="AU6">
        <f>'Plan de ventes'!AN13</f>
        <v>10</v>
      </c>
      <c t="str" s="5" r="AV6">
        <f>'Plan de ventes'!AO13</f>
        <v>10</v>
      </c>
      <c t="str" s="5" r="AW6">
        <f>'Plan de ventes'!AP13</f>
        <v>10</v>
      </c>
      <c t="str" s="5" r="AX6">
        <f>'Plan de ventes'!AQ13</f>
        <v>120</v>
      </c>
      <c s="5" r="AY6"/>
      <c s="5" r="AZ6"/>
      <c s="5" r="BA6"/>
      <c s="5" r="BB6"/>
    </row>
    <row r="7">
      <c t="s" s="98" r="A7">
        <v>162</v>
      </c>
      <c t="str" s="99" r="B7">
        <f ref="B7:AX7" t="shared" si="2">SUM(B3:B6)</f>
        <v>1</v>
      </c>
      <c t="str" s="99" r="C7">
        <f t="shared" si="2"/>
        <v>0</v>
      </c>
      <c t="str" s="99" r="D7">
        <f t="shared" si="2"/>
        <v>0</v>
      </c>
      <c t="str" s="99" r="E7">
        <f t="shared" si="2"/>
        <v>0</v>
      </c>
      <c t="str" s="99" r="F7">
        <f t="shared" si="2"/>
        <v>0</v>
      </c>
      <c t="str" s="99" r="G7">
        <f t="shared" si="2"/>
        <v>0</v>
      </c>
      <c t="str" s="99" r="H7">
        <f t="shared" si="2"/>
        <v>0</v>
      </c>
      <c t="str" s="99" r="I7">
        <f t="shared" si="2"/>
        <v>0</v>
      </c>
      <c t="str" s="99" r="J7">
        <f t="shared" si="2"/>
        <v>0</v>
      </c>
      <c t="str" s="99" r="K7">
        <f t="shared" si="2"/>
        <v>0</v>
      </c>
      <c t="str" s="99" r="L7">
        <f t="shared" si="2"/>
        <v>2</v>
      </c>
      <c t="str" s="99" r="M7">
        <f t="shared" si="2"/>
        <v>3</v>
      </c>
      <c t="str" s="99" r="N7">
        <f t="shared" si="2"/>
        <v>4</v>
      </c>
      <c t="str" s="99" r="O7">
        <f t="shared" si="2"/>
        <v>2</v>
      </c>
      <c t="str" s="99" r="P7">
        <f t="shared" si="2"/>
        <v>2</v>
      </c>
      <c t="str" s="99" r="Q7">
        <f t="shared" si="2"/>
        <v>6</v>
      </c>
      <c t="str" s="99" r="R7">
        <f t="shared" si="2"/>
        <v>3</v>
      </c>
      <c t="str" s="99" r="S7">
        <f t="shared" si="2"/>
        <v>3</v>
      </c>
      <c t="str" s="99" r="T7">
        <f t="shared" si="2"/>
        <v>8</v>
      </c>
      <c t="str" s="99" r="U7">
        <f t="shared" si="2"/>
        <v>3</v>
      </c>
      <c t="str" s="99" r="V7">
        <f t="shared" si="2"/>
        <v>3</v>
      </c>
      <c t="str" s="99" r="W7">
        <f t="shared" si="2"/>
        <v>10</v>
      </c>
      <c t="str" s="99" r="X7">
        <f t="shared" si="2"/>
        <v>3</v>
      </c>
      <c t="str" s="99" r="Y7">
        <f t="shared" si="2"/>
        <v>8</v>
      </c>
      <c t="str" s="99" r="Z7">
        <f t="shared" si="2"/>
        <v>12</v>
      </c>
      <c t="str" s="99" r="AA7">
        <f t="shared" si="2"/>
        <v>14</v>
      </c>
      <c t="str" s="99" r="AB7">
        <f t="shared" si="2"/>
        <v>16</v>
      </c>
      <c t="str" s="99" r="AC7">
        <f t="shared" si="2"/>
        <v>16</v>
      </c>
      <c t="str" s="99" r="AD7">
        <f t="shared" si="2"/>
        <v>16</v>
      </c>
      <c t="str" s="99" r="AE7">
        <f t="shared" si="2"/>
        <v>16</v>
      </c>
      <c t="str" s="99" r="AF7">
        <f t="shared" si="2"/>
        <v>16</v>
      </c>
      <c t="str" s="99" r="AG7">
        <f t="shared" si="2"/>
        <v>16</v>
      </c>
      <c t="str" s="99" r="AH7">
        <f t="shared" si="2"/>
        <v>16</v>
      </c>
      <c t="str" s="99" r="AI7">
        <f t="shared" si="2"/>
        <v>16</v>
      </c>
      <c t="str" s="99" r="AJ7">
        <f t="shared" si="2"/>
        <v>16</v>
      </c>
      <c t="str" s="99" r="AK7">
        <f t="shared" si="2"/>
        <v>16</v>
      </c>
      <c t="str" s="99" r="AL7">
        <f t="shared" si="2"/>
        <v>21</v>
      </c>
      <c t="str" s="99" r="AM7">
        <f t="shared" si="2"/>
        <v>21</v>
      </c>
      <c t="str" s="99" r="AN7">
        <f t="shared" si="2"/>
        <v>21</v>
      </c>
      <c t="str" s="99" r="AO7">
        <f t="shared" si="2"/>
        <v>21</v>
      </c>
      <c t="str" s="99" r="AP7">
        <f t="shared" si="2"/>
        <v>21</v>
      </c>
      <c t="str" s="99" r="AQ7">
        <f t="shared" si="2"/>
        <v>21</v>
      </c>
      <c t="str" s="99" r="AR7">
        <f t="shared" si="2"/>
        <v>21</v>
      </c>
      <c t="str" s="99" r="AS7">
        <f t="shared" si="2"/>
        <v>21</v>
      </c>
      <c t="str" s="99" r="AT7">
        <f t="shared" si="2"/>
        <v>21</v>
      </c>
      <c t="str" s="99" r="AU7">
        <f t="shared" si="2"/>
        <v>22</v>
      </c>
      <c t="str" s="99" r="AV7">
        <f t="shared" si="2"/>
        <v>22</v>
      </c>
      <c t="str" s="99" r="AW7">
        <f t="shared" si="2"/>
        <v>22</v>
      </c>
      <c t="str" s="99" r="AX7">
        <f t="shared" si="2"/>
        <v>260</v>
      </c>
      <c s="100" r="AY7"/>
      <c s="100" r="AZ7"/>
      <c s="100" r="BA7"/>
      <c s="100" r="BB7"/>
    </row>
    <row r="8">
      <c t="s" s="101" r="A8">
        <v>163</v>
      </c>
      <c s="102" r="B8"/>
      <c t="str" s="102" r="C8">
        <f ref="C8:C9" t="shared" si="4">B3+C3+B8</f>
        <v>1</v>
      </c>
      <c t="str" s="102" r="D8">
        <f ref="D8:AX8" t="shared" si="3">D3+C8</f>
        <v>1</v>
      </c>
      <c t="str" s="102" r="E8">
        <f t="shared" si="3"/>
        <v>1</v>
      </c>
      <c t="str" s="102" r="F8">
        <f t="shared" si="3"/>
        <v>1</v>
      </c>
      <c t="str" s="102" r="G8">
        <f t="shared" si="3"/>
        <v>1</v>
      </c>
      <c t="str" s="2" r="H8">
        <f t="shared" si="3"/>
        <v>1</v>
      </c>
      <c t="str" s="2" r="I8">
        <f t="shared" si="3"/>
        <v>1</v>
      </c>
      <c t="str" s="2" r="J8">
        <f t="shared" si="3"/>
        <v>1</v>
      </c>
      <c t="str" s="2" r="K8">
        <f t="shared" si="3"/>
        <v>1</v>
      </c>
      <c t="str" s="2" r="L8">
        <f t="shared" si="3"/>
        <v>1</v>
      </c>
      <c t="str" s="2" r="M8">
        <f t="shared" si="3"/>
        <v>1</v>
      </c>
      <c t="str" s="2" r="N8">
        <f t="shared" si="3"/>
        <v>1</v>
      </c>
      <c t="str" s="2" r="O8">
        <f t="shared" si="3"/>
        <v>1</v>
      </c>
      <c t="str" s="2" r="P8">
        <f t="shared" si="3"/>
        <v>1</v>
      </c>
      <c t="str" s="2" r="Q8">
        <f t="shared" si="3"/>
        <v>1</v>
      </c>
      <c t="str" s="2" r="R8">
        <f t="shared" si="3"/>
        <v>1</v>
      </c>
      <c t="str" s="2" r="S8">
        <f t="shared" si="3"/>
        <v>1</v>
      </c>
      <c t="str" s="2" r="T8">
        <f t="shared" si="3"/>
        <v>1</v>
      </c>
      <c t="str" s="2" r="U8">
        <f t="shared" si="3"/>
        <v>1</v>
      </c>
      <c t="str" s="2" r="V8">
        <f t="shared" si="3"/>
        <v>1</v>
      </c>
      <c t="str" s="2" r="W8">
        <f t="shared" si="3"/>
        <v>1</v>
      </c>
      <c t="str" s="2" r="X8">
        <f t="shared" si="3"/>
        <v>1</v>
      </c>
      <c t="str" s="2" r="Y8">
        <f t="shared" si="3"/>
        <v>1</v>
      </c>
      <c t="str" s="2" r="Z8">
        <f t="shared" si="3"/>
        <v>1</v>
      </c>
      <c t="str" s="2" r="AA8">
        <f t="shared" si="3"/>
        <v>1</v>
      </c>
      <c t="str" s="2" r="AB8">
        <f t="shared" si="3"/>
        <v>1</v>
      </c>
      <c t="str" s="2" r="AC8">
        <f t="shared" si="3"/>
        <v>1</v>
      </c>
      <c t="str" s="2" r="AD8">
        <f t="shared" si="3"/>
        <v>1</v>
      </c>
      <c t="str" s="2" r="AE8">
        <f t="shared" si="3"/>
        <v>1</v>
      </c>
      <c t="str" s="2" r="AF8">
        <f t="shared" si="3"/>
        <v>1</v>
      </c>
      <c t="str" s="2" r="AG8">
        <f t="shared" si="3"/>
        <v>1</v>
      </c>
      <c t="str" s="2" r="AH8">
        <f t="shared" si="3"/>
        <v>1</v>
      </c>
      <c t="str" s="2" r="AI8">
        <f t="shared" si="3"/>
        <v>1</v>
      </c>
      <c t="str" s="2" r="AJ8">
        <f t="shared" si="3"/>
        <v>1</v>
      </c>
      <c t="str" s="2" r="AK8">
        <f t="shared" si="3"/>
        <v>1</v>
      </c>
      <c t="str" s="2" r="AL8">
        <f t="shared" si="3"/>
        <v>1</v>
      </c>
      <c t="str" s="2" r="AM8">
        <f t="shared" si="3"/>
        <v>1</v>
      </c>
      <c t="str" s="2" r="AN8">
        <f t="shared" si="3"/>
        <v>1</v>
      </c>
      <c t="str" s="2" r="AO8">
        <f t="shared" si="3"/>
        <v>1</v>
      </c>
      <c t="str" s="2" r="AP8">
        <f t="shared" si="3"/>
        <v>1</v>
      </c>
      <c t="str" s="2" r="AQ8">
        <f t="shared" si="3"/>
        <v>1</v>
      </c>
      <c t="str" s="2" r="AR8">
        <f t="shared" si="3"/>
        <v>1</v>
      </c>
      <c t="str" s="2" r="AS8">
        <f t="shared" si="3"/>
        <v>1</v>
      </c>
      <c t="str" s="2" r="AT8">
        <f t="shared" si="3"/>
        <v>1</v>
      </c>
      <c t="str" s="2" r="AU8">
        <f t="shared" si="3"/>
        <v>1</v>
      </c>
      <c t="str" s="2" r="AV8">
        <f t="shared" si="3"/>
        <v>1</v>
      </c>
      <c t="str" s="2" r="AW8">
        <f t="shared" si="3"/>
        <v>1</v>
      </c>
      <c t="str" s="2" r="AX8">
        <f t="shared" si="3"/>
        <v>1</v>
      </c>
      <c s="2" r="AY8"/>
      <c s="2" r="AZ8"/>
      <c s="2" r="BA8"/>
      <c s="2" r="BB8"/>
    </row>
    <row r="9">
      <c t="s" s="50" r="A9">
        <v>164</v>
      </c>
      <c s="103" r="B9"/>
      <c t="str" s="103" r="C9">
        <f t="shared" si="4"/>
        <v>0,00</v>
      </c>
      <c t="str" s="103" r="D9">
        <f ref="D9:AX9" t="shared" si="5">D4+C9</f>
        <v>0,00</v>
      </c>
      <c t="str" s="103" r="E9">
        <f t="shared" si="5"/>
        <v>0,00</v>
      </c>
      <c t="str" s="103" r="F9">
        <f t="shared" si="5"/>
        <v>0,00</v>
      </c>
      <c t="str" s="103" r="G9">
        <f t="shared" si="5"/>
        <v>0,00</v>
      </c>
      <c t="str" s="4" r="H9">
        <f t="shared" si="5"/>
        <v>0,00</v>
      </c>
      <c t="str" s="4" r="I9">
        <f t="shared" si="5"/>
        <v>0,00</v>
      </c>
      <c t="str" s="4" r="J9">
        <f t="shared" si="5"/>
        <v>0,00</v>
      </c>
      <c t="str" s="4" r="K9">
        <f t="shared" si="5"/>
        <v>0,00</v>
      </c>
      <c t="str" s="4" r="L9">
        <f t="shared" si="5"/>
        <v>1,20</v>
      </c>
      <c t="str" s="4" r="M9">
        <f t="shared" si="5"/>
        <v>3,00</v>
      </c>
      <c t="str" s="4" r="N9">
        <f t="shared" si="5"/>
        <v>3,60</v>
      </c>
      <c t="str" s="4" r="O9">
        <f t="shared" si="5"/>
        <v>4,80</v>
      </c>
      <c t="str" s="4" r="P9">
        <f t="shared" si="5"/>
        <v>6,00</v>
      </c>
      <c t="str" s="4" r="Q9">
        <f t="shared" si="5"/>
        <v>7,20</v>
      </c>
      <c t="str" s="4" r="R9">
        <f t="shared" si="5"/>
        <v>9,00</v>
      </c>
      <c t="str" s="4" r="S9">
        <f t="shared" si="5"/>
        <v>10,80</v>
      </c>
      <c t="str" s="4" r="T9">
        <f t="shared" si="5"/>
        <v>12,62</v>
      </c>
      <c t="str" s="4" r="U9">
        <f t="shared" si="5"/>
        <v>14,45</v>
      </c>
      <c t="str" s="4" r="V9">
        <f t="shared" si="5"/>
        <v>16,31</v>
      </c>
      <c t="str" s="4" r="W9">
        <f t="shared" si="5"/>
        <v>18,18</v>
      </c>
      <c t="str" s="4" r="X9">
        <f t="shared" si="5"/>
        <v>20,07</v>
      </c>
      <c t="str" s="4" r="Y9">
        <f t="shared" si="5"/>
        <v>21,98</v>
      </c>
      <c t="str" s="4" r="Z9">
        <f t="shared" si="5"/>
        <v>25,19</v>
      </c>
      <c t="str" s="4" r="AA9">
        <f t="shared" si="5"/>
        <v>29,08</v>
      </c>
      <c t="str" s="4" r="AB9">
        <f t="shared" si="5"/>
        <v>33,00</v>
      </c>
      <c t="str" s="4" r="AC9">
        <f t="shared" si="5"/>
        <v>36,96</v>
      </c>
      <c t="str" s="4" r="AD9">
        <f t="shared" si="5"/>
        <v>40,96</v>
      </c>
      <c t="str" s="4" r="AE9">
        <f t="shared" si="5"/>
        <v>44,99</v>
      </c>
      <c t="str" s="4" r="AF9">
        <f t="shared" si="5"/>
        <v>49,06</v>
      </c>
      <c t="str" s="4" r="AG9">
        <f t="shared" si="5"/>
        <v>53,16</v>
      </c>
      <c t="str" s="4" r="AH9">
        <f t="shared" si="5"/>
        <v>57,30</v>
      </c>
      <c t="str" s="4" r="AI9">
        <f t="shared" si="5"/>
        <v>61,48</v>
      </c>
      <c t="str" s="4" r="AJ9">
        <f t="shared" si="5"/>
        <v>65,69</v>
      </c>
      <c t="str" s="4" r="AK9">
        <f t="shared" si="5"/>
        <v>69,94</v>
      </c>
      <c t="str" s="4" r="AL9">
        <f t="shared" si="5"/>
        <v>76,36</v>
      </c>
      <c t="str" s="4" r="AM9">
        <f t="shared" si="5"/>
        <v>82,84</v>
      </c>
      <c t="str" s="4" r="AN9">
        <f t="shared" si="5"/>
        <v>89,38</v>
      </c>
      <c t="str" s="4" r="AO9">
        <f t="shared" si="5"/>
        <v>95,96</v>
      </c>
      <c t="str" s="4" r="AP9">
        <f t="shared" si="5"/>
        <v>102,61</v>
      </c>
      <c t="str" s="4" r="AQ9">
        <f t="shared" si="5"/>
        <v>109,30</v>
      </c>
      <c t="str" s="4" r="AR9">
        <f t="shared" si="5"/>
        <v>116,05</v>
      </c>
      <c t="str" s="4" r="AS9">
        <f t="shared" si="5"/>
        <v>122,86</v>
      </c>
      <c t="str" s="4" r="AT9">
        <f t="shared" si="5"/>
        <v>129,71</v>
      </c>
      <c t="str" s="4" r="AU9">
        <f t="shared" si="5"/>
        <v>136,63</v>
      </c>
      <c t="str" s="4" r="AV9">
        <f t="shared" si="5"/>
        <v>143,59</v>
      </c>
      <c t="str" s="4" r="AW9">
        <f t="shared" si="5"/>
        <v>150,61</v>
      </c>
      <c t="str" s="4" r="AX9">
        <f t="shared" si="5"/>
        <v>234,85</v>
      </c>
    </row>
    <row r="10">
      <c t="s" s="33" r="A10">
        <v>165</v>
      </c>
      <c s="103" r="B10"/>
      <c t="str" s="103" r="C10">
        <f>B5+C5+C6+B10</f>
        <v>0,00</v>
      </c>
      <c t="str" s="103" r="D10">
        <f ref="D10:AX10" t="shared" si="6">D5+D6+C10</f>
        <v>0,00</v>
      </c>
      <c t="str" s="103" r="E10">
        <f t="shared" si="6"/>
        <v>0,00</v>
      </c>
      <c t="str" s="103" r="F10">
        <f t="shared" si="6"/>
        <v>0,00</v>
      </c>
      <c t="str" s="103" r="G10">
        <f t="shared" si="6"/>
        <v>0,00</v>
      </c>
      <c t="str" s="103" r="H10">
        <f t="shared" si="6"/>
        <v>0,00</v>
      </c>
      <c t="str" s="103" r="I10">
        <f t="shared" si="6"/>
        <v>0,00</v>
      </c>
      <c t="str" s="103" r="J10">
        <f t="shared" si="6"/>
        <v>0,00</v>
      </c>
      <c t="str" s="103" r="K10">
        <f t="shared" si="6"/>
        <v>0,00</v>
      </c>
      <c t="str" s="103" r="L10">
        <f t="shared" si="6"/>
        <v>0,80</v>
      </c>
      <c t="str" s="103" r="M10">
        <f t="shared" si="6"/>
        <v>2,00</v>
      </c>
      <c t="str" s="103" r="N10">
        <f t="shared" si="6"/>
        <v>5,40</v>
      </c>
      <c t="str" s="103" r="O10">
        <f t="shared" si="6"/>
        <v>6,20</v>
      </c>
      <c t="str" s="103" r="P10">
        <f t="shared" si="6"/>
        <v>7,00</v>
      </c>
      <c t="str" s="103" r="Q10">
        <f t="shared" si="6"/>
        <v>11,80</v>
      </c>
      <c t="str" s="103" r="R10">
        <f t="shared" si="6"/>
        <v>13,00</v>
      </c>
      <c t="str" s="103" r="S10">
        <f t="shared" si="6"/>
        <v>14,20</v>
      </c>
      <c t="str" s="103" r="T10">
        <f t="shared" si="6"/>
        <v>20,41</v>
      </c>
      <c t="str" s="103" r="U10">
        <f t="shared" si="6"/>
        <v>21,64</v>
      </c>
      <c t="str" s="103" r="V10">
        <f t="shared" si="6"/>
        <v>22,87</v>
      </c>
      <c t="str" s="103" r="W10">
        <f t="shared" si="6"/>
        <v>30,79</v>
      </c>
      <c t="str" s="103" r="X10">
        <f t="shared" si="6"/>
        <v>32,05</v>
      </c>
      <c t="str" s="103" r="Y10">
        <f t="shared" si="6"/>
        <v>38,32</v>
      </c>
      <c t="str" s="103" r="Z10">
        <f t="shared" si="6"/>
        <v>47,13</v>
      </c>
      <c t="str" s="103" r="AA10">
        <f t="shared" si="6"/>
        <v>57,22</v>
      </c>
      <c t="str" s="103" r="AB10">
        <f t="shared" si="6"/>
        <v>68,83</v>
      </c>
      <c t="str" s="103" r="AC10">
        <f t="shared" si="6"/>
        <v>80,47</v>
      </c>
      <c t="str" s="103" r="AD10">
        <f t="shared" si="6"/>
        <v>92,14</v>
      </c>
      <c t="str" s="103" r="AE10">
        <f t="shared" si="6"/>
        <v>103,83</v>
      </c>
      <c t="str" s="103" r="AF10">
        <f t="shared" si="6"/>
        <v>115,54</v>
      </c>
      <c t="str" s="103" r="AG10">
        <f t="shared" si="6"/>
        <v>127,27</v>
      </c>
      <c t="str" s="103" r="AH10">
        <f t="shared" si="6"/>
        <v>139,03</v>
      </c>
      <c t="str" s="103" r="AI10">
        <f t="shared" si="6"/>
        <v>150,82</v>
      </c>
      <c t="str" s="103" r="AJ10">
        <f t="shared" si="6"/>
        <v>162,63</v>
      </c>
      <c t="str" s="103" r="AK10">
        <f t="shared" si="6"/>
        <v>174,46</v>
      </c>
      <c t="str" s="103" r="AL10">
        <f t="shared" si="6"/>
        <v>188,74</v>
      </c>
      <c t="str" s="103" r="AM10">
        <f t="shared" si="6"/>
        <v>203,06</v>
      </c>
      <c t="str" s="103" r="AN10">
        <f t="shared" si="6"/>
        <v>217,42</v>
      </c>
      <c t="str" s="103" r="AO10">
        <f t="shared" si="6"/>
        <v>231,81</v>
      </c>
      <c t="str" s="103" r="AP10">
        <f t="shared" si="6"/>
        <v>246,24</v>
      </c>
      <c t="str" s="103" r="AQ10">
        <f t="shared" si="6"/>
        <v>260,70</v>
      </c>
      <c t="str" s="103" r="AR10">
        <f t="shared" si="6"/>
        <v>275,20</v>
      </c>
      <c t="str" s="103" r="AS10">
        <f t="shared" si="6"/>
        <v>289,74</v>
      </c>
      <c t="str" s="103" r="AT10">
        <f t="shared" si="6"/>
        <v>304,31</v>
      </c>
      <c t="str" s="103" r="AU10">
        <f t="shared" si="6"/>
        <v>318,92</v>
      </c>
      <c t="str" s="103" r="AV10">
        <f t="shared" si="6"/>
        <v>333,56</v>
      </c>
      <c t="str" s="103" r="AW10">
        <f t="shared" si="6"/>
        <v>348,24</v>
      </c>
      <c t="str" s="103" r="AX10">
        <f t="shared" si="6"/>
        <v>524,40</v>
      </c>
    </row>
    <row r="11">
      <c t="s" s="14" r="A11">
        <v>166</v>
      </c>
      <c t="str" s="104" r="B11">
        <f ref="B11:AX11" t="shared" si="7">SUM(B8:B10)</f>
        <v>0</v>
      </c>
      <c t="str" s="104" r="C11">
        <f t="shared" si="7"/>
        <v>1</v>
      </c>
      <c t="str" s="104" r="D11">
        <f t="shared" si="7"/>
        <v>1</v>
      </c>
      <c t="str" s="104" r="E11">
        <f t="shared" si="7"/>
        <v>1</v>
      </c>
      <c t="str" s="104" r="F11">
        <f t="shared" si="7"/>
        <v>1</v>
      </c>
      <c t="str" s="104" r="G11">
        <f t="shared" si="7"/>
        <v>1</v>
      </c>
      <c t="str" s="6" r="H11">
        <f t="shared" si="7"/>
        <v>1</v>
      </c>
      <c t="str" s="6" r="I11">
        <f t="shared" si="7"/>
        <v>1</v>
      </c>
      <c t="str" s="6" r="J11">
        <f t="shared" si="7"/>
        <v>1</v>
      </c>
      <c t="str" s="6" r="K11">
        <f t="shared" si="7"/>
        <v>1</v>
      </c>
      <c t="str" s="6" r="L11">
        <f t="shared" si="7"/>
        <v>3</v>
      </c>
      <c t="str" s="6" r="M11">
        <f t="shared" si="7"/>
        <v>6</v>
      </c>
      <c t="str" s="7" r="N11">
        <f t="shared" si="7"/>
        <v>10</v>
      </c>
      <c t="str" s="7" r="O11">
        <f t="shared" si="7"/>
        <v>12</v>
      </c>
      <c t="str" s="7" r="P11">
        <f t="shared" si="7"/>
        <v>14</v>
      </c>
      <c t="str" s="7" r="Q11">
        <f t="shared" si="7"/>
        <v>20</v>
      </c>
      <c t="str" s="7" r="R11">
        <f t="shared" si="7"/>
        <v>23</v>
      </c>
      <c t="str" s="7" r="S11">
        <f t="shared" si="7"/>
        <v>26</v>
      </c>
      <c t="str" s="7" r="T11">
        <f t="shared" si="7"/>
        <v>34</v>
      </c>
      <c t="str" s="7" r="U11">
        <f t="shared" si="7"/>
        <v>37</v>
      </c>
      <c t="str" s="7" r="V11">
        <f t="shared" si="7"/>
        <v>40</v>
      </c>
      <c t="str" s="7" r="W11">
        <f t="shared" si="7"/>
        <v>50</v>
      </c>
      <c t="str" s="7" r="X11">
        <f t="shared" si="7"/>
        <v>53</v>
      </c>
      <c t="str" s="7" r="Y11">
        <f t="shared" si="7"/>
        <v>61</v>
      </c>
      <c t="str" s="7" r="Z11">
        <f t="shared" si="7"/>
        <v>73</v>
      </c>
      <c t="str" s="7" r="AA11">
        <f t="shared" si="7"/>
        <v>87</v>
      </c>
      <c t="str" s="7" r="AB11">
        <f t="shared" si="7"/>
        <v>103</v>
      </c>
      <c t="str" s="7" r="AC11">
        <f t="shared" si="7"/>
        <v>118</v>
      </c>
      <c t="str" s="7" r="AD11">
        <f t="shared" si="7"/>
        <v>134</v>
      </c>
      <c t="str" s="7" r="AE11">
        <f t="shared" si="7"/>
        <v>150</v>
      </c>
      <c t="str" s="7" r="AF11">
        <f t="shared" si="7"/>
        <v>166</v>
      </c>
      <c t="str" s="7" r="AG11">
        <f t="shared" si="7"/>
        <v>181</v>
      </c>
      <c t="str" s="7" r="AH11">
        <f t="shared" si="7"/>
        <v>197</v>
      </c>
      <c t="str" s="7" r="AI11">
        <f t="shared" si="7"/>
        <v>213</v>
      </c>
      <c t="str" s="7" r="AJ11">
        <f t="shared" si="7"/>
        <v>229</v>
      </c>
      <c t="str" s="7" r="AK11">
        <f t="shared" si="7"/>
        <v>245</v>
      </c>
      <c t="str" s="7" r="AL11">
        <f t="shared" si="7"/>
        <v>266</v>
      </c>
      <c t="str" s="7" r="AM11">
        <f t="shared" si="7"/>
        <v>287</v>
      </c>
      <c t="str" s="7" r="AN11">
        <f t="shared" si="7"/>
        <v>308</v>
      </c>
      <c t="str" s="7" r="AO11">
        <f t="shared" si="7"/>
        <v>329</v>
      </c>
      <c t="str" s="7" r="AP11">
        <f t="shared" si="7"/>
        <v>350</v>
      </c>
      <c t="str" s="7" r="AQ11">
        <f t="shared" si="7"/>
        <v>371</v>
      </c>
      <c t="str" s="7" r="AR11">
        <f t="shared" si="7"/>
        <v>392</v>
      </c>
      <c t="str" s="7" r="AS11">
        <f t="shared" si="7"/>
        <v>414</v>
      </c>
      <c t="str" s="7" r="AT11">
        <f t="shared" si="7"/>
        <v>435</v>
      </c>
      <c t="str" s="7" r="AU11">
        <f t="shared" si="7"/>
        <v>457</v>
      </c>
      <c t="str" s="7" r="AV11">
        <f t="shared" si="7"/>
        <v>478</v>
      </c>
      <c t="str" s="7" r="AW11">
        <f t="shared" si="7"/>
        <v>500</v>
      </c>
      <c t="str" s="7" r="AX11">
        <f t="shared" si="7"/>
        <v>760</v>
      </c>
      <c s="7" r="AY11"/>
      <c s="7" r="AZ11"/>
      <c s="6" r="BA11"/>
      <c s="6" r="BB11"/>
    </row>
    <row r="12">
      <c t="s" s="105" r="A12">
        <v>167</v>
      </c>
      <c t="str" s="106" r="B12">
        <f>B5*'Hypothèses'!$C$4+B6*'Hypothèses'!$C$4</f>
        <v>€ 0,00</v>
      </c>
      <c t="str" s="106" r="C12">
        <f>C5*'Hypothèses'!$C$4+C6*'Hypothèses'!$C$4</f>
        <v>€ 0,00</v>
      </c>
      <c t="str" s="106" r="D12">
        <f>D5*'Hypothèses'!$C$4+D6*'Hypothèses'!$C$4</f>
        <v>€ 0,00</v>
      </c>
      <c t="str" s="106" r="E12">
        <f>E5*'Hypothèses'!$C$4+E6*'Hypothèses'!$C$4</f>
        <v>€ 0,00</v>
      </c>
      <c t="str" s="106" r="F12">
        <f>F5*'Hypothèses'!$C$4+F6*'Hypothèses'!$C$4</f>
        <v>€ 0,00</v>
      </c>
      <c t="str" s="106" r="G12">
        <f>G5*'Hypothèses'!$C$4+G6*'Hypothèses'!$C$4</f>
        <v>€ 0,00</v>
      </c>
      <c t="str" s="106" r="H12">
        <f>H5*'Hypothèses'!$C$4+H6*'Hypothèses'!$C$4</f>
        <v>€ 0,00</v>
      </c>
      <c t="str" s="106" r="I12">
        <f>I5*'Hypothèses'!$C$4+I6*'Hypothèses'!$C$4</f>
        <v>€ 0,00</v>
      </c>
      <c t="str" s="106" r="J12">
        <f>J5*'Hypothèses'!$C$4+J6*'Hypothèses'!$C$4</f>
        <v>€ 0,00</v>
      </c>
      <c t="str" s="106" r="K12">
        <f>K5*'Hypothèses'!$C$4+K6*'Hypothèses'!$C$4</f>
        <v>€ 0,00</v>
      </c>
      <c t="str" s="106" r="L12">
        <f>L5*'Hypothèses'!$C$4+L6*'Hypothèses'!$C$4</f>
        <v>€ 33 326,67</v>
      </c>
      <c t="str" s="106" r="M12">
        <f>M5*'Hypothèses'!$C$4+M6*'Hypothèses'!$C$4</f>
        <v>€ 49 990,00</v>
      </c>
      <c t="str" s="106" r="N12">
        <f>N5*'Hypothèses'!$C$4+N6*'Hypothèses'!$C$4</f>
        <v>€ 141 638,33</v>
      </c>
      <c t="str" s="106" r="O12">
        <f>O5*'Hypothèses'!$C$4+O6*'Hypothèses'!$C$4</f>
        <v>€ 33 326,67</v>
      </c>
      <c t="str" s="106" r="P12">
        <f>P5*'Hypothèses'!$C$4+P6*'Hypothèses'!$C$4</f>
        <v>€ 33 326,67</v>
      </c>
      <c t="str" s="106" r="Q12">
        <f>Q5*'Hypothèses'!$C$4+Q6*'Hypothèses'!$C$4</f>
        <v>€ 199 960,00</v>
      </c>
      <c t="str" s="106" r="R12">
        <f>R5*'Hypothèses'!$C$4+R6*'Hypothèses'!$C$4</f>
        <v>€ 49 990,00</v>
      </c>
      <c t="str" s="106" r="S12">
        <f>S5*'Hypothèses'!$C$4+S6*'Hypothèses'!$C$4</f>
        <v>€ 49 990,00</v>
      </c>
      <c t="str" s="106" r="T12">
        <f>T5*'Hypothèses'!$C$4+T6*'Hypothèses'!$C$4</f>
        <v>€ 258 781,57</v>
      </c>
      <c t="str" s="106" r="U12">
        <f>U5*'Hypothèses'!$C$4+U6*'Hypothèses'!$C$4</f>
        <v>€ 50 989,80</v>
      </c>
      <c t="str" s="106" r="V12">
        <f>V5*'Hypothèses'!$C$4+V6*'Hypothèses'!$C$4</f>
        <v>€ 51 489,70</v>
      </c>
      <c t="str" s="106" r="W12">
        <f>W5*'Hypothèses'!$C$4+W6*'Hypothèses'!$C$4</f>
        <v>€ 329 704,88</v>
      </c>
      <c t="str" s="106" r="X12">
        <f>X5*'Hypothèses'!$C$4+X6*'Hypothèses'!$C$4</f>
        <v>€ 52 489,50</v>
      </c>
      <c t="str" s="106" r="Y12">
        <f>Y5*'Hypothèses'!$C$4+Y6*'Hypothèses'!$C$4</f>
        <v>€ 261 281,07</v>
      </c>
      <c t="str" s="106" r="Z12">
        <f>Z5*'Hypothèses'!$C$4+Z6*'Hypothèses'!$C$4</f>
        <v>€ 366 871,06</v>
      </c>
      <c t="str" s="106" r="AA12">
        <f>AA5*'Hypothèses'!$C$4+AA6*'Hypothèses'!$C$4</f>
        <v>€ 420 415,90</v>
      </c>
      <c t="str" s="106" r="AB12">
        <f>AB5*'Hypothèses'!$C$4+AB6*'Hypothèses'!$C$4</f>
        <v>€ 483 903,20</v>
      </c>
      <c t="str" s="106" r="AC12">
        <f>AC5*'Hypothèses'!$C$4+AC6*'Hypothèses'!$C$4</f>
        <v>€ 484 903,00</v>
      </c>
      <c t="str" s="106" r="AD12">
        <f>AD5*'Hypothèses'!$C$4+AD6*'Hypothèses'!$C$4</f>
        <v>€ 485 902,80</v>
      </c>
      <c t="str" s="106" r="AE12">
        <f>AE5*'Hypothèses'!$C$4+AE6*'Hypothèses'!$C$4</f>
        <v>€ 486 902,60</v>
      </c>
      <c t="str" s="106" r="AF12">
        <f>AF5*'Hypothèses'!$C$4+AF6*'Hypothèses'!$C$4</f>
        <v>€ 487 902,40</v>
      </c>
      <c t="str" s="106" r="AG12">
        <f>AG5*'Hypothèses'!$C$4+AG6*'Hypothèses'!$C$4</f>
        <v>€ 488 902,20</v>
      </c>
      <c t="str" s="106" r="AH12">
        <f>AH5*'Hypothèses'!$C$4+AH6*'Hypothèses'!$C$4</f>
        <v>€ 489 902,00</v>
      </c>
      <c t="str" s="106" r="AI12">
        <f>AI5*'Hypothèses'!$C$4+AI6*'Hypothèses'!$C$4</f>
        <v>€ 490 901,80</v>
      </c>
      <c t="str" s="106" r="AJ12">
        <f>AJ5*'Hypothèses'!$C$4+AJ6*'Hypothèses'!$C$4</f>
        <v>€ 491 901,60</v>
      </c>
      <c t="str" s="106" r="AK12">
        <f>AK5*'Hypothèses'!$C$4+AK6*'Hypothèses'!$C$4</f>
        <v>€ 492 901,40</v>
      </c>
      <c t="str" s="106" r="AL12">
        <f>AL5*'Hypothèses'!$C$4+AL6*'Hypothèses'!$C$4</f>
        <v>€ 595 047,63</v>
      </c>
      <c t="str" s="106" r="AM12">
        <f>AM5*'Hypothèses'!$C$4+AM6*'Hypothèses'!$C$4</f>
        <v>€ 596 547,33</v>
      </c>
      <c t="str" s="106" r="AN12">
        <f>AN5*'Hypothèses'!$C$4+AN6*'Hypothèses'!$C$4</f>
        <v>€ 598 047,03</v>
      </c>
      <c t="str" s="106" r="AO12">
        <f>AO5*'Hypothèses'!$C$4+AO6*'Hypothèses'!$C$4</f>
        <v>€ 599 546,73</v>
      </c>
      <c t="str" s="106" r="AP12">
        <f>AP5*'Hypothèses'!$C$4+AP6*'Hypothèses'!$C$4</f>
        <v>€ 601 046,43</v>
      </c>
      <c t="str" s="106" r="AQ12">
        <f>AQ5*'Hypothèses'!$C$4+AQ6*'Hypothèses'!$C$4</f>
        <v>€ 602 546,13</v>
      </c>
      <c t="str" s="106" r="AR12">
        <f>AR5*'Hypothèses'!$C$4+AR6*'Hypothèses'!$C$4</f>
        <v>€ 604 045,83</v>
      </c>
      <c t="str" s="106" r="AS12">
        <f>AS5*'Hypothèses'!$C$4+AS6*'Hypothèses'!$C$4</f>
        <v>€ 605 545,53</v>
      </c>
      <c t="str" s="106" r="AT12">
        <f>AT5*'Hypothèses'!$C$4+AT6*'Hypothèses'!$C$4</f>
        <v>€ 607 045,23</v>
      </c>
      <c t="str" s="106" r="AU12">
        <f>AU5*'Hypothèses'!$C$4+AU6*'Hypothèses'!$C$4</f>
        <v>€ 608 544,93</v>
      </c>
      <c t="str" s="106" r="AV12">
        <f>AV5*'Hypothèses'!$C$4+AV6*'Hypothèses'!$C$4</f>
        <v>€ 610 044,63</v>
      </c>
      <c t="str" s="106" r="AW12">
        <f>AW5*'Hypothèses'!$C$4+AW6*'Hypothèses'!$C$4</f>
        <v>€ 611 544,33</v>
      </c>
      <c t="str" s="106" r="AX12">
        <f>(AX5+AX6)*'Hypothèses'!$C$4</f>
        <v>€ 7 338 532,00</v>
      </c>
    </row>
    <row r="13">
      <c t="s" s="107" r="A13">
        <v>168</v>
      </c>
      <c t="str" s="108" r="B13">
        <f>(B7*'Hypothèses'!$C$7)*'Hypothèses'!$C$8</f>
        <v>€ 648,00</v>
      </c>
      <c t="str" s="108" r="C13">
        <f>(C7*'Hypothèses'!$C$7)*'Hypothèses'!$C$8</f>
        <v>€ 0,00</v>
      </c>
      <c t="str" s="108" r="D13">
        <f>(D7*'Hypothèses'!$C$7)*'Hypothèses'!$C$8</f>
        <v>€ 0,00</v>
      </c>
      <c t="str" s="108" r="E13">
        <f>(E7*'Hypothèses'!$C$7)*'Hypothèses'!$C$8</f>
        <v>€ 0,00</v>
      </c>
      <c t="str" s="108" r="F13">
        <f>(F7*'Hypothèses'!$C$7)*'Hypothèses'!$C$8</f>
        <v>€ 0,00</v>
      </c>
      <c t="str" s="108" r="G13">
        <f>(G7*'Hypothèses'!$C$7)*'Hypothèses'!$C$8</f>
        <v>€ 0,00</v>
      </c>
      <c t="str" s="109" r="H13">
        <f>(H7*'Hypothèses'!$C$7)*'Hypothèses'!$C$8</f>
        <v>€ 0,00</v>
      </c>
      <c t="str" s="109" r="I13">
        <f>(I7*'Hypothèses'!$C$7)*'Hypothèses'!$C$8</f>
        <v>€ 0,00</v>
      </c>
      <c t="str" s="109" r="J13">
        <f>(J7*'Hypothèses'!$C$7)*'Hypothèses'!$C$8</f>
        <v>€ 0,00</v>
      </c>
      <c t="str" s="109" r="K13">
        <f>(K7*'Hypothèses'!$C$7)*'Hypothèses'!$C$8</f>
        <v>€ 0,00</v>
      </c>
      <c t="str" s="109" r="L13">
        <f>(L7*'Hypothèses'!$C$7)*'Hypothèses'!$C$8</f>
        <v>€ 1 296,00</v>
      </c>
      <c t="str" s="109" r="M13">
        <f>(M7*'Hypothèses'!$C$7)*'Hypothèses'!$C$8</f>
        <v>€ 1 944,00</v>
      </c>
      <c t="str" s="109" r="N13">
        <f>(N7*'Hypothèses'!$C$7)*'Hypothèses'!$C$8</f>
        <v>€ 2 592,00</v>
      </c>
      <c t="str" s="109" r="O13">
        <f>(O7*'Hypothèses'!$C$7)*'Hypothèses'!$C$8</f>
        <v>€ 1 296,00</v>
      </c>
      <c t="str" s="109" r="P13">
        <f>(P7*'Hypothèses'!$C$7)*'Hypothèses'!$C$8</f>
        <v>€ 1 296,00</v>
      </c>
      <c t="str" s="109" r="Q13">
        <f>(Q7*'Hypothèses'!$C$7)*'Hypothèses'!$C$8</f>
        <v>€ 3 888,00</v>
      </c>
      <c t="str" s="109" r="R13">
        <f>(R7*'Hypothèses'!$C$7)*'Hypothèses'!$C$8</f>
        <v>€ 1 944,00</v>
      </c>
      <c t="str" s="109" r="S13">
        <f>(S7*'Hypothèses'!$C$7)*'Hypothèses'!$C$8</f>
        <v>€ 1 944,00</v>
      </c>
      <c t="str" s="109" r="T13">
        <f>(T7*'Hypothèses'!$C$7)*'Hypothèses'!$C$8</f>
        <v>€ 5 203,44</v>
      </c>
      <c t="str" s="109" r="U13">
        <f>(U7*'Hypothèses'!$C$7)*'Hypothèses'!$C$8</f>
        <v>€ 1 982,88</v>
      </c>
      <c t="str" s="109" r="V13">
        <f>(V7*'Hypothèses'!$C$7)*'Hypothèses'!$C$8</f>
        <v>€ 2 002,32</v>
      </c>
      <c t="str" s="109" r="W13">
        <f>(W7*'Hypothèses'!$C$7)*'Hypothèses'!$C$8</f>
        <v>€ 6 341,65</v>
      </c>
      <c t="str" s="109" r="X13">
        <f>(X7*'Hypothèses'!$C$7)*'Hypothèses'!$C$8</f>
        <v>€ 2 041,20</v>
      </c>
      <c t="str" s="109" r="Y13">
        <f>(Y7*'Hypothèses'!$C$7)*'Hypothèses'!$C$8</f>
        <v>€ 5 300,64</v>
      </c>
      <c t="str" s="109" r="Z13">
        <f>(Z7*'Hypothèses'!$C$7)*'Hypothèses'!$C$8</f>
        <v>€ 7 786,80</v>
      </c>
      <c t="str" s="109" r="AA13">
        <f>(AA7*'Hypothèses'!$C$7)*'Hypothèses'!$C$8</f>
        <v>€ 9 059,04</v>
      </c>
      <c t="str" s="109" r="AB13">
        <f>(AB7*'Hypothèses'!$C$7)*'Hypothèses'!$C$8</f>
        <v>€ 10 069,92</v>
      </c>
      <c t="str" s="109" r="AC13">
        <f>(AC7*'Hypothèses'!$C$7)*'Hypothèses'!$C$8</f>
        <v>€ 10 108,80</v>
      </c>
      <c t="str" s="109" r="AD13">
        <f>(AD7*'Hypothèses'!$C$7)*'Hypothèses'!$C$8</f>
        <v>€ 10 147,68</v>
      </c>
      <c t="str" s="109" r="AE13">
        <f>(AE7*'Hypothèses'!$C$7)*'Hypothèses'!$C$8</f>
        <v>€ 10 186,56</v>
      </c>
      <c t="str" s="109" r="AF13">
        <f>(AF7*'Hypothèses'!$C$7)*'Hypothèses'!$C$8</f>
        <v>€ 10 225,44</v>
      </c>
      <c t="str" s="109" r="AG13">
        <f>(AG7*'Hypothèses'!$C$7)*'Hypothèses'!$C$8</f>
        <v>€ 10 264,32</v>
      </c>
      <c t="str" s="109" r="AH13">
        <f>(AH7*'Hypothèses'!$C$7)*'Hypothèses'!$C$8</f>
        <v>€ 10 303,20</v>
      </c>
      <c t="str" s="109" r="AI13">
        <f>(AI7*'Hypothèses'!$C$7)*'Hypothèses'!$C$8</f>
        <v>€ 10 342,08</v>
      </c>
      <c t="str" s="109" r="AJ13">
        <f>(AJ7*'Hypothèses'!$C$7)*'Hypothèses'!$C$8</f>
        <v>€ 10 380,96</v>
      </c>
      <c t="str" s="109" r="AK13">
        <f>(AK7*'Hypothèses'!$C$7)*'Hypothèses'!$C$8</f>
        <v>€ 10 419,84</v>
      </c>
      <c t="str" s="109" r="AL13">
        <f>(AL7*'Hypothèses'!$C$7)*'Hypothèses'!$C$8</f>
        <v>€ 13 420,08</v>
      </c>
      <c t="str" s="109" r="AM13">
        <f>(AM7*'Hypothèses'!$C$7)*'Hypothèses'!$C$8</f>
        <v>€ 13 478,40</v>
      </c>
      <c t="str" s="109" r="AN13">
        <f>(AN7*'Hypothèses'!$C$7)*'Hypothèses'!$C$8</f>
        <v>€ 13 536,72</v>
      </c>
      <c t="str" s="109" r="AO13">
        <f>(AO7*'Hypothèses'!$C$7)*'Hypothèses'!$C$8</f>
        <v>€ 13 595,04</v>
      </c>
      <c t="str" s="109" r="AP13">
        <f>(AP7*'Hypothèses'!$C$7)*'Hypothèses'!$C$8</f>
        <v>€ 13 653,36</v>
      </c>
      <c t="str" s="109" r="AQ13">
        <f>(AQ7*'Hypothèses'!$C$7)*'Hypothèses'!$C$8</f>
        <v>€ 13 711,68</v>
      </c>
      <c t="str" s="109" r="AR13">
        <f>(AR7*'Hypothèses'!$C$7)*'Hypothèses'!$C$8</f>
        <v>€ 13 770,00</v>
      </c>
      <c t="str" s="109" r="AS13">
        <f>(AS7*'Hypothèses'!$C$7)*'Hypothèses'!$C$8</f>
        <v>€ 13 828,32</v>
      </c>
      <c t="str" s="109" r="AT13">
        <f>(AT7*'Hypothèses'!$C$7)*'Hypothèses'!$C$8</f>
        <v>€ 13 886,64</v>
      </c>
      <c t="str" s="109" r="AU13">
        <f>(AU7*'Hypothèses'!$C$7)*'Hypothèses'!$C$8</f>
        <v>€ 13 944,96</v>
      </c>
      <c t="str" s="109" r="AV13">
        <f>(AV7*'Hypothèses'!$C$7)*'Hypothèses'!$C$8</f>
        <v>€ 14 003,28</v>
      </c>
      <c t="str" s="109" r="AW13">
        <f>(AW7*'Hypothèses'!$C$7)*'Hypothèses'!$C$8</f>
        <v>€ 14 061,60</v>
      </c>
      <c t="str" s="109" r="AX13">
        <f>(AX7*'Hypothèses'!$C$7)*'Hypothèses'!$C$8</f>
        <v>€ 168 739,20</v>
      </c>
    </row>
    <row r="14">
      <c t="s" s="105" r="A14">
        <v>169</v>
      </c>
      <c t="str" s="108" r="B14">
        <f>(B7*'Hypothèses'!$C$11)*'Hypothèses'!$C$12</f>
        <v>€ 335,00</v>
      </c>
      <c t="str" s="108" r="C14">
        <f>(C7*'Hypothèses'!$C$11)*'Hypothèses'!$C$12</f>
        <v>€ 0,00</v>
      </c>
      <c t="str" s="108" r="D14">
        <f>(D7*'Hypothèses'!$C$11)*'Hypothèses'!$C$12</f>
        <v>€ 0,00</v>
      </c>
      <c t="str" s="108" r="E14">
        <f>(E7*'Hypothèses'!$C$11)*'Hypothèses'!$C$12</f>
        <v>€ 0,00</v>
      </c>
      <c t="str" s="108" r="F14">
        <f>(F7*'Hypothèses'!$C$11)*'Hypothèses'!$C$12</f>
        <v>€ 0,00</v>
      </c>
      <c t="str" s="108" r="G14">
        <f>(G7*'Hypothèses'!$C$11)*'Hypothèses'!$C$12</f>
        <v>€ 0,00</v>
      </c>
      <c t="str" s="109" r="H14">
        <f>(H7*'Hypothèses'!$C$11)*'Hypothèses'!$C$12</f>
        <v>€ 0,00</v>
      </c>
      <c t="str" s="109" r="I14">
        <f>(I7*'Hypothèses'!$C$11)*'Hypothèses'!$C$12</f>
        <v>€ 0,00</v>
      </c>
      <c t="str" s="109" r="J14">
        <f>(J7*'Hypothèses'!$C$11)*'Hypothèses'!$C$12</f>
        <v>€ 0,00</v>
      </c>
      <c t="str" s="109" r="K14">
        <f>(K7*'Hypothèses'!$C$11)*'Hypothèses'!$C$12</f>
        <v>€ 0,00</v>
      </c>
      <c t="str" s="109" r="L14">
        <f>(L7*'Hypothèses'!$C$11)*'Hypothèses'!$C$12</f>
        <v>€ 670,00</v>
      </c>
      <c t="str" s="109" r="M14">
        <f>(M7*'Hypothèses'!$C$11)*'Hypothèses'!$C$12</f>
        <v>€ 1 005,00</v>
      </c>
      <c t="str" s="109" r="N14">
        <f>(N7*'Hypothèses'!$C$11)*'Hypothèses'!$C$12</f>
        <v>€ 1 340,00</v>
      </c>
      <c t="str" s="109" r="O14">
        <f>(O7*'Hypothèses'!$C$11)*'Hypothèses'!$C$12</f>
        <v>€ 670,00</v>
      </c>
      <c t="str" s="109" r="P14">
        <f>(P7*'Hypothèses'!$C$11)*'Hypothèses'!$C$12</f>
        <v>€ 670,00</v>
      </c>
      <c t="str" s="109" r="Q14">
        <f>(Q7*'Hypothèses'!$C$11)*'Hypothèses'!$C$12</f>
        <v>€ 2 010,00</v>
      </c>
      <c t="str" s="109" r="R14">
        <f>(R7*'Hypothèses'!$C$11)*'Hypothèses'!$C$12</f>
        <v>€ 1 005,00</v>
      </c>
      <c t="str" s="109" r="S14">
        <f>(S7*'Hypothèses'!$C$11)*'Hypothèses'!$C$12</f>
        <v>€ 1 005,00</v>
      </c>
      <c t="str" s="109" r="T14">
        <f>(T7*'Hypothèses'!$C$11)*'Hypothèses'!$C$12</f>
        <v>€ 2 690,05</v>
      </c>
      <c t="str" s="109" r="U14">
        <f>(U7*'Hypothèses'!$C$11)*'Hypothèses'!$C$12</f>
        <v>€ 1 025,10</v>
      </c>
      <c t="str" s="109" r="V14">
        <f>(V7*'Hypothèses'!$C$11)*'Hypothèses'!$C$12</f>
        <v>€ 1 035,15</v>
      </c>
      <c t="str" s="109" r="W14">
        <f>(W7*'Hypothèses'!$C$11)*'Hypothèses'!$C$12</f>
        <v>€ 3 278,48</v>
      </c>
      <c t="str" s="109" r="X14">
        <f>(X7*'Hypothèses'!$C$11)*'Hypothèses'!$C$12</f>
        <v>€ 1 055,25</v>
      </c>
      <c t="str" s="109" r="Y14">
        <f>(Y7*'Hypothèses'!$C$11)*'Hypothèses'!$C$12</f>
        <v>€ 2 740,30</v>
      </c>
      <c t="str" s="109" r="Z14">
        <f>(Z7*'Hypothèses'!$C$11)*'Hypothèses'!$C$12</f>
        <v>€ 4 025,58</v>
      </c>
      <c t="str" s="109" r="AA14">
        <f>(AA7*'Hypothèses'!$C$11)*'Hypothèses'!$C$12</f>
        <v>€ 4 683,30</v>
      </c>
      <c t="str" s="109" r="AB14">
        <f>(AB7*'Hypothèses'!$C$11)*'Hypothèses'!$C$12</f>
        <v>€ 5 205,90</v>
      </c>
      <c t="str" s="109" r="AC14">
        <f>(AC7*'Hypothèses'!$C$11)*'Hypothèses'!$C$12</f>
        <v>€ 5 226,00</v>
      </c>
      <c t="str" s="109" r="AD14">
        <f>(AD7*'Hypothèses'!$C$11)*'Hypothèses'!$C$12</f>
        <v>€ 5 246,10</v>
      </c>
      <c t="str" s="109" r="AE14">
        <f>(AE7*'Hypothèses'!$C$11)*'Hypothèses'!$C$12</f>
        <v>€ 5 266,20</v>
      </c>
      <c t="str" s="109" r="AF14">
        <f>(AF7*'Hypothèses'!$C$11)*'Hypothèses'!$C$12</f>
        <v>€ 5 286,30</v>
      </c>
      <c t="str" s="109" r="AG14">
        <f>(AG7*'Hypothèses'!$C$11)*'Hypothèses'!$C$12</f>
        <v>€ 5 306,40</v>
      </c>
      <c t="str" s="109" r="AH14">
        <f>(AH7*'Hypothèses'!$C$11)*'Hypothèses'!$C$12</f>
        <v>€ 5 326,50</v>
      </c>
      <c t="str" s="109" r="AI14">
        <f>(AI7*'Hypothèses'!$C$11)*'Hypothèses'!$C$12</f>
        <v>€ 5 346,60</v>
      </c>
      <c t="str" s="109" r="AJ14">
        <f>(AJ7*'Hypothèses'!$C$11)*'Hypothèses'!$C$12</f>
        <v>€ 5 366,70</v>
      </c>
      <c t="str" s="109" r="AK14">
        <f>(AK7*'Hypothèses'!$C$11)*'Hypothèses'!$C$12</f>
        <v>€ 5 386,80</v>
      </c>
      <c t="str" s="109" r="AL14">
        <f>(AL7*'Hypothèses'!$C$11)*'Hypothèses'!$C$12</f>
        <v>€ 6 937,85</v>
      </c>
      <c t="str" s="109" r="AM14">
        <f>(AM7*'Hypothèses'!$C$11)*'Hypothèses'!$C$12</f>
        <v>€ 6 968,00</v>
      </c>
      <c t="str" s="109" r="AN14">
        <f>(AN7*'Hypothèses'!$C$11)*'Hypothèses'!$C$12</f>
        <v>€ 6 998,15</v>
      </c>
      <c t="str" s="109" r="AO14">
        <f>(AO7*'Hypothèses'!$C$11)*'Hypothèses'!$C$12</f>
        <v>€ 7 028,30</v>
      </c>
      <c t="str" s="109" r="AP14">
        <f>(AP7*'Hypothèses'!$C$11)*'Hypothèses'!$C$12</f>
        <v>€ 7 058,45</v>
      </c>
      <c t="str" s="109" r="AQ14">
        <f>(AQ7*'Hypothèses'!$C$11)*'Hypothèses'!$C$12</f>
        <v>€ 7 088,60</v>
      </c>
      <c t="str" s="109" r="AR14">
        <f>(AR7*'Hypothèses'!$C$11)*'Hypothèses'!$C$12</f>
        <v>€ 7 118,75</v>
      </c>
      <c t="str" s="109" r="AS14">
        <f>(AS7*'Hypothèses'!$C$11)*'Hypothèses'!$C$12</f>
        <v>€ 7 148,90</v>
      </c>
      <c t="str" s="109" r="AT14">
        <f>(AT7*'Hypothèses'!$C$11)*'Hypothèses'!$C$12</f>
        <v>€ 7 179,05</v>
      </c>
      <c t="str" s="109" r="AU14">
        <f>(AU7*'Hypothèses'!$C$11)*'Hypothèses'!$C$12</f>
        <v>€ 7 209,20</v>
      </c>
      <c t="str" s="109" r="AV14">
        <f>(AV7*'Hypothèses'!$C$11)*'Hypothèses'!$C$12</f>
        <v>€ 7 239,35</v>
      </c>
      <c t="str" s="109" r="AW14">
        <f>(AW7*'Hypothèses'!$C$11)*'Hypothèses'!$C$12</f>
        <v>€ 7 269,50</v>
      </c>
      <c t="str" s="109" r="AX14">
        <f>(AX7*'Hypothèses'!$C$11)*'Hypothèses'!$C$12</f>
        <v>€ 87 234,00</v>
      </c>
    </row>
    <row r="15">
      <c t="s" s="107" r="A15">
        <v>170</v>
      </c>
      <c t="str" s="108" r="B15">
        <f>B8*'Hypothèses'!$F$18</f>
        <v>€ 0,00</v>
      </c>
      <c t="str" s="108" r="C15">
        <f>C8*'Hypothèses'!$F$18</f>
        <v>€ 700,00</v>
      </c>
      <c t="str" s="108" r="D15">
        <f>D8*'Hypothèses'!$F$18</f>
        <v>€ 700,00</v>
      </c>
      <c t="str" s="108" r="E15">
        <f>E8*'Hypothèses'!$F$18</f>
        <v>€ 700,00</v>
      </c>
      <c t="str" s="108" r="F15">
        <f>F8*'Hypothèses'!$F$18</f>
        <v>€ 700,00</v>
      </c>
      <c t="str" s="108" r="G15">
        <f>G8*'Hypothèses'!$F$18</f>
        <v>€ 700,00</v>
      </c>
      <c t="str" s="109" r="H15">
        <f>H8*'Hypothèses'!$F$18</f>
        <v>€ 700,00</v>
      </c>
      <c t="str" s="109" r="I15">
        <f>I8*'Hypothèses'!$F$18</f>
        <v>€ 700,00</v>
      </c>
      <c t="str" s="109" r="J15">
        <f>J8*'Hypothèses'!$F$18</f>
        <v>€ 700,00</v>
      </c>
      <c t="str" s="109" r="K15">
        <f>K8*'Hypothèses'!$F$18</f>
        <v>€ 700,00</v>
      </c>
      <c t="str" s="109" r="L15">
        <f>L8*'Hypothèses'!$F$18</f>
        <v>€ 700,00</v>
      </c>
      <c t="str" s="109" r="M15">
        <f>M8*'Hypothèses'!$F$18</f>
        <v>€ 700,00</v>
      </c>
      <c t="str" s="109" r="N15">
        <f>N8*'Hypothèses'!$F$18</f>
        <v>€ 700,00</v>
      </c>
      <c t="str" s="109" r="O15">
        <f>O8*'Hypothèses'!$F$18</f>
        <v>€ 700,00</v>
      </c>
      <c t="str" s="109" r="P15">
        <f>P8*'Hypothèses'!$F$18</f>
        <v>€ 700,00</v>
      </c>
      <c t="str" s="109" r="Q15">
        <f>Q8*'Hypothèses'!$F$18</f>
        <v>€ 700,00</v>
      </c>
      <c t="str" s="109" r="R15">
        <f>R8*'Hypothèses'!$F$18</f>
        <v>€ 700,00</v>
      </c>
      <c t="str" s="109" r="S15">
        <f>S8*'Hypothèses'!$F$18</f>
        <v>€ 700,00</v>
      </c>
      <c t="str" s="109" r="T15">
        <f>T8*'Hypothèses'!$F$18</f>
        <v>€ 700,00</v>
      </c>
      <c t="str" s="109" r="U15">
        <f>U8*'Hypothèses'!$F$18</f>
        <v>€ 700,00</v>
      </c>
      <c t="str" s="109" r="V15">
        <f>V8*'Hypothèses'!$F$18</f>
        <v>€ 700,00</v>
      </c>
      <c t="str" s="109" r="W15">
        <f>W8*'Hypothèses'!$F$18</f>
        <v>€ 700,00</v>
      </c>
      <c t="str" s="109" r="X15">
        <f>X8*'Hypothèses'!$F$18</f>
        <v>€ 700,00</v>
      </c>
      <c t="str" s="109" r="Y15">
        <f>Y8*'Hypothèses'!$F$18</f>
        <v>€ 700,00</v>
      </c>
      <c t="str" s="109" r="Z15">
        <f>Z8*'Hypothèses'!$F$18</f>
        <v>€ 700,00</v>
      </c>
      <c t="str" s="109" r="AA15">
        <f>AA8*'Hypothèses'!$F$18</f>
        <v>€ 700,00</v>
      </c>
      <c t="str" s="109" r="AB15">
        <f>AB8*'Hypothèses'!$F$18</f>
        <v>€ 700,00</v>
      </c>
      <c t="str" s="109" r="AC15">
        <f>AC8*'Hypothèses'!$F$18</f>
        <v>€ 700,00</v>
      </c>
      <c t="str" s="109" r="AD15">
        <f>AD8*'Hypothèses'!$F$18</f>
        <v>€ 700,00</v>
      </c>
      <c t="str" s="109" r="AE15">
        <f>AE8*'Hypothèses'!$F$18</f>
        <v>€ 700,00</v>
      </c>
      <c t="str" s="109" r="AF15">
        <f>AF8*'Hypothèses'!$F$18</f>
        <v>€ 700,00</v>
      </c>
      <c t="str" s="109" r="AG15">
        <f>AG8*'Hypothèses'!$F$18</f>
        <v>€ 700,00</v>
      </c>
      <c t="str" s="109" r="AH15">
        <f>AH8*'Hypothèses'!$F$18</f>
        <v>€ 700,00</v>
      </c>
      <c t="str" s="109" r="AI15">
        <f>AI8*'Hypothèses'!$F$18</f>
        <v>€ 700,00</v>
      </c>
      <c t="str" s="109" r="AJ15">
        <f>AJ8*'Hypothèses'!$F$18</f>
        <v>€ 700,00</v>
      </c>
      <c t="str" s="109" r="AK15">
        <f>AK8*'Hypothèses'!$F$18</f>
        <v>€ 700,00</v>
      </c>
      <c t="str" s="109" r="AL15">
        <f>AL8*'Hypothèses'!$F$18</f>
        <v>€ 700,00</v>
      </c>
      <c t="str" s="109" r="AM15">
        <f>AM8*'Hypothèses'!$F$18</f>
        <v>€ 700,00</v>
      </c>
      <c t="str" s="109" r="AN15">
        <f>AN8*'Hypothèses'!$F$18</f>
        <v>€ 700,00</v>
      </c>
      <c t="str" s="109" r="AO15">
        <f>AO8*'Hypothèses'!$F$18</f>
        <v>€ 700,00</v>
      </c>
      <c t="str" s="109" r="AP15">
        <f>AP8*'Hypothèses'!$F$18</f>
        <v>€ 700,00</v>
      </c>
      <c t="str" s="109" r="AQ15">
        <f>AQ8*'Hypothèses'!$F$18</f>
        <v>€ 700,00</v>
      </c>
      <c t="str" s="109" r="AR15">
        <f>AR8*'Hypothèses'!$F$18</f>
        <v>€ 700,00</v>
      </c>
      <c t="str" s="109" r="AS15">
        <f>AS8*'Hypothèses'!$F$18</f>
        <v>€ 700,00</v>
      </c>
      <c t="str" s="109" r="AT15">
        <f>AT8*'Hypothèses'!$F$18</f>
        <v>€ 700,00</v>
      </c>
      <c t="str" s="109" r="AU15">
        <f>AU8*'Hypothèses'!$F$18</f>
        <v>€ 700,00</v>
      </c>
      <c t="str" s="109" r="AV15">
        <f>AV8*'Hypothèses'!$F$18</f>
        <v>€ 700,00</v>
      </c>
      <c t="str" s="109" r="AW15">
        <f>AW8*'Hypothèses'!$F$18</f>
        <v>€ 700,00</v>
      </c>
      <c t="str" s="109" r="AX15">
        <f>AX8*'Hypothèses'!$G$18</f>
        <v>€ 8 400,00</v>
      </c>
    </row>
    <row r="16">
      <c t="s" s="107" r="A16">
        <v>171</v>
      </c>
      <c t="str" s="110" r="B16">
        <f>B9*'Hypothèses'!$F$18</f>
        <v>€ 0,00</v>
      </c>
      <c t="str" s="110" r="C16">
        <f>C9*'Hypothèses'!$F$18</f>
        <v>€ 0,00</v>
      </c>
      <c t="str" s="110" r="D16">
        <f>D9*'Hypothèses'!$F$18</f>
        <v>€ 0,00</v>
      </c>
      <c t="str" s="110" r="E16">
        <f>E9*'Hypothèses'!$F$18</f>
        <v>€ 0,00</v>
      </c>
      <c t="str" s="110" r="F16">
        <f>F9*'Hypothèses'!$F$18</f>
        <v>€ 0,00</v>
      </c>
      <c t="str" s="110" r="G16">
        <f>G9*'Hypothèses'!$F$18</f>
        <v>€ 0,00</v>
      </c>
      <c t="str" s="111" r="H16">
        <f>H9*'Hypothèses'!$F$18</f>
        <v>€ 0,00</v>
      </c>
      <c t="str" s="111" r="I16">
        <f>I9*'Hypothèses'!$F$18</f>
        <v>€ 0,00</v>
      </c>
      <c t="str" s="111" r="J16">
        <f>J9*'Hypothèses'!$F$18</f>
        <v>€ 0,00</v>
      </c>
      <c t="str" s="111" r="K16">
        <f>K9*'Hypothèses'!$F$18</f>
        <v>€ 0,00</v>
      </c>
      <c t="str" s="111" r="L16">
        <f>L9*'Hypothèses'!$F$18</f>
        <v>€ 840,00</v>
      </c>
      <c t="str" s="111" r="M16">
        <f>M9*'Hypothèses'!$F$18</f>
        <v>€ 2 100,00</v>
      </c>
      <c t="str" s="111" r="N16">
        <f>N9*'Hypothèses'!$F$18</f>
        <v>€ 2 520,00</v>
      </c>
      <c t="str" s="111" r="O16">
        <f>O9*'Hypothèses'!$F$18</f>
        <v>€ 3 360,00</v>
      </c>
      <c t="str" s="111" r="P16">
        <f>P9*'Hypothèses'!$F$18</f>
        <v>€ 4 200,00</v>
      </c>
      <c t="str" s="111" r="Q16">
        <f>Q9*'Hypothèses'!$F$18</f>
        <v>€ 5 040,00</v>
      </c>
      <c t="str" s="111" r="R16">
        <f>R9*'Hypothèses'!$F$18</f>
        <v>€ 6 300,00</v>
      </c>
      <c t="str" s="111" r="S16">
        <f>S9*'Hypothèses'!$F$18</f>
        <v>€ 7 560,00</v>
      </c>
      <c t="str" s="111" r="T16">
        <f>T9*'Hypothèses'!$F$18</f>
        <v>€ 8 832,60</v>
      </c>
      <c t="str" s="111" r="U16">
        <f>U9*'Hypothèses'!$F$18</f>
        <v>€ 10 117,80</v>
      </c>
      <c t="str" s="111" r="V16">
        <f>V9*'Hypothèses'!$F$18</f>
        <v>€ 11 415,60</v>
      </c>
      <c t="str" s="111" r="W16">
        <f>W9*'Hypothèses'!$F$18</f>
        <v>€ 12 726,00</v>
      </c>
      <c t="str" s="111" r="X16">
        <f>X9*'Hypothèses'!$F$18</f>
        <v>€ 14 049,00</v>
      </c>
      <c t="str" s="111" r="Y16">
        <f>Y9*'Hypothèses'!$F$18</f>
        <v>€ 15 384,60</v>
      </c>
      <c t="str" s="111" r="Z16">
        <f>Z9*'Hypothèses'!$F$18</f>
        <v>€ 17 631,60</v>
      </c>
      <c t="str" s="111" r="AA16">
        <f>AA9*'Hypothèses'!$F$18</f>
        <v>€ 20 353,20</v>
      </c>
      <c t="str" s="111" r="AB16">
        <f>AB9*'Hypothèses'!$F$18</f>
        <v>€ 23 100,00</v>
      </c>
      <c t="str" s="111" r="AC16">
        <f>AC9*'Hypothèses'!$F$18</f>
        <v>€ 25 872,00</v>
      </c>
      <c t="str" s="111" r="AD16">
        <f>AD9*'Hypothèses'!$F$18</f>
        <v>€ 28 669,20</v>
      </c>
      <c t="str" s="111" r="AE16">
        <f>AE9*'Hypothèses'!$F$18</f>
        <v>€ 31 491,60</v>
      </c>
      <c t="str" s="111" r="AF16">
        <f>AF9*'Hypothèses'!$F$18</f>
        <v>€ 34 339,20</v>
      </c>
      <c t="str" s="111" r="AG16">
        <f>AG9*'Hypothèses'!$F$18</f>
        <v>€ 37 212,00</v>
      </c>
      <c t="str" s="111" r="AH16">
        <f>AH9*'Hypothèses'!$F$18</f>
        <v>€ 40 110,00</v>
      </c>
      <c t="str" s="111" r="AI16">
        <f>AI9*'Hypothèses'!$F$18</f>
        <v>€ 43 033,20</v>
      </c>
      <c t="str" s="111" r="AJ16">
        <f>AJ9*'Hypothèses'!$F$18</f>
        <v>€ 45 981,60</v>
      </c>
      <c t="str" s="111" r="AK16">
        <f>AK9*'Hypothèses'!$F$18</f>
        <v>€ 48 955,20</v>
      </c>
      <c t="str" s="111" r="AL16">
        <f>AL9*'Hypothèses'!$F$18</f>
        <v>€ 53 453,40</v>
      </c>
      <c t="str" s="111" r="AM16">
        <f>AM9*'Hypothèses'!$F$18</f>
        <v>€ 57 989,40</v>
      </c>
      <c t="str" s="111" r="AN16">
        <f>AN9*'Hypothèses'!$F$18</f>
        <v>€ 62 563,20</v>
      </c>
      <c t="str" s="111" r="AO16">
        <f>AO9*'Hypothèses'!$F$18</f>
        <v>€ 67 174,80</v>
      </c>
      <c t="str" s="111" r="AP16">
        <f>AP9*'Hypothèses'!$F$18</f>
        <v>€ 71 824,20</v>
      </c>
      <c t="str" s="111" r="AQ16">
        <f>AQ9*'Hypothèses'!$F$18</f>
        <v>€ 76 511,40</v>
      </c>
      <c t="str" s="111" r="AR16">
        <f>AR9*'Hypothèses'!$F$18</f>
        <v>€ 81 236,40</v>
      </c>
      <c t="str" s="111" r="AS16">
        <f>AS9*'Hypothèses'!$F$18</f>
        <v>€ 85 999,20</v>
      </c>
      <c t="str" s="111" r="AT16">
        <f>AT9*'Hypothèses'!$F$18</f>
        <v>€ 90 799,80</v>
      </c>
      <c t="str" s="111" r="AU16">
        <f>AU9*'Hypothèses'!$F$18</f>
        <v>€ 95 638,20</v>
      </c>
      <c t="str" s="111" r="AV16">
        <f>AV9*'Hypothèses'!$F$18</f>
        <v>€ 100 514,40</v>
      </c>
      <c t="str" s="111" r="AW16">
        <f>AW9*'Hypothèses'!$F$18</f>
        <v>€ 105 428,40</v>
      </c>
      <c t="str" s="111" r="AX16">
        <f>AX9*'Hypothèses'!$G$18</f>
        <v>€ 1 972 756,80</v>
      </c>
    </row>
    <row r="17">
      <c t="s" s="105" r="A17">
        <v>172</v>
      </c>
      <c t="str" s="108" r="B17">
        <f>(B11*'Hypothèses'!$F$15)*'Hypothèses'!$C$16</f>
        <v>€ 0,00</v>
      </c>
      <c t="str" s="108" r="C17">
        <f>(C11*'Hypothèses'!$F$15)*'Hypothèses'!$C$16</f>
        <v>€ 8,33</v>
      </c>
      <c t="str" s="108" r="D17">
        <f>(D11*'Hypothèses'!$F$15)*'Hypothèses'!$C$16</f>
        <v>€ 8,33</v>
      </c>
      <c t="str" s="108" r="E17">
        <f>(E11*'Hypothèses'!$F$15)*'Hypothèses'!$C$16</f>
        <v>€ 8,33</v>
      </c>
      <c t="str" s="108" r="F17">
        <f>(F11*'Hypothèses'!$F$15)*'Hypothèses'!$C$16</f>
        <v>€ 8,33</v>
      </c>
      <c t="str" s="108" r="G17">
        <f>(G11*'Hypothèses'!$F$15)*'Hypothèses'!$C$16</f>
        <v>€ 8,33</v>
      </c>
      <c t="str" s="109" r="H17">
        <f>(H11*'Hypothèses'!$F$15)*'Hypothèses'!$C$16</f>
        <v>€ 8,33</v>
      </c>
      <c t="str" s="109" r="I17">
        <f>(I11*'Hypothèses'!$F$15)*'Hypothèses'!$C$16</f>
        <v>€ 8,33</v>
      </c>
      <c t="str" s="109" r="J17">
        <f>(J11*'Hypothèses'!$F$15)*'Hypothèses'!$C$16</f>
        <v>€ 8,33</v>
      </c>
      <c t="str" s="109" r="K17">
        <f>(K11*'Hypothèses'!$F$15)*'Hypothèses'!$C$16</f>
        <v>€ 8,33</v>
      </c>
      <c t="str" s="109" r="L17">
        <f>(L11*'Hypothèses'!$F$15)*'Hypothèses'!$C$16</f>
        <v>€ 25,00</v>
      </c>
      <c t="str" s="109" r="M17">
        <f>(M11*'Hypothèses'!$F$15)*'Hypothèses'!$C$16</f>
        <v>€ 50,00</v>
      </c>
      <c t="str" s="109" r="N17">
        <f>(N11*'Hypothèses'!$F$15)*'Hypothèses'!$C$16</f>
        <v>€ 83,33</v>
      </c>
      <c t="str" s="109" r="O17">
        <f>(O11*'Hypothèses'!$F$15)*'Hypothèses'!$C$16</f>
        <v>€ 100,00</v>
      </c>
      <c t="str" s="109" r="P17">
        <f>(P11*'Hypothèses'!$F$15)*'Hypothèses'!$C$16</f>
        <v>€ 116,67</v>
      </c>
      <c t="str" s="109" r="Q17">
        <f>(Q11*'Hypothèses'!$F$15)*'Hypothèses'!$C$16</f>
        <v>€ 166,67</v>
      </c>
      <c t="str" s="109" r="R17">
        <f>(R11*'Hypothèses'!$F$15)*'Hypothèses'!$C$16</f>
        <v>€ 191,67</v>
      </c>
      <c t="str" s="109" r="S17">
        <f>(S11*'Hypothèses'!$F$15)*'Hypothèses'!$C$16</f>
        <v>€ 216,67</v>
      </c>
      <c t="str" s="109" r="T17">
        <f>(T11*'Hypothèses'!$F$15)*'Hypothèses'!$C$16</f>
        <v>€ 283,58</v>
      </c>
      <c t="str" s="109" r="U17">
        <f>(U11*'Hypothèses'!$F$15)*'Hypothèses'!$C$16</f>
        <v>€ 309,08</v>
      </c>
      <c t="str" s="109" r="V17">
        <f>(V11*'Hypothèses'!$F$15)*'Hypothèses'!$C$16</f>
        <v>€ 334,83</v>
      </c>
      <c t="str" s="109" r="W17">
        <f>(W11*'Hypothèses'!$F$15)*'Hypothèses'!$C$16</f>
        <v>€ 416,39</v>
      </c>
      <c t="str" s="109" r="X17">
        <f>(X11*'Hypothèses'!$F$15)*'Hypothèses'!$C$16</f>
        <v>€ 442,64</v>
      </c>
      <c t="str" s="109" r="Y17">
        <f>(Y11*'Hypothèses'!$F$15)*'Hypothèses'!$C$16</f>
        <v>€ 510,80</v>
      </c>
      <c t="str" s="109" r="Z17">
        <f>(Z11*'Hypothèses'!$F$15)*'Hypothèses'!$C$16</f>
        <v>€ 610,94</v>
      </c>
      <c t="str" s="109" r="AA17">
        <f>(AA11*'Hypothèses'!$F$15)*'Hypothèses'!$C$16</f>
        <v>€ 727,44</v>
      </c>
      <c t="str" s="109" r="AB17">
        <f>(AB11*'Hypothèses'!$F$15)*'Hypothèses'!$C$16</f>
        <v>€ 856,94</v>
      </c>
      <c t="str" s="109" r="AC17">
        <f>(AC11*'Hypothèses'!$F$15)*'Hypothèses'!$C$16</f>
        <v>€ 986,94</v>
      </c>
      <c t="str" s="109" r="AD17">
        <f>(AD11*'Hypothèses'!$F$15)*'Hypothèses'!$C$16</f>
        <v>€ 1 117,44</v>
      </c>
      <c t="str" s="109" r="AE17">
        <f>(AE11*'Hypothèses'!$F$15)*'Hypothèses'!$C$16</f>
        <v>€ 1 248,44</v>
      </c>
      <c t="str" s="109" r="AF17">
        <f>(AF11*'Hypothèses'!$F$15)*'Hypothèses'!$C$16</f>
        <v>€ 1 379,94</v>
      </c>
      <c t="str" s="109" r="AG17">
        <f>(AG11*'Hypothèses'!$F$15)*'Hypothèses'!$C$16</f>
        <v>€ 1 511,94</v>
      </c>
      <c t="str" s="109" r="AH17">
        <f>(AH11*'Hypothèses'!$F$15)*'Hypothèses'!$C$16</f>
        <v>€ 1 644,44</v>
      </c>
      <c t="str" s="109" r="AI17">
        <f>(AI11*'Hypothèses'!$F$15)*'Hypothèses'!$C$16</f>
        <v>€ 1 777,44</v>
      </c>
      <c t="str" s="109" r="AJ17">
        <f>(AJ11*'Hypothèses'!$F$15)*'Hypothèses'!$C$16</f>
        <v>€ 1 910,94</v>
      </c>
      <c t="str" s="109" r="AK17">
        <f>(AK11*'Hypothèses'!$F$15)*'Hypothèses'!$C$16</f>
        <v>€ 2 044,94</v>
      </c>
      <c t="str" s="109" r="AL17">
        <f>(AL11*'Hypothèses'!$F$15)*'Hypothèses'!$C$16</f>
        <v>€ 2 217,53</v>
      </c>
      <c t="str" s="109" r="AM17">
        <f>(AM11*'Hypothèses'!$F$15)*'Hypothèses'!$C$16</f>
        <v>€ 2 390,86</v>
      </c>
      <c t="str" s="109" r="AN17">
        <f>(AN11*'Hypothèses'!$F$15)*'Hypothèses'!$C$16</f>
        <v>€ 2 564,94</v>
      </c>
      <c t="str" s="109" r="AO17">
        <f>(AO11*'Hypothèses'!$F$15)*'Hypothèses'!$C$16</f>
        <v>€ 2 739,78</v>
      </c>
      <c t="str" s="109" r="AP17">
        <f>(AP11*'Hypothèses'!$F$15)*'Hypothèses'!$C$16</f>
        <v>€ 2 915,36</v>
      </c>
      <c t="str" s="109" r="AQ17">
        <f>(AQ11*'Hypothèses'!$F$15)*'Hypothèses'!$C$16</f>
        <v>€ 3 091,69</v>
      </c>
      <c t="str" s="109" r="AR17">
        <f>(AR11*'Hypothèses'!$F$15)*'Hypothèses'!$C$16</f>
        <v>€ 3 268,78</v>
      </c>
      <c t="str" s="109" r="AS17">
        <f>(AS11*'Hypothèses'!$F$15)*'Hypothèses'!$C$16</f>
        <v>€ 3 446,61</v>
      </c>
      <c t="str" s="109" r="AT17">
        <f>(AT11*'Hypothèses'!$F$15)*'Hypothèses'!$C$16</f>
        <v>€ 3 625,19</v>
      </c>
      <c t="str" s="109" r="AU17">
        <f>(AU11*'Hypothèses'!$F$15)*'Hypothèses'!$C$16</f>
        <v>€ 3 804,53</v>
      </c>
      <c t="str" s="109" r="AV17">
        <f>(AV11*'Hypothèses'!$F$15)*'Hypothèses'!$C$16</f>
        <v>€ 3 984,61</v>
      </c>
      <c t="str" s="109" r="AW17">
        <f>(AW11*'Hypothèses'!$F$15)*'Hypothèses'!$C$16</f>
        <v>€ 4 165,44</v>
      </c>
      <c t="str" s="109" r="AX17">
        <f>(AX11*'Hypothèses'!$G$15)*'Hypothèses'!$C$16</f>
        <v>€ 76 025,32</v>
      </c>
    </row>
    <row r="18">
      <c t="s" s="112" r="A18">
        <v>173</v>
      </c>
      <c t="str" s="104" r="B18">
        <f ref="B18:AX18" t="shared" si="8">SUM(B12:B17)</f>
        <v>€ 983,00</v>
      </c>
      <c t="str" s="104" r="C18">
        <f t="shared" si="8"/>
        <v>€ 708,33</v>
      </c>
      <c t="str" s="104" r="D18">
        <f t="shared" si="8"/>
        <v>€ 708,33</v>
      </c>
      <c t="str" s="104" r="E18">
        <f t="shared" si="8"/>
        <v>€ 708,33</v>
      </c>
      <c t="str" s="104" r="F18">
        <f t="shared" si="8"/>
        <v>€ 708,33</v>
      </c>
      <c t="str" s="104" r="G18">
        <f t="shared" si="8"/>
        <v>€ 708,33</v>
      </c>
      <c t="str" s="6" r="H18">
        <f t="shared" si="8"/>
        <v>€ 708,33</v>
      </c>
      <c t="str" s="6" r="I18">
        <f t="shared" si="8"/>
        <v>€ 708,33</v>
      </c>
      <c t="str" s="6" r="J18">
        <f t="shared" si="8"/>
        <v>€ 708,33</v>
      </c>
      <c t="str" s="6" r="K18">
        <f t="shared" si="8"/>
        <v>€ 708,33</v>
      </c>
      <c t="str" s="6" r="L18">
        <f t="shared" si="8"/>
        <v>€ 36 857,67</v>
      </c>
      <c t="str" s="6" r="M18">
        <f t="shared" si="8"/>
        <v>€ 55 789,00</v>
      </c>
      <c t="str" s="6" r="N18">
        <f t="shared" si="8"/>
        <v>€ 148 873,67</v>
      </c>
      <c t="str" s="6" r="O18">
        <f t="shared" si="8"/>
        <v>€ 39 452,67</v>
      </c>
      <c t="str" s="6" r="P18">
        <f t="shared" si="8"/>
        <v>€ 40 309,33</v>
      </c>
      <c t="str" s="6" r="Q18">
        <f t="shared" si="8"/>
        <v>€ 211 764,67</v>
      </c>
      <c t="str" s="6" r="R18">
        <f t="shared" si="8"/>
        <v>€ 60 130,67</v>
      </c>
      <c t="str" s="6" r="S18">
        <f t="shared" si="8"/>
        <v>€ 61 415,67</v>
      </c>
      <c t="str" s="6" r="T18">
        <f t="shared" si="8"/>
        <v>€ 276 491,24</v>
      </c>
      <c t="str" s="6" r="U18">
        <f t="shared" si="8"/>
        <v>€ 65 124,66</v>
      </c>
      <c t="str" s="6" r="V18">
        <f t="shared" si="8"/>
        <v>€ 66 977,60</v>
      </c>
      <c t="str" s="6" r="W18">
        <f t="shared" si="8"/>
        <v>€ 353 167,40</v>
      </c>
      <c t="str" s="6" r="X18">
        <f t="shared" si="8"/>
        <v>€ 70 777,59</v>
      </c>
      <c t="str" s="6" r="Y18">
        <f t="shared" si="8"/>
        <v>€ 285 917,41</v>
      </c>
      <c t="str" s="6" r="Z18">
        <f t="shared" si="8"/>
        <v>€ 397 625,98</v>
      </c>
      <c t="str" s="6" r="AA18">
        <f t="shared" si="8"/>
        <v>€ 455 938,88</v>
      </c>
      <c t="str" s="6" r="AB18">
        <f t="shared" si="8"/>
        <v>€ 523 835,96</v>
      </c>
      <c t="str" s="6" r="AC18">
        <f t="shared" si="8"/>
        <v>€ 527 796,74</v>
      </c>
      <c t="str" s="6" r="AD18">
        <f t="shared" si="8"/>
        <v>€ 531 783,22</v>
      </c>
      <c t="str" s="6" r="AE18">
        <f t="shared" si="8"/>
        <v>€ 535 795,40</v>
      </c>
      <c t="str" s="6" r="AF18">
        <f t="shared" si="8"/>
        <v>€ 539 833,28</v>
      </c>
      <c t="str" s="6" r="AG18">
        <f t="shared" si="8"/>
        <v>€ 543 896,86</v>
      </c>
      <c t="str" s="6" r="AH18">
        <f t="shared" si="8"/>
        <v>€ 547 986,14</v>
      </c>
      <c t="str" s="6" r="AI18">
        <f t="shared" si="8"/>
        <v>€ 552 101,12</v>
      </c>
      <c t="str" s="6" r="AJ18">
        <f t="shared" si="8"/>
        <v>€ 556 241,80</v>
      </c>
      <c t="str" s="6" r="AK18">
        <f t="shared" si="8"/>
        <v>€ 560 408,18</v>
      </c>
      <c t="str" s="6" r="AL18">
        <f t="shared" si="8"/>
        <v>€ 671 776,49</v>
      </c>
      <c t="str" s="6" r="AM18">
        <f t="shared" si="8"/>
        <v>€ 678 073,99</v>
      </c>
      <c t="str" s="6" r="AN18">
        <f t="shared" si="8"/>
        <v>€ 684 410,05</v>
      </c>
      <c t="str" s="6" r="AO18">
        <f t="shared" si="8"/>
        <v>€ 690 784,65</v>
      </c>
      <c t="str" s="6" r="AP18">
        <f t="shared" si="8"/>
        <v>€ 697 197,80</v>
      </c>
      <c t="str" s="6" r="AQ18">
        <f t="shared" si="8"/>
        <v>€ 703 649,51</v>
      </c>
      <c t="str" s="6" r="AR18">
        <f t="shared" si="8"/>
        <v>€ 710 139,76</v>
      </c>
      <c t="str" s="6" r="AS18">
        <f t="shared" si="8"/>
        <v>€ 716 668,56</v>
      </c>
      <c t="str" s="6" r="AT18">
        <f t="shared" si="8"/>
        <v>€ 723 235,92</v>
      </c>
      <c t="str" s="6" r="AU18">
        <f t="shared" si="8"/>
        <v>€ 729 841,82</v>
      </c>
      <c t="str" s="6" r="AV18">
        <f t="shared" si="8"/>
        <v>€ 736 486,27</v>
      </c>
      <c t="str" s="6" r="AW18">
        <f t="shared" si="8"/>
        <v>€ 743 169,28</v>
      </c>
      <c t="str" s="6" r="AX18">
        <f t="shared" si="8"/>
        <v>€ 9 651 687,32</v>
      </c>
      <c s="6" r="AY18"/>
      <c s="6" r="AZ18"/>
      <c s="6" r="BA18"/>
      <c s="6" r="BB18"/>
    </row>
    <row r="19">
      <c t="s" s="8" r="A19">
        <v>174</v>
      </c>
      <c t="str" s="113" r="B19">
        <f>-B5*'Hypothèses'!$C$25</f>
        <v>0,00 €</v>
      </c>
      <c t="str" s="113" r="C19">
        <f>-C5*'Hypothèses'!$C$25</f>
        <v>0,00 €</v>
      </c>
      <c t="str" s="113" r="D19">
        <f>-D5*'Hypothèses'!$C$25</f>
        <v>0,00 €</v>
      </c>
      <c t="str" s="113" r="E19">
        <f>-E5*'Hypothèses'!$C$25</f>
        <v>0,00 €</v>
      </c>
      <c t="str" s="113" r="F19">
        <f>-F5*'Hypothèses'!$C$25</f>
        <v>0,00 €</v>
      </c>
      <c t="str" s="113" r="G19">
        <f>-G5*'Hypothèses'!$C$25</f>
        <v>0,00 €</v>
      </c>
      <c t="str" s="9" r="H19">
        <f>-H5*'Hypothèses'!$C$25</f>
        <v>0,00 €</v>
      </c>
      <c t="str" s="9" r="I19">
        <f>-I5*'Hypothèses'!$C$25</f>
        <v>0,00 €</v>
      </c>
      <c t="str" s="9" r="J19">
        <f>-J5*'Hypothèses'!$C$25</f>
        <v>0,00 €</v>
      </c>
      <c t="str" s="9" r="K19">
        <f>-K5*'Hypothèses'!$C$25</f>
        <v>0,00 €</v>
      </c>
      <c t="str" s="9" r="L19">
        <f>-L5*'Hypothèses'!$C$25</f>
        <v>-20 920,00 €</v>
      </c>
      <c t="str" s="9" r="M19">
        <f>-M5*'Hypothèses'!$C$25</f>
        <v>-31 380,00 €</v>
      </c>
      <c t="str" s="9" r="N19">
        <f>-(N5+N6)*'Hypothèses'!$D$25</f>
        <v>-85 493,00 €</v>
      </c>
      <c t="str" s="9" r="O19">
        <f>-(O5+O6)*'Hypothèses'!$D$25</f>
        <v>-20 116,00 €</v>
      </c>
      <c t="str" s="9" r="P19">
        <f>-(P5+P6)*'Hypothèses'!$D$25</f>
        <v>-20 116,00 €</v>
      </c>
      <c t="str" s="9" r="Q19">
        <f>-(Q5+Q6)*'Hypothèses'!$D$25</f>
        <v>-120 696,00 €</v>
      </c>
      <c t="str" s="9" r="R19">
        <f>-(R5+R6)*'Hypothèses'!$D$25</f>
        <v>-30 174,00 €</v>
      </c>
      <c t="str" s="9" r="S19">
        <f>-(S5+S6)*'Hypothèses'!$D$25</f>
        <v>-30 174,00 €</v>
      </c>
      <c t="str" s="9" r="T19">
        <f>-(T5+T6)*'Hypothèses'!$D$25</f>
        <v>-156 200,74 €</v>
      </c>
      <c t="str" s="9" r="U19">
        <f>-(U5+U6)*'Hypothèses'!$D$25</f>
        <v>-30 777,48 €</v>
      </c>
      <c t="str" s="9" r="V19">
        <f>-(V5+V6)*'Hypothèses'!$D$25</f>
        <v>-31 079,22 €</v>
      </c>
      <c t="str" s="9" r="W19">
        <f>-(W5+W6)*'Hypothèses'!$D$25</f>
        <v>-199 010,10 €</v>
      </c>
      <c t="str" s="9" r="X19">
        <f>-(X5+X6)*'Hypothèses'!$D$25</f>
        <v>-31 682,70 €</v>
      </c>
      <c t="str" s="9" r="Y19">
        <f>-(Y5+Y6)*'Hypothèses'!$D$25</f>
        <v>-157 709,44 €</v>
      </c>
      <c t="str" s="9" r="Z19">
        <f>-(Z5+Z6)*'Hypothèses'!$E$25</f>
        <v>-204 627,30 €</v>
      </c>
      <c t="str" s="9" r="AA19">
        <f>-(AA5+AA6)*'Hypothèses'!$E$25</f>
        <v>-234 492,67 €</v>
      </c>
      <c t="str" s="9" r="AB19">
        <f>-(AB5+AB6)*'Hypothèses'!$E$25</f>
        <v>-269 903,57 €</v>
      </c>
      <c t="str" s="9" r="AC19">
        <f>-(AC5+AC6)*'Hypothèses'!$E$25</f>
        <v>-270 461,22 €</v>
      </c>
      <c t="str" s="9" r="AD19">
        <f>-(AD5+AD6)*'Hypothèses'!$E$25</f>
        <v>-271 018,87 €</v>
      </c>
      <c t="str" s="9" r="AE19">
        <f>-(AE5+AE6)*'Hypothèses'!$E$25</f>
        <v>-271 576,52 €</v>
      </c>
      <c t="str" s="9" r="AF19">
        <f>-(AF5+AF6)*'Hypothèses'!$E$25</f>
        <v>-272 134,18 €</v>
      </c>
      <c t="str" s="9" r="AG19">
        <f>-(AG5+AG6)*'Hypothèses'!$E$25</f>
        <v>-272 691,83 €</v>
      </c>
      <c t="str" s="9" r="AH19">
        <f>-(AH5+AH6)*'Hypothèses'!$E$25</f>
        <v>-273 249,48 €</v>
      </c>
      <c t="str" s="9" r="AI19">
        <f>-(AI5+AI6)*'Hypothèses'!$E$25</f>
        <v>-273 807,13 €</v>
      </c>
      <c t="str" s="9" r="AJ19">
        <f>-(AJ5+AJ6)*'Hypothèses'!$E$25</f>
        <v>-274 364,78 €</v>
      </c>
      <c t="str" s="9" r="AK19">
        <f>-(AK5+AK6)*'Hypothèses'!$E$25</f>
        <v>-274 922,44 €</v>
      </c>
      <c t="str" s="9" r="AL19">
        <f>-(AL5+AL6)*'Hypothèses'!$F$25</f>
        <v>-326 986,33 €</v>
      </c>
      <c t="str" s="9" r="AM19">
        <f>-(AM5+AM6)*'Hypothèses'!$F$25</f>
        <v>-327 810,43 €</v>
      </c>
      <c t="str" s="9" r="AN19">
        <f>-(AN5+AN6)*'Hypothèses'!$F$25</f>
        <v>-328 634,54 €</v>
      </c>
      <c t="str" s="9" r="AO19">
        <f>-(AO5+AO6)*'Hypothèses'!$F$25</f>
        <v>-329 458,64 €</v>
      </c>
      <c t="str" s="9" r="AP19">
        <f>-(AP5+AP6)*'Hypothèses'!$F$25</f>
        <v>-330 282,75 €</v>
      </c>
      <c t="str" s="9" r="AQ19">
        <f>-(AQ5+AQ6)*'Hypothèses'!$F$25</f>
        <v>-331 106,85 €</v>
      </c>
      <c t="str" s="9" r="AR19">
        <f>-(AR5+AR6)*'Hypothèses'!$F$25</f>
        <v>-331 930,96 €</v>
      </c>
      <c t="str" s="9" r="AS19">
        <f>-(AS5+AS6)*'Hypothèses'!$F$25</f>
        <v>-332 755,06 €</v>
      </c>
      <c t="str" s="9" r="AT19">
        <f>-(AT5+AT6)*'Hypothèses'!$F$25</f>
        <v>-333 579,16 €</v>
      </c>
      <c t="str" s="9" r="AU19">
        <f>-(AU5+AU6)*'Hypothèses'!$F$25</f>
        <v>-334 403,27 €</v>
      </c>
      <c t="str" s="9" r="AV19">
        <f>-(AV5+AV6)*'Hypothèses'!$F$25</f>
        <v>-335 227,37 €</v>
      </c>
      <c t="str" s="9" r="AW19">
        <f>-(AW5+AW6)*'Hypothèses'!$F$25</f>
        <v>-336 051,48 €</v>
      </c>
      <c t="str" s="9" r="AX19">
        <f>-(AX5+AX6)*'Hypothèses'!$G$25</f>
        <v>-3 973 280,73 €</v>
      </c>
      <c s="10" r="AY19"/>
      <c s="10" r="AZ19"/>
      <c s="10" r="BA19"/>
      <c s="10" r="BB19"/>
    </row>
    <row r="20">
      <c t="s" s="8" r="A20">
        <v>175</v>
      </c>
      <c t="str" s="113" r="B20">
        <f>(-B7*'Hypothèses'!$C$29)*'Hypothèses'!$C$8</f>
        <v>-540,00 €</v>
      </c>
      <c t="str" s="113" r="C20">
        <f>(-C7*'Hypothèses'!$C$29)*'Hypothèses'!$C$8</f>
        <v>0,00 €</v>
      </c>
      <c t="str" s="113" r="D20">
        <f>(-D7*'Hypothèses'!$C$29)*'Hypothèses'!$C$8</f>
        <v>0,00 €</v>
      </c>
      <c t="str" s="113" r="E20">
        <f>(-E7*'Hypothèses'!$C$29)*'Hypothèses'!$C$8</f>
        <v>0,00 €</v>
      </c>
      <c t="str" s="113" r="F20">
        <f>(-F7*'Hypothèses'!$C$29)*'Hypothèses'!$C$8</f>
        <v>0,00 €</v>
      </c>
      <c t="str" s="113" r="G20">
        <f>(-G7*'Hypothèses'!$C$29)*'Hypothèses'!$C$8</f>
        <v>0,00 €</v>
      </c>
      <c t="str" s="9" r="H20">
        <f>(-H7*'Hypothèses'!$C$29)*'Hypothèses'!$C$8</f>
        <v>0,00 €</v>
      </c>
      <c t="str" s="9" r="I20">
        <f>(-I7*'Hypothèses'!$C$29)*'Hypothèses'!$C$8</f>
        <v>0,00 €</v>
      </c>
      <c t="str" s="9" r="J20">
        <f>(-J7*'Hypothèses'!$C$29)*'Hypothèses'!$C$8</f>
        <v>0,00 €</v>
      </c>
      <c t="str" s="9" r="K20">
        <f>(-K7*'Hypothèses'!$C$29)*'Hypothèses'!$C$8</f>
        <v>0,00 €</v>
      </c>
      <c t="str" s="9" r="L20">
        <f>(-L7*'Hypothèses'!$C$29)*'Hypothèses'!$C$8</f>
        <v>-1 080,00 €</v>
      </c>
      <c t="str" s="9" r="M20">
        <f>(-M7*'Hypothèses'!$C$29)*'Hypothèses'!$C$8</f>
        <v>-1 620,00 €</v>
      </c>
      <c t="str" s="9" r="N20">
        <f>(-N7*'Hypothèses'!$C$29)*'Hypothèses'!$C$8</f>
        <v>-2 160,00 €</v>
      </c>
      <c t="str" s="9" r="O20">
        <f>(-O7*'Hypothèses'!$C$29)*'Hypothèses'!$C$8</f>
        <v>-1 080,00 €</v>
      </c>
      <c t="str" s="9" r="P20">
        <f>(-P7*'Hypothèses'!$C$29)*'Hypothèses'!$C$8</f>
        <v>-1 080,00 €</v>
      </c>
      <c t="str" s="9" r="Q20">
        <f>(-Q7*'Hypothèses'!$C$29)*'Hypothèses'!$C$8</f>
        <v>-3 240,00 €</v>
      </c>
      <c t="str" s="9" r="R20">
        <f>(-R7*'Hypothèses'!$C$29)*'Hypothèses'!$C$8</f>
        <v>-1 620,00 €</v>
      </c>
      <c t="str" s="9" r="S20">
        <f>(-S7*'Hypothèses'!$C$29)*'Hypothèses'!$C$8</f>
        <v>-1 620,00 €</v>
      </c>
      <c t="str" s="9" r="T20">
        <f>(-T7*'Hypothèses'!$C$29)*'Hypothèses'!$C$8</f>
        <v>-4 336,20 €</v>
      </c>
      <c t="str" s="9" r="U20">
        <f>(-U7*'Hypothèses'!$C$29)*'Hypothèses'!$C$8</f>
        <v>-1 652,40 €</v>
      </c>
      <c t="str" s="9" r="V20">
        <f>(-V7*'Hypothèses'!$C$29)*'Hypothèses'!$C$8</f>
        <v>-1 668,60 €</v>
      </c>
      <c t="str" s="9" r="W20">
        <f>(-W7*'Hypothèses'!$C$29)*'Hypothèses'!$C$8</f>
        <v>-5 284,71 €</v>
      </c>
      <c t="str" s="9" r="X20">
        <f>(-X7*'Hypothèses'!$C$29)*'Hypothèses'!$C$8</f>
        <v>-1 701,00 €</v>
      </c>
      <c t="str" s="9" r="Y20">
        <f>(-Y7*'Hypothèses'!$C$29)*'Hypothèses'!$C$8</f>
        <v>-4 417,20 €</v>
      </c>
      <c t="str" s="9" r="Z20">
        <f>(-Z7*'Hypothèses'!$C$29)*'Hypothèses'!$C$8</f>
        <v>-6 489,00 €</v>
      </c>
      <c t="str" s="9" r="AA20">
        <f>(-AA7*'Hypothèses'!$C$29)*'Hypothèses'!$C$8</f>
        <v>-7 549,20 €</v>
      </c>
      <c t="str" s="9" r="AB20">
        <f>(-AB7*'Hypothèses'!$C$29)*'Hypothèses'!$C$8</f>
        <v>-8 391,60 €</v>
      </c>
      <c t="str" s="9" r="AC20">
        <f>(-AC7*'Hypothèses'!$C$29)*'Hypothèses'!$C$8</f>
        <v>-8 424,00 €</v>
      </c>
      <c t="str" s="9" r="AD20">
        <f>(-AD7*'Hypothèses'!$C$29)*'Hypothèses'!$C$8</f>
        <v>-8 456,40 €</v>
      </c>
      <c t="str" s="9" r="AE20">
        <f>(-AE7*'Hypothèses'!$C$29)*'Hypothèses'!$C$8</f>
        <v>-8 488,80 €</v>
      </c>
      <c t="str" s="9" r="AF20">
        <f>(-AF7*'Hypothèses'!$C$29)*'Hypothèses'!$C$8</f>
        <v>-8 521,20 €</v>
      </c>
      <c t="str" s="9" r="AG20">
        <f>(-AG7*'Hypothèses'!$C$29)*'Hypothèses'!$C$8</f>
        <v>-8 553,60 €</v>
      </c>
      <c t="str" s="9" r="AH20">
        <f>(-AH7*'Hypothèses'!$C$29)*'Hypothèses'!$C$8</f>
        <v>-8 586,00 €</v>
      </c>
      <c t="str" s="9" r="AI20">
        <f>(-AI7*'Hypothèses'!$C$29)*'Hypothèses'!$C$8</f>
        <v>-8 618,40 €</v>
      </c>
      <c t="str" s="9" r="AJ20">
        <f>(-AJ7*'Hypothèses'!$C$29)*'Hypothèses'!$C$8</f>
        <v>-8 650,80 €</v>
      </c>
      <c t="str" s="9" r="AK20">
        <f>(-AK7*'Hypothèses'!$C$29)*'Hypothèses'!$C$8</f>
        <v>-8 683,20 €</v>
      </c>
      <c t="str" s="9" r="AL20">
        <f>(-AL7*'Hypothèses'!$C$29)*'Hypothèses'!$C$8</f>
        <v>-11 183,40 €</v>
      </c>
      <c t="str" s="9" r="AM20">
        <f>(-AM7*'Hypothèses'!$C$29)*'Hypothèses'!$C$8</f>
        <v>-11 232,00 €</v>
      </c>
      <c t="str" s="9" r="AN20">
        <f>(-AN7*'Hypothèses'!$C$29)*'Hypothèses'!$C$8</f>
        <v>-11 280,60 €</v>
      </c>
      <c t="str" s="9" r="AO20">
        <f>(-AO7*'Hypothèses'!$C$29)*'Hypothèses'!$C$8</f>
        <v>-11 329,20 €</v>
      </c>
      <c t="str" s="9" r="AP20">
        <f>(-AP7*'Hypothèses'!$C$29)*'Hypothèses'!$C$8</f>
        <v>-11 377,80 €</v>
      </c>
      <c t="str" s="9" r="AQ20">
        <f>(-AQ7*'Hypothèses'!$C$29)*'Hypothèses'!$C$8</f>
        <v>-11 426,40 €</v>
      </c>
      <c t="str" s="9" r="AR20">
        <f>(-AR7*'Hypothèses'!$C$29)*'Hypothèses'!$C$8</f>
        <v>-11 475,00 €</v>
      </c>
      <c t="str" s="9" r="AS20">
        <f>(-AS7*'Hypothèses'!$C$29)*'Hypothèses'!$C$8</f>
        <v>-11 523,60 €</v>
      </c>
      <c t="str" s="9" r="AT20">
        <f>(-AT7*'Hypothèses'!$C$29)*'Hypothèses'!$C$8</f>
        <v>-11 572,20 €</v>
      </c>
      <c t="str" s="9" r="AU20">
        <f>(-AU7*'Hypothèses'!$C$29)*'Hypothèses'!$C$8</f>
        <v>-11 620,80 €</v>
      </c>
      <c t="str" s="9" r="AV20">
        <f>(-AV7*'Hypothèses'!$C$29)*'Hypothèses'!$C$8</f>
        <v>-11 669,40 €</v>
      </c>
      <c t="str" s="9" r="AW20">
        <f>(-AW7*'Hypothèses'!$C$29)*'Hypothèses'!$C$8</f>
        <v>-11 718,00 €</v>
      </c>
      <c t="str" s="9" r="AX20">
        <f>(-AX7*'Hypothèses'!$C$29)*'Hypothèses'!$C$8</f>
        <v>-140 616,00 €</v>
      </c>
      <c s="10" r="AY20"/>
      <c s="10" r="AZ20"/>
      <c s="10" r="BA20"/>
      <c s="10" r="BB20"/>
    </row>
    <row r="21">
      <c t="s" s="114" r="A21">
        <v>176</v>
      </c>
      <c s="115" r="B21">
        <v>0.0</v>
      </c>
      <c t="str" s="113" r="C21">
        <f>(-C7*'Hypothèses'!$C$34)*'Hypothèses'!$C$12</f>
        <v>0,00 €</v>
      </c>
      <c t="str" s="113" r="D21">
        <f>(-D7*'Hypothèses'!$C$34)*'Hypothèses'!$C$12</f>
        <v>0,00 €</v>
      </c>
      <c t="str" s="113" r="E21">
        <f>(-E7*'Hypothèses'!$C$34)*'Hypothèses'!$C$12</f>
        <v>0,00 €</v>
      </c>
      <c t="str" s="113" r="F21">
        <f>(-F7*'Hypothèses'!$C$34)*'Hypothèses'!$C$12</f>
        <v>0,00 €</v>
      </c>
      <c t="str" s="113" r="G21">
        <f>(-G7*'Hypothèses'!$C$34)*'Hypothèses'!$C$12</f>
        <v>0,00 €</v>
      </c>
      <c s="116" r="H21">
        <v>0.0</v>
      </c>
      <c s="116" r="I21">
        <v>0.0</v>
      </c>
      <c s="116" r="J21">
        <v>0.0</v>
      </c>
      <c s="116" r="K21">
        <v>0.0</v>
      </c>
      <c s="116" r="L21">
        <v>0.0</v>
      </c>
      <c s="116" r="M21">
        <v>0.0</v>
      </c>
      <c s="116" r="N21">
        <v>0.0</v>
      </c>
      <c s="116" r="O21">
        <v>0.0</v>
      </c>
      <c s="116" r="P21">
        <v>0.0</v>
      </c>
      <c s="116" r="Q21">
        <v>0.0</v>
      </c>
      <c s="116" r="R21">
        <v>0.0</v>
      </c>
      <c s="116" r="S21">
        <v>0.0</v>
      </c>
      <c s="116" r="T21">
        <v>0.0</v>
      </c>
      <c s="116" r="U21">
        <v>0.0</v>
      </c>
      <c s="116" r="V21">
        <v>0.0</v>
      </c>
      <c s="116" r="W21">
        <v>0.0</v>
      </c>
      <c s="116" r="X21">
        <v>0.0</v>
      </c>
      <c s="116" r="Y21">
        <v>0.0</v>
      </c>
      <c s="116" r="Z21">
        <v>0.0</v>
      </c>
      <c s="116" r="AA21">
        <v>0.0</v>
      </c>
      <c s="116" r="AB21">
        <v>0.0</v>
      </c>
      <c s="116" r="AC21">
        <v>0.0</v>
      </c>
      <c s="116" r="AD21">
        <v>0.0</v>
      </c>
      <c s="116" r="AE21">
        <v>0.0</v>
      </c>
      <c s="116" r="AF21">
        <v>0.0</v>
      </c>
      <c s="116" r="AG21">
        <v>0.0</v>
      </c>
      <c s="116" r="AH21">
        <v>0.0</v>
      </c>
      <c s="116" r="AI21">
        <v>0.0</v>
      </c>
      <c s="116" r="AJ21">
        <v>0.0</v>
      </c>
      <c s="116" r="AK21">
        <v>0.0</v>
      </c>
      <c t="str" s="9" r="AL21">
        <f>(-B4*'Hypothèses'!$C$34)</f>
        <v>0,00 €</v>
      </c>
      <c t="str" s="9" r="AM21">
        <f>(-C4*'Hypothèses'!$C$34)</f>
        <v>0,00 €</v>
      </c>
      <c t="str" s="9" r="AN21">
        <f>(-D4*'Hypothèses'!$C$34)</f>
        <v>0,00 €</v>
      </c>
      <c t="str" s="9" r="AO21">
        <f>(-E4*'Hypothèses'!$C$34)</f>
        <v>0,00 €</v>
      </c>
      <c t="str" s="9" r="AP21">
        <f>(-F4*'Hypothèses'!$C$34)</f>
        <v>0,00 €</v>
      </c>
      <c t="str" s="9" r="AQ21">
        <f>(-G4*'Hypothèses'!$C$34)</f>
        <v>0,00 €</v>
      </c>
      <c t="str" s="9" r="AR21">
        <f>(-H4*'Hypothèses'!$C$34)</f>
        <v>0,00 €</v>
      </c>
      <c t="str" s="9" r="AS21">
        <f>(-I4*'Hypothèses'!$C$34)</f>
        <v>0,00 €</v>
      </c>
      <c t="str" s="9" r="AT21">
        <f>(-J4*'Hypothèses'!$C$34)</f>
        <v>0,00 €</v>
      </c>
      <c t="str" s="9" r="AU21">
        <f>(-K4*'Hypothèses'!$C$34)</f>
        <v>0,00 €</v>
      </c>
      <c t="str" s="9" r="AV21">
        <f>(-L4*'Hypothèses'!$C$34)</f>
        <v>-6 000,00 €</v>
      </c>
      <c t="str" s="9" r="AW21">
        <f>(-M4*'Hypothèses'!$C$34)</f>
        <v>-9 000,00 €</v>
      </c>
      <c t="str" s="9" r="AX21">
        <f>-(sum(M4:Y4))*'Hypothèses'!$C$34</f>
        <v>-103 890,00 €</v>
      </c>
      <c s="10" r="AY21"/>
      <c s="10" r="AZ21"/>
      <c s="10" r="BA21"/>
      <c s="10" r="BB21"/>
    </row>
    <row r="22">
      <c t="s" s="8" r="A22">
        <v>177</v>
      </c>
      <c t="str" s="113" r="B22">
        <f>-'Hypothèses'!$C$40*B11</f>
        <v>0,00 €</v>
      </c>
      <c t="str" s="113" r="C22">
        <f>-'Hypothèses'!$C$40*C11</f>
        <v>-50,00 €</v>
      </c>
      <c t="str" s="113" r="D22">
        <f>-'Hypothèses'!$C$40*D11</f>
        <v>-50,00 €</v>
      </c>
      <c t="str" s="113" r="E22">
        <f>-'Hypothèses'!$C$40*E11</f>
        <v>-50,00 €</v>
      </c>
      <c t="str" s="113" r="F22">
        <f>-'Hypothèses'!$C$40*F11</f>
        <v>-50,00 €</v>
      </c>
      <c t="str" s="113" r="G22">
        <f>-'Hypothèses'!$C$40*G11</f>
        <v>-50,00 €</v>
      </c>
      <c t="str" s="9" r="H22">
        <f>-'Hypothèses'!$C$40*H11</f>
        <v>-50,00 €</v>
      </c>
      <c t="str" s="9" r="I22">
        <f>-'Hypothèses'!$C$40*I11</f>
        <v>-50,00 €</v>
      </c>
      <c t="str" s="9" r="J22">
        <f>-'Hypothèses'!$C$40*J11</f>
        <v>-50,00 €</v>
      </c>
      <c t="str" s="9" r="K22">
        <f>-'Hypothèses'!$C$40*K11</f>
        <v>-50,00 €</v>
      </c>
      <c t="str" s="9" r="L22">
        <f>-'Hypothèses'!$C$40*L11</f>
        <v>-150,00 €</v>
      </c>
      <c t="str" s="9" r="M22">
        <f>-'Hypothèses'!$C$40*M11</f>
        <v>-300,00 €</v>
      </c>
      <c t="str" s="9" r="N22">
        <f>-'Hypothèses'!$C$40*N11</f>
        <v>-500,00 €</v>
      </c>
      <c t="str" s="9" r="O22">
        <f>-'Hypothèses'!$C$40*O11</f>
        <v>-600,00 €</v>
      </c>
      <c t="str" s="9" r="P22">
        <f>-'Hypothèses'!$C$40*P11</f>
        <v>-700,00 €</v>
      </c>
      <c t="str" s="9" r="Q22">
        <f>-'Hypothèses'!$C$40*Q11</f>
        <v>-1 000,00 €</v>
      </c>
      <c t="str" s="9" r="R22">
        <f>-'Hypothèses'!$C$40*R11</f>
        <v>-1 150,00 €</v>
      </c>
      <c t="str" s="9" r="S22">
        <f>-'Hypothèses'!$C$40*S11</f>
        <v>-1 300,00 €</v>
      </c>
      <c t="str" s="9" r="T22">
        <f>-'Hypothèses'!$C$40*T11</f>
        <v>-1 701,50 €</v>
      </c>
      <c t="str" s="9" r="U22">
        <f>-'Hypothèses'!$C$40*U11</f>
        <v>-1 854,50 €</v>
      </c>
      <c t="str" s="9" r="V22">
        <f>-'Hypothèses'!$C$40*V11</f>
        <v>-2 009,00 €</v>
      </c>
      <c t="str" s="9" r="W22">
        <f>-'Hypothèses'!$C$40*W11</f>
        <v>-2 498,33 €</v>
      </c>
      <c t="str" s="9" r="X22">
        <f>-'Hypothèses'!$C$40*X11</f>
        <v>-2 655,83 €</v>
      </c>
      <c t="str" s="9" r="Y22">
        <f>-'Hypothèses'!$C$40*Y11</f>
        <v>-3 064,83 €</v>
      </c>
      <c t="str" s="9" r="Z22">
        <f>-'Hypothèses'!$C$40*Z11</f>
        <v>-3 665,66 €</v>
      </c>
      <c t="str" s="9" r="AA22">
        <f>-'Hypothèses'!$C$40*AA11</f>
        <v>-4 364,66 €</v>
      </c>
      <c t="str" s="9" r="AB22">
        <f>-'Hypothèses'!$C$40*AB11</f>
        <v>-5 141,66 €</v>
      </c>
      <c t="str" s="9" r="AC22">
        <f>-'Hypothèses'!$C$40*AC11</f>
        <v>-5 921,66 €</v>
      </c>
      <c t="str" s="9" r="AD22">
        <f>-'Hypothèses'!$C$40*AD11</f>
        <v>-6 704,66 €</v>
      </c>
      <c t="str" s="9" r="AE22">
        <f>-'Hypothèses'!$C$40*AE11</f>
        <v>-7 490,66 €</v>
      </c>
      <c t="str" s="9" r="AF22">
        <f>-'Hypothèses'!$C$40*AF11</f>
        <v>-8 279,66 €</v>
      </c>
      <c t="str" s="9" r="AG22">
        <f>-'Hypothèses'!$C$40*AG11</f>
        <v>-9 071,66 €</v>
      </c>
      <c t="str" s="9" r="AH22">
        <f>-'Hypothèses'!$C$40*AH11</f>
        <v>-9 866,66 €</v>
      </c>
      <c t="str" s="9" r="AI22">
        <f>-'Hypothèses'!$C$40*AI11</f>
        <v>-10 664,66 €</v>
      </c>
      <c t="str" s="9" r="AJ22">
        <f>-'Hypothèses'!$C$40*AJ11</f>
        <v>-11 465,66 €</v>
      </c>
      <c t="str" s="9" r="AK22">
        <f>-'Hypothèses'!$C$40*AK11</f>
        <v>-12 269,66 €</v>
      </c>
      <c t="str" s="9" r="AL22">
        <f>-'Hypothèses'!$C$40*AL11</f>
        <v>-13 305,16 €</v>
      </c>
      <c t="str" s="9" r="AM22">
        <f>-'Hypothèses'!$C$40*AM11</f>
        <v>-14 345,16 €</v>
      </c>
      <c t="str" s="9" r="AN22">
        <f>-'Hypothèses'!$C$40*AN11</f>
        <v>-15 389,66 €</v>
      </c>
      <c t="str" s="9" r="AO22">
        <f>-'Hypothèses'!$C$40*AO11</f>
        <v>-16 438,66 €</v>
      </c>
      <c t="str" s="9" r="AP22">
        <f>-'Hypothèses'!$C$40*AP11</f>
        <v>-17 492,16 €</v>
      </c>
      <c t="str" s="9" r="AQ22">
        <f>-'Hypothèses'!$C$40*AQ11</f>
        <v>-18 550,16 €</v>
      </c>
      <c t="str" s="9" r="AR22">
        <f>-'Hypothèses'!$C$40*AR11</f>
        <v>-19 612,66 €</v>
      </c>
      <c t="str" s="9" r="AS22">
        <f>-'Hypothèses'!$C$40*AS11</f>
        <v>-20 679,66 €</v>
      </c>
      <c t="str" s="9" r="AT22">
        <f>-'Hypothèses'!$C$40*AT11</f>
        <v>-21 751,16 €</v>
      </c>
      <c t="str" s="9" r="AU22">
        <f>-'Hypothèses'!$C$40*AU11</f>
        <v>-22 827,16 €</v>
      </c>
      <c t="str" s="9" r="AV22">
        <f>-'Hypothèses'!$C$40*AV11</f>
        <v>-23 907,66 €</v>
      </c>
      <c t="str" s="9" r="AW22">
        <f>-'Hypothèses'!$C$40*AW11</f>
        <v>-24 992,66 €</v>
      </c>
      <c t="str" s="9" r="AX22">
        <f>-'Hypothèses'!$G$40*AX11</f>
        <v>-456 151,90 €</v>
      </c>
      <c s="10" r="AY22"/>
      <c s="10" r="AZ22"/>
      <c s="10" r="BA22"/>
      <c s="10" r="BB22"/>
    </row>
    <row r="23">
      <c t="s" s="8" r="A23">
        <v>178</v>
      </c>
      <c t="str" s="117" r="B23">
        <f>(-B11*'Hypothèses'!$C$16)*'Hypothèses'!$C$40</f>
        <v>0,00 €</v>
      </c>
      <c t="str" s="117" r="C23">
        <f>(-C11*'Hypothèses'!$C$16)*'Hypothèses'!$C$40</f>
        <v>-5,00 €</v>
      </c>
      <c t="str" s="117" r="D23">
        <f>(-D11*'Hypothèses'!$C$16)*'Hypothèses'!$C$40</f>
        <v>-5,00 €</v>
      </c>
      <c t="str" s="117" r="E23">
        <f>(-E11*'Hypothèses'!$C$16)*'Hypothèses'!$C$40</f>
        <v>-5,00 €</v>
      </c>
      <c t="str" s="117" r="F23">
        <f>(-F11*'Hypothèses'!$C$16)*'Hypothèses'!$C$40</f>
        <v>-5,00 €</v>
      </c>
      <c t="str" s="117" r="G23">
        <f>(-G11*'Hypothèses'!$C$16)*'Hypothèses'!$C$40</f>
        <v>-5,00 €</v>
      </c>
      <c t="str" s="10" r="H23">
        <f>(-H11*'Hypothèses'!$C$16)*'Hypothèses'!$C$40</f>
        <v>-5,00 €</v>
      </c>
      <c t="str" s="10" r="I23">
        <f>(-I11*'Hypothèses'!$C$16)*'Hypothèses'!$C$40</f>
        <v>-5,00 €</v>
      </c>
      <c t="str" s="10" r="J23">
        <f>(-J11*'Hypothèses'!$C$16)*'Hypothèses'!$C$40</f>
        <v>-5,00 €</v>
      </c>
      <c t="str" s="10" r="K23">
        <f>(-K11*'Hypothèses'!$C$16)*'Hypothèses'!$C$40</f>
        <v>-5,00 €</v>
      </c>
      <c t="str" s="10" r="L23">
        <f>(-L11*'Hypothèses'!$C$16)*'Hypothèses'!$C$40</f>
        <v>-15,00 €</v>
      </c>
      <c t="str" s="10" r="M23">
        <f>(-M11*'Hypothèses'!$C$16)*'Hypothèses'!$C$40</f>
        <v>-30,00 €</v>
      </c>
      <c t="str" s="10" r="N23">
        <f>(-N11*'Hypothèses'!$C$16)*'Hypothèses'!$C$40</f>
        <v>-50,00 €</v>
      </c>
      <c t="str" s="10" r="O23">
        <f>(-O11*'Hypothèses'!$C$16)*'Hypothèses'!$C$40</f>
        <v>-60,00 €</v>
      </c>
      <c t="str" s="10" r="P23">
        <f>(-P11*'Hypothèses'!$C$16)*'Hypothèses'!$C$40</f>
        <v>-70,00 €</v>
      </c>
      <c t="str" s="10" r="Q23">
        <f>(-Q11*'Hypothèses'!$C$16)*'Hypothèses'!$C$40</f>
        <v>-100,00 €</v>
      </c>
      <c t="str" s="10" r="R23">
        <f>(-R11*'Hypothèses'!$C$16)*'Hypothèses'!$C$40</f>
        <v>-115,00 €</v>
      </c>
      <c t="str" s="10" r="S23">
        <f>(-S11*'Hypothèses'!$C$16)*'Hypothèses'!$C$40</f>
        <v>-130,00 €</v>
      </c>
      <c t="str" s="10" r="T23">
        <f>(-T11*'Hypothèses'!$C$16)*'Hypothèses'!$C$40</f>
        <v>-170,15 €</v>
      </c>
      <c t="str" s="10" r="U23">
        <f>(-U11*'Hypothèses'!$C$16)*'Hypothèses'!$C$40</f>
        <v>-185,45 €</v>
      </c>
      <c t="str" s="10" r="V23">
        <f>(-V11*'Hypothèses'!$C$16)*'Hypothèses'!$C$40</f>
        <v>-200,90 €</v>
      </c>
      <c t="str" s="10" r="W23">
        <f>(-W11*'Hypothèses'!$C$16)*'Hypothèses'!$C$40</f>
        <v>-249,83 €</v>
      </c>
      <c t="str" s="10" r="X23">
        <f>(-X11*'Hypothèses'!$C$16)*'Hypothèses'!$C$40</f>
        <v>-265,58 €</v>
      </c>
      <c t="str" s="10" r="Y23">
        <f>(-Y11*'Hypothèses'!$C$16)*'Hypothèses'!$C$40</f>
        <v>-306,48 €</v>
      </c>
      <c t="str" s="10" r="Z23">
        <f>(-Z11*'Hypothèses'!$C$16)*'Hypothèses'!$C$40</f>
        <v>-366,57 €</v>
      </c>
      <c t="str" s="10" r="AA23">
        <f>(-AA11*'Hypothèses'!$C$16)*'Hypothèses'!$C$40</f>
        <v>-436,47 €</v>
      </c>
      <c t="str" s="10" r="AB23">
        <f>(-AB11*'Hypothèses'!$C$16)*'Hypothèses'!$C$40</f>
        <v>-514,17 €</v>
      </c>
      <c t="str" s="10" r="AC23">
        <f>(-AC11*'Hypothèses'!$C$16)*'Hypothèses'!$C$40</f>
        <v>-592,17 €</v>
      </c>
      <c t="str" s="10" r="AD23">
        <f>(-AD11*'Hypothèses'!$C$16)*'Hypothèses'!$C$40</f>
        <v>-670,47 €</v>
      </c>
      <c t="str" s="10" r="AE23">
        <f>(-AE11*'Hypothèses'!$C$16)*'Hypothèses'!$C$40</f>
        <v>-749,07 €</v>
      </c>
      <c t="str" s="10" r="AF23">
        <f>(-AF11*'Hypothèses'!$C$16)*'Hypothèses'!$C$40</f>
        <v>-827,97 €</v>
      </c>
      <c t="str" s="10" r="AG23">
        <f>(-AG11*'Hypothèses'!$C$16)*'Hypothèses'!$C$40</f>
        <v>-907,17 €</v>
      </c>
      <c t="str" s="10" r="AH23">
        <f>(-AH11*'Hypothèses'!$C$16)*'Hypothèses'!$C$40</f>
        <v>-986,67 €</v>
      </c>
      <c t="str" s="10" r="AI23">
        <f>(-AI11*'Hypothèses'!$C$16)*'Hypothèses'!$C$40</f>
        <v>-1 066,47 €</v>
      </c>
      <c t="str" s="10" r="AJ23">
        <f>(-AJ11*'Hypothèses'!$C$16)*'Hypothèses'!$C$40</f>
        <v>-1 146,57 €</v>
      </c>
      <c t="str" s="10" r="AK23">
        <f>(-AK11*'Hypothèses'!$C$16)*'Hypothèses'!$C$40</f>
        <v>-1 226,97 €</v>
      </c>
      <c t="str" s="10" r="AL23">
        <f>(-AL11*'Hypothèses'!$C$16)*'Hypothèses'!$C$40</f>
        <v>-1 330,52 €</v>
      </c>
      <c t="str" s="10" r="AM23">
        <f>(-AM11*'Hypothèses'!$C$16)*'Hypothèses'!$C$40</f>
        <v>-1 434,52 €</v>
      </c>
      <c t="str" s="10" r="AN23">
        <f>(-AN11*'Hypothèses'!$C$16)*'Hypothèses'!$C$40</f>
        <v>-1 538,97 €</v>
      </c>
      <c t="str" s="10" r="AO23">
        <f>(-AO11*'Hypothèses'!$C$16)*'Hypothèses'!$C$40</f>
        <v>-1 643,87 €</v>
      </c>
      <c t="str" s="10" r="AP23">
        <f>(-AP11*'Hypothèses'!$C$16)*'Hypothèses'!$C$40</f>
        <v>-1 749,22 €</v>
      </c>
      <c t="str" s="10" r="AQ23">
        <f>(-AQ11*'Hypothèses'!$C$16)*'Hypothèses'!$C$40</f>
        <v>-1 855,02 €</v>
      </c>
      <c t="str" s="10" r="AR23">
        <f>(-AR11*'Hypothèses'!$C$16)*'Hypothèses'!$C$40</f>
        <v>-1 961,27 €</v>
      </c>
      <c t="str" s="10" r="AS23">
        <f>(-AS11*'Hypothèses'!$C$16)*'Hypothèses'!$C$40</f>
        <v>-2 067,97 €</v>
      </c>
      <c t="str" s="10" r="AT23">
        <f>(-AT11*'Hypothèses'!$C$16)*'Hypothèses'!$C$40</f>
        <v>-2 175,12 €</v>
      </c>
      <c t="str" s="10" r="AU23">
        <f>(-AU11*'Hypothèses'!$C$16)*'Hypothèses'!$C$40</f>
        <v>-2 282,72 €</v>
      </c>
      <c t="str" s="10" r="AV23">
        <f>(-AV11*'Hypothèses'!$C$16)*'Hypothèses'!$C$40</f>
        <v>-2 390,77 €</v>
      </c>
      <c t="str" s="10" r="AW23">
        <f>(-AW11*'Hypothèses'!$C$16)*'Hypothèses'!$C$40</f>
        <v>-2 499,27 €</v>
      </c>
      <c t="str" s="10" r="AX23">
        <f>((-AX11+200)*'Hypothèses'!$C$16)*'Hypothèses'!$G$40</f>
        <v>-33 615,19 €</v>
      </c>
      <c s="10" r="AY23"/>
      <c s="10" r="AZ23"/>
      <c s="10" r="BA23"/>
      <c s="10" r="BB23"/>
    </row>
    <row r="24">
      <c t="s" s="118" r="A24">
        <v>179</v>
      </c>
      <c t="str" s="119" r="B24">
        <f ref="B24:AX24" t="shared" si="9">SUM(B19:B23)</f>
        <v>-540,00 €</v>
      </c>
      <c t="str" s="119" r="C24">
        <f t="shared" si="9"/>
        <v>-55,00 €</v>
      </c>
      <c t="str" s="119" r="D24">
        <f t="shared" si="9"/>
        <v>-55,00 €</v>
      </c>
      <c t="str" s="119" r="E24">
        <f t="shared" si="9"/>
        <v>-55,00 €</v>
      </c>
      <c t="str" s="119" r="F24">
        <f t="shared" si="9"/>
        <v>-55,00 €</v>
      </c>
      <c t="str" s="119" r="G24">
        <f t="shared" si="9"/>
        <v>-55,00 €</v>
      </c>
      <c t="str" s="13" r="H24">
        <f t="shared" si="9"/>
        <v>-55,00 €</v>
      </c>
      <c t="str" s="13" r="I24">
        <f t="shared" si="9"/>
        <v>-55,00 €</v>
      </c>
      <c t="str" s="13" r="J24">
        <f t="shared" si="9"/>
        <v>-55,00 €</v>
      </c>
      <c t="str" s="13" r="K24">
        <f t="shared" si="9"/>
        <v>-55,00 €</v>
      </c>
      <c t="str" s="13" r="L24">
        <f t="shared" si="9"/>
        <v>-22 165,00 €</v>
      </c>
      <c t="str" s="13" r="M24">
        <f t="shared" si="9"/>
        <v>-33 330,00 €</v>
      </c>
      <c t="str" s="13" r="N24">
        <f t="shared" si="9"/>
        <v>-88 203,00 €</v>
      </c>
      <c t="str" s="13" r="O24">
        <f t="shared" si="9"/>
        <v>-21 856,00 €</v>
      </c>
      <c t="str" s="13" r="P24">
        <f t="shared" si="9"/>
        <v>-21 966,00 €</v>
      </c>
      <c t="str" s="13" r="Q24">
        <f t="shared" si="9"/>
        <v>-125 036,00 €</v>
      </c>
      <c t="str" s="13" r="R24">
        <f t="shared" si="9"/>
        <v>-33 059,00 €</v>
      </c>
      <c t="str" s="13" r="S24">
        <f t="shared" si="9"/>
        <v>-33 224,00 €</v>
      </c>
      <c t="str" s="13" r="T24">
        <f t="shared" si="9"/>
        <v>-162 408,59 €</v>
      </c>
      <c t="str" s="13" r="U24">
        <f t="shared" si="9"/>
        <v>-34 469,83 €</v>
      </c>
      <c t="str" s="13" r="V24">
        <f t="shared" si="9"/>
        <v>-34 957,72 €</v>
      </c>
      <c t="str" s="13" r="W24">
        <f t="shared" si="9"/>
        <v>-207 042,97 €</v>
      </c>
      <c t="str" s="13" r="X24">
        <f t="shared" si="9"/>
        <v>-36 305,11 €</v>
      </c>
      <c t="str" s="13" r="Y24">
        <f t="shared" si="9"/>
        <v>-165 497,95 €</v>
      </c>
      <c t="str" s="13" r="Z24">
        <f t="shared" si="9"/>
        <v>-215 148,53 €</v>
      </c>
      <c t="str" s="13" r="AA24">
        <f t="shared" si="9"/>
        <v>-246 842,99 €</v>
      </c>
      <c t="str" s="13" r="AB24">
        <f t="shared" si="9"/>
        <v>-283 950,99 €</v>
      </c>
      <c t="str" s="13" r="AC24">
        <f t="shared" si="9"/>
        <v>-285 399,04 €</v>
      </c>
      <c t="str" s="13" r="AD24">
        <f t="shared" si="9"/>
        <v>-286 850,40 €</v>
      </c>
      <c t="str" s="13" r="AE24">
        <f t="shared" si="9"/>
        <v>-288 305,05 €</v>
      </c>
      <c t="str" s="13" r="AF24">
        <f t="shared" si="9"/>
        <v>-289 763,00 €</v>
      </c>
      <c t="str" s="13" r="AG24">
        <f t="shared" si="9"/>
        <v>-291 224,25 €</v>
      </c>
      <c t="str" s="13" r="AH24">
        <f t="shared" si="9"/>
        <v>-292 688,80 €</v>
      </c>
      <c t="str" s="13" r="AI24">
        <f t="shared" si="9"/>
        <v>-294 156,66 €</v>
      </c>
      <c t="str" s="13" r="AJ24">
        <f t="shared" si="9"/>
        <v>-295 627,81 €</v>
      </c>
      <c t="str" s="13" r="AK24">
        <f t="shared" si="9"/>
        <v>-297 102,26 €</v>
      </c>
      <c t="str" s="13" r="AL24">
        <f t="shared" si="9"/>
        <v>-352 805,40 €</v>
      </c>
      <c t="str" s="13" r="AM24">
        <f t="shared" si="9"/>
        <v>-354 822,11 €</v>
      </c>
      <c t="str" s="13" r="AN24">
        <f t="shared" si="9"/>
        <v>-356 843,76 €</v>
      </c>
      <c t="str" s="13" r="AO24">
        <f t="shared" si="9"/>
        <v>-358 870,37 €</v>
      </c>
      <c t="str" s="13" r="AP24">
        <f t="shared" si="9"/>
        <v>-360 901,92 €</v>
      </c>
      <c t="str" s="13" r="AQ24">
        <f t="shared" si="9"/>
        <v>-362 938,42 €</v>
      </c>
      <c t="str" s="13" r="AR24">
        <f t="shared" si="9"/>
        <v>-364 979,88 €</v>
      </c>
      <c t="str" s="13" r="AS24">
        <f t="shared" si="9"/>
        <v>-367 026,28 €</v>
      </c>
      <c t="str" s="13" r="AT24">
        <f t="shared" si="9"/>
        <v>-369 077,64 €</v>
      </c>
      <c t="str" s="13" r="AU24">
        <f t="shared" si="9"/>
        <v>-371 133,94 €</v>
      </c>
      <c t="str" s="13" r="AV24">
        <f t="shared" si="9"/>
        <v>-379 195,20 €</v>
      </c>
      <c t="str" s="13" r="AW24">
        <f t="shared" si="9"/>
        <v>-384 261,40 €</v>
      </c>
      <c t="str" s="13" r="AX24">
        <f t="shared" si="9"/>
        <v>-4 707 553,82 €</v>
      </c>
      <c s="13" r="AY24"/>
      <c s="13" r="AZ24"/>
      <c s="13" r="BA24"/>
      <c s="13" r="BB24"/>
    </row>
    <row r="25">
      <c t="s" s="118" r="A25">
        <v>180</v>
      </c>
      <c t="str" s="119" r="B25">
        <f ref="B25:AX25" t="shared" si="10">B18+B24</f>
        <v>443,00 €</v>
      </c>
      <c t="str" s="119" r="C25">
        <f t="shared" si="10"/>
        <v>653,33 €</v>
      </c>
      <c t="str" s="119" r="D25">
        <f t="shared" si="10"/>
        <v>653,33 €</v>
      </c>
      <c t="str" s="119" r="E25">
        <f t="shared" si="10"/>
        <v>653,33 €</v>
      </c>
      <c t="str" s="119" r="F25">
        <f t="shared" si="10"/>
        <v>653,33 €</v>
      </c>
      <c t="str" s="119" r="G25">
        <f t="shared" si="10"/>
        <v>653,33 €</v>
      </c>
      <c t="str" s="13" r="H25">
        <f t="shared" si="10"/>
        <v>653,33 €</v>
      </c>
      <c t="str" s="13" r="I25">
        <f t="shared" si="10"/>
        <v>653,33 €</v>
      </c>
      <c t="str" s="13" r="J25">
        <f t="shared" si="10"/>
        <v>653,33 €</v>
      </c>
      <c t="str" s="13" r="K25">
        <f t="shared" si="10"/>
        <v>653,33 €</v>
      </c>
      <c t="str" s="13" r="L25">
        <f t="shared" si="10"/>
        <v>14 692,67 €</v>
      </c>
      <c t="str" s="13" r="M25">
        <f t="shared" si="10"/>
        <v>22 459,00 €</v>
      </c>
      <c t="str" s="13" r="N25">
        <f t="shared" si="10"/>
        <v>60 670,67 €</v>
      </c>
      <c t="str" s="13" r="O25">
        <f t="shared" si="10"/>
        <v>17 596,67 €</v>
      </c>
      <c t="str" s="13" r="P25">
        <f t="shared" si="10"/>
        <v>18 343,33 €</v>
      </c>
      <c t="str" s="13" r="Q25">
        <f t="shared" si="10"/>
        <v>86 728,67 €</v>
      </c>
      <c t="str" s="13" r="R25">
        <f t="shared" si="10"/>
        <v>27 071,67 €</v>
      </c>
      <c t="str" s="13" r="S25">
        <f t="shared" si="10"/>
        <v>28 191,67 €</v>
      </c>
      <c t="str" s="13" r="T25">
        <f t="shared" si="10"/>
        <v>114 082,65 €</v>
      </c>
      <c t="str" s="13" r="U25">
        <f t="shared" si="10"/>
        <v>30 654,83 €</v>
      </c>
      <c t="str" s="13" r="V25">
        <f t="shared" si="10"/>
        <v>32 019,88 €</v>
      </c>
      <c t="str" s="13" r="W25">
        <f t="shared" si="10"/>
        <v>146 124,43 €</v>
      </c>
      <c t="str" s="13" r="X25">
        <f t="shared" si="10"/>
        <v>34 472,48 €</v>
      </c>
      <c t="str" s="13" r="Y25">
        <f t="shared" si="10"/>
        <v>120 419,46 €</v>
      </c>
      <c t="str" s="13" r="Z25">
        <f t="shared" si="10"/>
        <v>182 477,45 €</v>
      </c>
      <c t="str" s="13" r="AA25">
        <f t="shared" si="10"/>
        <v>209 095,89 €</v>
      </c>
      <c t="str" s="13" r="AB25">
        <f t="shared" si="10"/>
        <v>239 884,97 €</v>
      </c>
      <c t="str" s="13" r="AC25">
        <f t="shared" si="10"/>
        <v>242 397,70 €</v>
      </c>
      <c t="str" s="13" r="AD25">
        <f t="shared" si="10"/>
        <v>244 932,83 €</v>
      </c>
      <c t="str" s="13" r="AE25">
        <f t="shared" si="10"/>
        <v>247 490,35 €</v>
      </c>
      <c t="str" s="13" r="AF25">
        <f t="shared" si="10"/>
        <v>250 070,28 €</v>
      </c>
      <c t="str" s="13" r="AG25">
        <f t="shared" si="10"/>
        <v>252 672,61 €</v>
      </c>
      <c t="str" s="13" r="AH25">
        <f t="shared" si="10"/>
        <v>255 297,34 €</v>
      </c>
      <c t="str" s="13" r="AI25">
        <f t="shared" si="10"/>
        <v>257 944,47 €</v>
      </c>
      <c t="str" s="13" r="AJ25">
        <f t="shared" si="10"/>
        <v>260 613,99 €</v>
      </c>
      <c t="str" s="13" r="AK25">
        <f t="shared" si="10"/>
        <v>263 305,92 €</v>
      </c>
      <c t="str" s="13" r="AL25">
        <f t="shared" si="10"/>
        <v>318 971,09 €</v>
      </c>
      <c t="str" s="13" r="AM25">
        <f t="shared" si="10"/>
        <v>323 251,89 €</v>
      </c>
      <c t="str" s="13" r="AN25">
        <f t="shared" si="10"/>
        <v>327 566,28 €</v>
      </c>
      <c t="str" s="13" r="AO25">
        <f t="shared" si="10"/>
        <v>331 914,28 €</v>
      </c>
      <c t="str" s="13" r="AP25">
        <f t="shared" si="10"/>
        <v>336 295,88 €</v>
      </c>
      <c t="str" s="13" r="AQ25">
        <f t="shared" si="10"/>
        <v>340 711,08 €</v>
      </c>
      <c t="str" s="13" r="AR25">
        <f t="shared" si="10"/>
        <v>345 159,88 €</v>
      </c>
      <c t="str" s="13" r="AS25">
        <f t="shared" si="10"/>
        <v>349 642,28 €</v>
      </c>
      <c t="str" s="13" r="AT25">
        <f t="shared" si="10"/>
        <v>354 158,28 €</v>
      </c>
      <c t="str" s="13" r="AU25">
        <f t="shared" si="10"/>
        <v>358 707,88 €</v>
      </c>
      <c t="str" s="13" r="AV25">
        <f t="shared" si="10"/>
        <v>357 291,08 €</v>
      </c>
      <c t="str" s="13" r="AW25">
        <f t="shared" si="10"/>
        <v>358 907,88 €</v>
      </c>
      <c t="str" s="13" r="AX25">
        <f t="shared" si="10"/>
        <v>4 944 133,49 €</v>
      </c>
      <c s="13" r="AY25"/>
      <c s="13" r="AZ25"/>
      <c s="13" r="BA25"/>
      <c s="13" r="BB25"/>
    </row>
    <row r="26">
      <c t="s" s="120" r="A26">
        <v>181</v>
      </c>
      <c t="str" s="121" r="B26">
        <f>-'Cout de marketing et des ventes'!E8</f>
        <v>-3 056,81 €</v>
      </c>
      <c t="str" s="121" r="C26">
        <f>-'Cout de marketing et des ventes'!F8</f>
        <v>-2 081,00 €</v>
      </c>
      <c t="str" s="121" r="D26">
        <f>-'Cout de marketing et des ventes'!G8</f>
        <v>-24 947,07 €</v>
      </c>
      <c t="str" s="121" r="E26">
        <f>-'Cout de marketing et des ventes'!H8</f>
        <v>-29 209,27 €</v>
      </c>
      <c t="str" s="121" r="F26">
        <f>-'Cout de marketing et des ventes'!I8</f>
        <v>-3 335,63 €</v>
      </c>
      <c t="str" s="121" r="G26">
        <f>-'Cout de marketing et des ventes'!J8</f>
        <v>-5 139,70 €</v>
      </c>
      <c t="str" s="121" r="H26">
        <f>-'Cout de marketing et des ventes'!K8</f>
        <v>-5 324,00 €</v>
      </c>
      <c t="str" s="121" r="I26">
        <f>-'Cout de marketing et des ventes'!L8</f>
        <v>-5 324,00 €</v>
      </c>
      <c t="str" s="121" r="J26">
        <f>-'Cout de marketing et des ventes'!M8</f>
        <v>-5 324,00 €</v>
      </c>
      <c t="str" s="121" r="K26">
        <f>-'Cout de marketing et des ventes'!N8</f>
        <v>-7 700,00 €</v>
      </c>
      <c t="str" s="121" r="L26">
        <f>-'Cout de marketing et des ventes'!O8</f>
        <v>-5 500,00 €</v>
      </c>
      <c t="str" s="121" r="M26">
        <f>-'Cout de marketing et des ventes'!P8</f>
        <v>-5 500,00 €</v>
      </c>
      <c t="str" s="121" r="N26">
        <f>-'Cout de marketing et des ventes'!Q8</f>
        <v>-11 572,75 €</v>
      </c>
      <c t="str" s="121" r="O26">
        <f>-'Cout de marketing et des ventes'!R8</f>
        <v>-5 324,00 €</v>
      </c>
      <c t="str" s="121" r="P26">
        <f>-'Cout de marketing et des ventes'!S8</f>
        <v>-5 324,00 €</v>
      </c>
      <c t="str" s="121" r="Q26">
        <f>-'Cout de marketing et des ventes'!T8</f>
        <v>-24 655,67 €</v>
      </c>
      <c t="str" s="121" r="R26">
        <f>-'Cout de marketing et des ventes'!U8</f>
        <v>-5 324,00 €</v>
      </c>
      <c t="str" s="121" r="S26">
        <f>-'Cout de marketing et des ventes'!V8</f>
        <v>-5 324,00 €</v>
      </c>
      <c t="str" s="121" r="T26">
        <f>-'Cout de marketing et des ventes'!W8</f>
        <v>-17 938,58 €</v>
      </c>
      <c t="str" s="121" r="U26">
        <f>-'Cout de marketing et des ventes'!X8</f>
        <v>-5 324,00 €</v>
      </c>
      <c t="str" s="121" r="V26">
        <f>-'Cout de marketing et des ventes'!Y8</f>
        <v>-5 324,00 €</v>
      </c>
      <c t="str" s="121" r="W26">
        <f>-'Cout de marketing et des ventes'!Z8</f>
        <v>-30 209,76 €</v>
      </c>
      <c t="str" s="121" r="X26">
        <f>-'Cout de marketing et des ventes'!AA8</f>
        <v>-7 524,00 €</v>
      </c>
      <c t="str" s="121" r="Y26">
        <f>-'Cout de marketing et des ventes'!AB8</f>
        <v>-15 738,58 €</v>
      </c>
      <c t="str" s="121" r="Z26">
        <f>-'Cout de marketing et des ventes'!AC8</f>
        <v>-19 210,11 €</v>
      </c>
      <c t="str" s="121" r="AA26">
        <f>-'Cout de marketing et des ventes'!AD8</f>
        <v>-20 945,88 €</v>
      </c>
      <c t="str" s="121" r="AB26">
        <f>-'Cout de marketing et des ventes'!AE8</f>
        <v>-24 070,25 €</v>
      </c>
      <c t="str" s="121" r="AC26">
        <f>-'Cout de marketing et des ventes'!AF8</f>
        <v>-24 070,25 €</v>
      </c>
      <c t="str" s="121" r="AD26">
        <f>-'Cout de marketing et des ventes'!AG8</f>
        <v>-26 270,25 €</v>
      </c>
      <c t="str" s="121" r="AE26">
        <f>-'Cout de marketing et des ventes'!AH8</f>
        <v>-24 070,25 €</v>
      </c>
      <c t="str" s="121" r="AF26">
        <f>-'Cout de marketing et des ventes'!AI8</f>
        <v>-24 070,25 €</v>
      </c>
      <c t="str" s="121" r="AG26">
        <f>-'Cout de marketing et des ventes'!AJ8</f>
        <v>-35 070,25 €</v>
      </c>
      <c t="str" s="121" r="AH26">
        <f>-'Cout de marketing et des ventes'!AK8</f>
        <v>-24 070,25 €</v>
      </c>
      <c t="str" s="121" r="AI26">
        <f>-'Cout de marketing et des ventes'!AL8</f>
        <v>-24 070,25 €</v>
      </c>
      <c t="str" s="121" r="AJ26">
        <f>-'Cout de marketing et des ventes'!AM8</f>
        <v>-24 070,25 €</v>
      </c>
      <c t="str" s="121" r="AK26">
        <f>-'Cout de marketing et des ventes'!AN8</f>
        <v>-26 270,25 €</v>
      </c>
      <c t="str" s="121" r="AL26">
        <f>-'Cout de marketing et des ventes'!AO8</f>
        <v>-26 153,17 €</v>
      </c>
      <c t="str" s="121" r="AM26">
        <f>-'Cout de marketing et des ventes'!AP8</f>
        <v>-37 153,17 €</v>
      </c>
      <c t="str" s="121" r="AN26">
        <f>-'Cout de marketing et des ventes'!AQ8</f>
        <v>-26 153,17 €</v>
      </c>
      <c t="str" s="121" r="AO26">
        <f>-'Cout de marketing et des ventes'!AR8</f>
        <v>-37 153,17 €</v>
      </c>
      <c t="str" s="121" r="AP26">
        <f>-'Cout de marketing et des ventes'!AS8</f>
        <v>-37 153,17 €</v>
      </c>
      <c t="str" s="121" r="AQ26">
        <f>-'Cout de marketing et des ventes'!AT8</f>
        <v>-26 153,17 €</v>
      </c>
      <c t="str" s="121" r="AR26">
        <f>-'Cout de marketing et des ventes'!AU8</f>
        <v>-26 153,17 €</v>
      </c>
      <c t="str" s="121" r="AS26">
        <f>-'Cout de marketing et des ventes'!AV8</f>
        <v>-37 153,17 €</v>
      </c>
      <c t="str" s="121" r="AT26">
        <f>-'Cout de marketing et des ventes'!AW8</f>
        <v>-28 353,17 €</v>
      </c>
      <c t="str" s="121" r="AU26">
        <f>-'Cout de marketing et des ventes'!AX8</f>
        <v>-26 153,17 €</v>
      </c>
      <c t="str" s="121" r="AV26">
        <f>-'Cout de marketing et des ventes'!AY8</f>
        <v>-37 153,17 €</v>
      </c>
      <c t="str" s="121" r="AW26">
        <f>-'Cout de marketing et des ventes'!AZ8</f>
        <v>-26 153,17 €</v>
      </c>
      <c t="str" s="121" r="AX26">
        <f>-'Cout de marketing et des ventes'!BA8</f>
        <v>-378 458,76 €</v>
      </c>
      <c s="121" r="AY26"/>
      <c s="121" r="AZ26"/>
      <c s="121" r="BA26"/>
      <c s="121" r="BB26"/>
    </row>
    <row r="27">
      <c t="s" s="122" r="A27">
        <v>182</v>
      </c>
      <c t="str" s="123" r="B27">
        <f>-'Couts administratifs, SAV, fina'!E22</f>
        <v>-14 660,07 €</v>
      </c>
      <c t="str" s="123" r="C27">
        <f>-'Couts administratifs, SAV, fina'!F22</f>
        <v>-7 159,18 €</v>
      </c>
      <c t="str" s="123" r="D27">
        <f>-'Couts administratifs, SAV, fina'!G22</f>
        <v>-11 739,34 €</v>
      </c>
      <c t="str" s="123" r="E27">
        <f>-'Couts administratifs, SAV, fina'!H22</f>
        <v>-9 203,63 €</v>
      </c>
      <c t="str" s="123" r="F27">
        <f>-'Couts administratifs, SAV, fina'!I22</f>
        <v>-6 150,92 €</v>
      </c>
      <c t="str" s="123" r="G27">
        <f>-'Couts administratifs, SAV, fina'!J22</f>
        <v>-47 085,28 €</v>
      </c>
      <c t="str" s="123" r="H27">
        <f>-'Couts administratifs, SAV, fina'!K22</f>
        <v>-20 393,30 €</v>
      </c>
      <c t="str" s="123" r="I27">
        <f>-'Couts administratifs, SAV, fina'!L22</f>
        <v>-11 495,00 €</v>
      </c>
      <c t="str" s="123" r="J27">
        <f>-'Couts administratifs, SAV, fina'!M22</f>
        <v>-20 554,87 €</v>
      </c>
      <c t="str" s="123" r="K27">
        <f>-'Couts administratifs, SAV, fina'!N22</f>
        <v>-24 654,87 €</v>
      </c>
      <c t="str" s="123" r="L27">
        <f>-'Couts administratifs, SAV, fina'!O22</f>
        <v>-24 102,01 €</v>
      </c>
      <c t="str" s="123" r="M27">
        <f>-'Couts administratifs, SAV, fina'!P22</f>
        <v>-33 933,59 €</v>
      </c>
      <c t="str" s="123" r="N27">
        <f>-'Couts administratifs, SAV, fina'!Q22</f>
        <v>-26 521,84 €</v>
      </c>
      <c t="str" s="123" r="O27">
        <f>-'Couts administratifs, SAV, fina'!R22</f>
        <v>-30 195,45 €</v>
      </c>
      <c t="str" s="123" r="P27">
        <f>-'Couts administratifs, SAV, fina'!S22</f>
        <v>-33 985,45 €</v>
      </c>
      <c t="str" s="123" r="Q27">
        <f>-'Couts administratifs, SAV, fina'!T22</f>
        <v>-37 829,89 €</v>
      </c>
      <c t="str" s="123" r="R27">
        <f>-'Couts administratifs, SAV, fina'!U22</f>
        <v>-37 663,82 €</v>
      </c>
      <c t="str" s="123" r="S27">
        <f>-'Couts administratifs, SAV, fina'!V22</f>
        <v>-42 663,82 €</v>
      </c>
      <c t="str" s="123" r="T27">
        <f>-'Couts administratifs, SAV, fina'!W22</f>
        <v>-48 792,04 €</v>
      </c>
      <c t="str" s="123" r="U27">
        <f>-'Couts administratifs, SAV, fina'!X22</f>
        <v>-37 809,16 €</v>
      </c>
      <c t="str" s="123" r="V27">
        <f>-'Couts administratifs, SAV, fina'!Y22</f>
        <v>-42 531,82 €</v>
      </c>
      <c t="str" s="123" r="W27">
        <f>-'Couts administratifs, SAV, fina'!Z22</f>
        <v>-50 678,35 €</v>
      </c>
      <c t="str" s="123" r="X27">
        <f>-'Couts administratifs, SAV, fina'!AA22</f>
        <v>-42 677,16 €</v>
      </c>
      <c t="str" s="123" r="Y27">
        <f>-'Couts administratifs, SAV, fina'!AB22</f>
        <v>-55 048,57 €</v>
      </c>
      <c t="str" s="123" r="Z27">
        <f>-'Couts administratifs, SAV, fina'!AC22</f>
        <v>-83 230,60 €</v>
      </c>
      <c t="str" s="123" r="AA27">
        <f>-'Couts administratifs, SAV, fina'!AD22</f>
        <v>-92 743,11 €</v>
      </c>
      <c t="str" s="123" r="AB27">
        <f>-'Couts administratifs, SAV, fina'!AE22</f>
        <v>-96 005,11 €</v>
      </c>
      <c t="str" s="123" r="AC27">
        <f>-'Couts administratifs, SAV, fina'!AF22</f>
        <v>-99 150,44 €</v>
      </c>
      <c t="str" s="123" r="AD27">
        <f>-'Couts administratifs, SAV, fina'!AG22</f>
        <v>-94 295,78 €</v>
      </c>
      <c t="str" s="123" r="AE27">
        <f>-'Couts administratifs, SAV, fina'!AH22</f>
        <v>-94 441,11 €</v>
      </c>
      <c t="str" s="123" r="AF27">
        <f>-'Couts administratifs, SAV, fina'!AI22</f>
        <v>-99 586,44 €</v>
      </c>
      <c t="str" s="123" r="AG27">
        <f>-'Couts administratifs, SAV, fina'!AJ22</f>
        <v>-94 731,78 €</v>
      </c>
      <c t="str" s="123" r="AH27">
        <f>-'Couts administratifs, SAV, fina'!AK22</f>
        <v>-94 877,11 €</v>
      </c>
      <c t="str" s="123" r="AI27">
        <f>-'Couts administratifs, SAV, fina'!AL22</f>
        <v>-95 022,44 €</v>
      </c>
      <c t="str" s="123" r="AJ27">
        <f>-'Couts administratifs, SAV, fina'!AM22</f>
        <v>-95 167,78 €</v>
      </c>
      <c t="str" s="123" r="AK27">
        <f>-'Couts administratifs, SAV, fina'!AN22</f>
        <v>-97 813,11 €</v>
      </c>
      <c t="str" s="123" r="AL27">
        <f>-'Couts administratifs, SAV, fina'!AO22</f>
        <v>-116 328,52 €</v>
      </c>
      <c t="str" s="123" r="AM27">
        <f>-'Couts administratifs, SAV, fina'!AP22</f>
        <v>-122 266,52 €</v>
      </c>
      <c t="str" s="123" r="AN27">
        <f>-'Couts administratifs, SAV, fina'!AQ22</f>
        <v>-119 784,52 €</v>
      </c>
      <c t="str" s="123" r="AO27">
        <f>-'Couts administratifs, SAV, fina'!AR22</f>
        <v>-117 702,52 €</v>
      </c>
      <c t="str" s="123" r="AP27">
        <f>-'Couts administratifs, SAV, fina'!AS22</f>
        <v>-117 220,52 €</v>
      </c>
      <c t="str" s="123" r="AQ27">
        <f>-'Couts administratifs, SAV, fina'!AT22</f>
        <v>-117 438,52 €</v>
      </c>
      <c t="str" s="123" r="AR27">
        <f>-'Couts administratifs, SAV, fina'!AU22</f>
        <v>-117 656,52 €</v>
      </c>
      <c t="str" s="123" r="AS27">
        <f>-'Couts administratifs, SAV, fina'!AV22</f>
        <v>-117 874,52 €</v>
      </c>
      <c t="str" s="123" r="AT27">
        <f>-'Couts administratifs, SAV, fina'!AW22</f>
        <v>-118 092,52 €</v>
      </c>
      <c t="str" s="123" r="AU27">
        <f>-'Couts administratifs, SAV, fina'!AX22</f>
        <v>-118 310,52 €</v>
      </c>
      <c t="str" s="123" r="AV27">
        <f>-'Couts administratifs, SAV, fina'!AY22</f>
        <v>-123 528,52 €</v>
      </c>
      <c t="str" s="123" r="AW27">
        <f>-'Couts administratifs, SAV, fina'!AZ22</f>
        <v>-126 546,52 €</v>
      </c>
      <c t="str" s="123" r="AX27">
        <f>-'Couts administratifs, SAV, fina'!BA22</f>
        <v>-1 461 405,26 €</v>
      </c>
      <c s="121" r="AY27"/>
      <c s="121" r="AZ27"/>
      <c s="121" r="BA27"/>
      <c s="121" r="BB27"/>
    </row>
    <row r="28">
      <c t="s" s="8" r="A28">
        <v>183</v>
      </c>
      <c t="str" s="117" r="B28">
        <f>'Hypothèses'!$F$54*B9</f>
        <v>0,00 €</v>
      </c>
      <c t="str" s="117" r="C28">
        <f>'Hypothèses'!$F$54*C9</f>
        <v>0,00 €</v>
      </c>
      <c t="str" s="117" r="D28">
        <f>'Hypothèses'!$F$54*D9</f>
        <v>0,00 €</v>
      </c>
      <c t="str" s="117" r="E28">
        <f>'Hypothèses'!$F$54*E9</f>
        <v>0,00 €</v>
      </c>
      <c t="str" s="117" r="F28">
        <f>'Hypothèses'!$F$54*F9</f>
        <v>0,00 €</v>
      </c>
      <c t="str" s="117" r="G28">
        <f>'Hypothèses'!$F$54*G9</f>
        <v>0,00 €</v>
      </c>
      <c t="str" s="10" r="H28">
        <f>'Hypothèses'!$F$54*H9</f>
        <v>0,00 €</v>
      </c>
      <c t="str" s="10" r="I28">
        <f>'Hypothèses'!$F$54*I9</f>
        <v>0,00 €</v>
      </c>
      <c t="str" s="10" r="J28">
        <f>'Hypothèses'!$F$54*J9</f>
        <v>0,00 €</v>
      </c>
      <c t="str" s="10" r="K28">
        <f>'Hypothèses'!$F$54*(K9-0.29)</f>
        <v>130,81 €</v>
      </c>
      <c t="str" s="10" r="L28">
        <f>'Hypothèses'!$F$54*L9</f>
        <v>-541,28 €</v>
      </c>
      <c t="str" s="10" r="M28">
        <f>'Hypothèses'!$F$54*M9</f>
        <v>-1 353,21 €</v>
      </c>
      <c t="str" s="10" r="N28">
        <f>'Hypothèses'!$F$54*N9</f>
        <v>-1 623,85 €</v>
      </c>
      <c t="str" s="10" r="O28">
        <f>'Hypothèses'!$F$54*O9</f>
        <v>-2 165,14 €</v>
      </c>
      <c t="str" s="10" r="P28">
        <f>'Hypothèses'!$F$54*P9</f>
        <v>-2 706,42 €</v>
      </c>
      <c t="str" s="10" r="Q28">
        <f>'Hypothèses'!$F$54*Q9</f>
        <v>-3 247,71 €</v>
      </c>
      <c t="str" s="10" r="R28">
        <f>'Hypothèses'!$F$54*R9</f>
        <v>-4 059,64 €</v>
      </c>
      <c t="str" s="10" r="S28">
        <f>'Hypothèses'!$F$54*S9</f>
        <v>-4 871,56 €</v>
      </c>
      <c t="str" s="10" r="T28">
        <f>'Hypothèses'!$F$54*T9</f>
        <v>-5 691,61 €</v>
      </c>
      <c t="str" s="10" r="U28">
        <f>'Hypothèses'!$F$54*U9</f>
        <v>-6 519,77 €</v>
      </c>
      <c t="str" s="10" r="V28">
        <f>'Hypothèses'!$F$54*V9</f>
        <v>-7 356,06 €</v>
      </c>
      <c t="str" s="10" r="W28">
        <f>'Hypothèses'!$F$54*W9</f>
        <v>-8 200,46 €</v>
      </c>
      <c t="str" s="10" r="X28">
        <f>'Hypothèses'!$F$54*X9</f>
        <v>-9 052,99 €</v>
      </c>
      <c t="str" s="10" r="Y28">
        <f>'Hypothèses'!$F$54*Y9</f>
        <v>-9 913,63 €</v>
      </c>
      <c t="str" s="10" r="Z28">
        <f>'Hypothèses'!$F$54*Z9</f>
        <v>-11 361,57 €</v>
      </c>
      <c t="str" s="10" r="AA28">
        <f>'Hypothèses'!$F$54*AA9</f>
        <v>-13 115,33 €</v>
      </c>
      <c t="str" s="10" r="AB28">
        <f>'Hypothèses'!$F$54*AB9</f>
        <v>-14 885,33 €</v>
      </c>
      <c t="str" s="10" r="AC28">
        <f>'Hypothèses'!$F$54*AC9</f>
        <v>-16 671,57 €</v>
      </c>
      <c t="str" s="10" r="AD28">
        <f>'Hypothèses'!$F$54*AD9</f>
        <v>-18 474,05 €</v>
      </c>
      <c t="str" s="10" r="AE28">
        <f>'Hypothèses'!$F$54*AE9</f>
        <v>-20 292,76 €</v>
      </c>
      <c t="str" s="10" r="AF28">
        <f>'Hypothèses'!$F$54*AF9</f>
        <v>-22 127,72 €</v>
      </c>
      <c t="str" s="10" r="AG28">
        <f>'Hypothèses'!$F$54*AG9</f>
        <v>-23 978,91 €</v>
      </c>
      <c t="str" s="10" r="AH28">
        <f>'Hypothèses'!$F$54*AH9</f>
        <v>-25 846,35 €</v>
      </c>
      <c t="str" s="10" r="AI28">
        <f>'Hypothèses'!$F$54*AI9</f>
        <v>-27 730,02 €</v>
      </c>
      <c t="str" s="10" r="AJ28">
        <f>'Hypothèses'!$F$54*AJ9</f>
        <v>-29 629,93 €</v>
      </c>
      <c t="str" s="10" r="AK28">
        <f>'Hypothèses'!$F$54*AK9</f>
        <v>-31 546,07 €</v>
      </c>
      <c t="str" s="10" r="AL28">
        <f>'Hypothèses'!$F$54*AL9</f>
        <v>-34 444,65 €</v>
      </c>
      <c t="str" s="10" r="AM28">
        <f>'Hypothèses'!$F$54*AM9</f>
        <v>-37 367,59 €</v>
      </c>
      <c t="str" s="10" r="AN28">
        <f>'Hypothèses'!$F$54*AN9</f>
        <v>-40 314,89 €</v>
      </c>
      <c t="str" s="10" r="AO28">
        <f>'Hypothèses'!$F$54*AO9</f>
        <v>-43 286,54 €</v>
      </c>
      <c t="str" s="10" r="AP28">
        <f>'Hypothèses'!$F$54*AP9</f>
        <v>-46 282,55 €</v>
      </c>
      <c t="str" s="10" r="AQ28">
        <f>'Hypothèses'!$F$54*AQ9</f>
        <v>-49 302,92 €</v>
      </c>
      <c t="str" s="10" r="AR28">
        <f>'Hypothèses'!$F$54*AR9</f>
        <v>-52 347,65 €</v>
      </c>
      <c t="str" s="10" r="AS28">
        <f>'Hypothèses'!$F$54*AS9</f>
        <v>-55 416,73 €</v>
      </c>
      <c t="str" s="10" r="AT28">
        <f>'Hypothèses'!$F$54*AT9</f>
        <v>-58 510,17 €</v>
      </c>
      <c t="str" s="10" r="AU28">
        <f>'Hypothèses'!$F$54*AU9</f>
        <v>-61 627,97 €</v>
      </c>
      <c t="str" s="10" r="AV28">
        <f>'Hypothèses'!$F$54*AV9</f>
        <v>-64 770,13 €</v>
      </c>
      <c t="str" s="10" r="AW28">
        <f>'Hypothèses'!$F$54*AW9</f>
        <v>-67 936,65 €</v>
      </c>
      <c t="str" s="10" r="AX28">
        <f>'Hypothèses'!$F$54*12*AX9</f>
        <v>-1 271 218,02 €</v>
      </c>
      <c s="10" r="AY28"/>
      <c s="10" r="AZ28"/>
      <c s="10" r="BA28"/>
      <c s="10" r="BB28"/>
    </row>
    <row r="29">
      <c t="s" s="118" r="A29">
        <v>184</v>
      </c>
      <c t="str" s="119" r="B29">
        <f ref="B29:AX29" t="shared" si="11">SUM(B25:B28)</f>
        <v>-17 273,88 €</v>
      </c>
      <c t="str" s="119" r="C29">
        <f t="shared" si="11"/>
        <v>-8 586,85 €</v>
      </c>
      <c t="str" s="119" r="D29">
        <f t="shared" si="11"/>
        <v>-36 033,08 €</v>
      </c>
      <c t="str" s="119" r="E29">
        <f t="shared" si="11"/>
        <v>-37 759,57 €</v>
      </c>
      <c t="str" s="119" r="F29">
        <f t="shared" si="11"/>
        <v>-8 833,22 €</v>
      </c>
      <c t="str" s="119" r="G29">
        <f t="shared" si="11"/>
        <v>-51 571,65 €</v>
      </c>
      <c t="str" s="13" r="H29">
        <f t="shared" si="11"/>
        <v>-25 063,96 €</v>
      </c>
      <c t="str" s="13" r="I29">
        <f t="shared" si="11"/>
        <v>-16 165,67 €</v>
      </c>
      <c t="str" s="13" r="J29">
        <f t="shared" si="11"/>
        <v>-25 225,53 €</v>
      </c>
      <c t="str" s="13" r="K29">
        <f t="shared" si="11"/>
        <v>-31 570,72 €</v>
      </c>
      <c t="str" s="13" r="L29">
        <f t="shared" si="11"/>
        <v>-15 450,63 €</v>
      </c>
      <c t="str" s="13" r="M29">
        <f t="shared" si="11"/>
        <v>-18 327,80 €</v>
      </c>
      <c t="str" s="13" r="N29">
        <f t="shared" si="11"/>
        <v>20 952,22 €</v>
      </c>
      <c t="str" s="13" r="O29">
        <f t="shared" si="11"/>
        <v>-20 087,93 €</v>
      </c>
      <c t="str" s="13" r="P29">
        <f t="shared" si="11"/>
        <v>-23 672,54 €</v>
      </c>
      <c t="str" s="13" r="Q29">
        <f t="shared" si="11"/>
        <v>20 995,40 €</v>
      </c>
      <c t="str" s="13" r="R29">
        <f t="shared" si="11"/>
        <v>-19 975,79 €</v>
      </c>
      <c t="str" s="13" r="S29">
        <f t="shared" si="11"/>
        <v>-24 667,72 €</v>
      </c>
      <c t="str" s="13" r="T29">
        <f t="shared" si="11"/>
        <v>41 660,42 €</v>
      </c>
      <c t="str" s="13" r="U29">
        <f t="shared" si="11"/>
        <v>-18 998,10 €</v>
      </c>
      <c t="str" s="13" r="V29">
        <f t="shared" si="11"/>
        <v>-23 192,00 €</v>
      </c>
      <c t="str" s="13" r="W29">
        <f t="shared" si="11"/>
        <v>57 035,85 €</v>
      </c>
      <c t="str" s="13" r="X29">
        <f t="shared" si="11"/>
        <v>-24 781,66 €</v>
      </c>
      <c t="str" s="13" r="Y29">
        <f t="shared" si="11"/>
        <v>39 718,68 €</v>
      </c>
      <c t="str" s="13" r="Z29">
        <f t="shared" si="11"/>
        <v>68 675,18 €</v>
      </c>
      <c t="str" s="13" r="AA29">
        <f t="shared" si="11"/>
        <v>82 291,57 €</v>
      </c>
      <c t="str" s="13" r="AB29">
        <f t="shared" si="11"/>
        <v>104 924,28 €</v>
      </c>
      <c t="str" s="13" r="AC29">
        <f t="shared" si="11"/>
        <v>102 505,43 €</v>
      </c>
      <c t="str" s="13" r="AD29">
        <f t="shared" si="11"/>
        <v>105 892,75 €</v>
      </c>
      <c t="str" s="13" r="AE29">
        <f t="shared" si="11"/>
        <v>108 686,23 €</v>
      </c>
      <c t="str" s="13" r="AF29">
        <f t="shared" si="11"/>
        <v>104 285,87 €</v>
      </c>
      <c t="str" s="13" r="AG29">
        <f t="shared" si="11"/>
        <v>98 891,67 €</v>
      </c>
      <c t="str" s="13" r="AH29">
        <f t="shared" si="11"/>
        <v>110 503,63 €</v>
      </c>
      <c t="str" s="13" r="AI29">
        <f t="shared" si="11"/>
        <v>111 121,76 €</v>
      </c>
      <c t="str" s="13" r="AJ29">
        <f t="shared" si="11"/>
        <v>111 746,04 €</v>
      </c>
      <c t="str" s="13" r="AK29">
        <f t="shared" si="11"/>
        <v>107 676,49 €</v>
      </c>
      <c t="str" s="13" r="AL29">
        <f t="shared" si="11"/>
        <v>142 044,74 €</v>
      </c>
      <c t="str" s="13" r="AM29">
        <f t="shared" si="11"/>
        <v>126 464,61 €</v>
      </c>
      <c t="str" s="13" r="AN29">
        <f t="shared" si="11"/>
        <v>141 313,71 €</v>
      </c>
      <c t="str" s="13" r="AO29">
        <f t="shared" si="11"/>
        <v>133 772,05 €</v>
      </c>
      <c t="str" s="13" r="AP29">
        <f t="shared" si="11"/>
        <v>135 639,64 €</v>
      </c>
      <c t="str" s="13" r="AQ29">
        <f t="shared" si="11"/>
        <v>147 816,47 €</v>
      </c>
      <c t="str" s="13" r="AR29">
        <f t="shared" si="11"/>
        <v>149 002,55 €</v>
      </c>
      <c t="str" s="13" r="AS29">
        <f t="shared" si="11"/>
        <v>139 197,86 €</v>
      </c>
      <c t="str" s="13" r="AT29">
        <f t="shared" si="11"/>
        <v>149 202,42 €</v>
      </c>
      <c t="str" s="13" r="AU29">
        <f t="shared" si="11"/>
        <v>152 616,22 €</v>
      </c>
      <c t="str" s="13" r="AV29">
        <f t="shared" si="11"/>
        <v>131 839,26 €</v>
      </c>
      <c t="str" s="13" r="AW29">
        <f t="shared" si="11"/>
        <v>138 271,54 €</v>
      </c>
      <c t="str" s="13" r="AX29">
        <f t="shared" si="11"/>
        <v>1 833 051,46 €</v>
      </c>
      <c s="13" r="AY29"/>
      <c s="13" r="AZ29"/>
      <c s="13" r="BA29"/>
      <c s="13" r="BB29"/>
    </row>
    <row r="30">
      <c t="s" s="124" r="A30">
        <v>185</v>
      </c>
      <c s="125" r="B30"/>
      <c s="125" r="C30"/>
      <c s="125" r="D30"/>
      <c s="125" r="E30"/>
      <c s="125" r="F30"/>
      <c s="125" r="G30"/>
      <c s="126" r="H30"/>
      <c s="126" r="I30"/>
      <c s="126" r="J30"/>
      <c s="126" r="K30"/>
      <c s="126" r="L30"/>
      <c t="str" s="126" r="M30">
        <f>-IF((SUM(B29:M29)&lt;0),0,(SUM(B29:M29)*'Hypothèses'!$D$50))</f>
        <v>0,00 €</v>
      </c>
      <c s="126" r="N30"/>
      <c s="126" r="O30"/>
      <c s="126" r="P30"/>
      <c s="126" r="Q30"/>
      <c s="126" r="R30"/>
      <c s="126" r="S30"/>
      <c s="126" r="T30"/>
      <c s="126" r="U30"/>
      <c s="126" r="V30"/>
      <c s="126" r="W30"/>
      <c s="126" r="X30"/>
      <c t="str" s="126" r="Y30">
        <f>-IF((SUM(B29:Y29)&lt;0),0,((SUM(N29:Y29)+sum(B29:M29))*'Hypothèses'!$D$50))</f>
        <v>0,00 €</v>
      </c>
      <c s="126" r="Z30"/>
      <c s="126" r="AA30"/>
      <c s="126" r="AB30"/>
      <c s="126" r="AC30"/>
      <c s="126" r="AD30"/>
      <c s="126" r="AE30"/>
      <c s="126" r="AF30"/>
      <c s="126" r="AG30"/>
      <c s="126" r="AH30"/>
      <c s="126" r="AI30"/>
      <c s="126" r="AJ30"/>
      <c t="str" s="126" r="AK30">
        <f>-IF((SUM(Z29:AK29)&lt;0),0,(SUM(Z29:AK29)*'Hypothèses'!$D$50))</f>
        <v>-401 676,30 €</v>
      </c>
      <c s="126" r="AL30"/>
      <c s="126" r="AM30"/>
      <c s="126" r="AN30"/>
      <c s="126" r="AO30"/>
      <c s="126" r="AP30"/>
      <c s="126" r="AQ30"/>
      <c s="126" r="AR30"/>
      <c s="126" r="AS30"/>
      <c s="126" r="AT30"/>
      <c s="126" r="AU30"/>
      <c s="126" r="AV30"/>
      <c t="str" s="126" r="AW30">
        <f>-IF((SUM(AL29:AW29)&lt;0),0,(SUM(AL29:AW29)*'Hypothèses'!$D$50))</f>
        <v>-556 769,75 €</v>
      </c>
      <c t="str" s="126" r="AX30">
        <f>-IF((SUM(AX29)&lt;0),0,(SUM(AX29)*'Hypothèses'!$D$50))</f>
        <v>-604 906,98 €</v>
      </c>
    </row>
    <row r="31">
      <c t="s" s="118" r="A31">
        <v>186</v>
      </c>
      <c t="str" s="119" r="B31">
        <f ref="B31:AX31" t="shared" si="12">SUM(B29:B30)</f>
        <v>-17 273,88 €</v>
      </c>
      <c t="str" s="119" r="C31">
        <f t="shared" si="12"/>
        <v>-8 586,85 €</v>
      </c>
      <c t="str" s="119" r="D31">
        <f t="shared" si="12"/>
        <v>-36 033,08 €</v>
      </c>
      <c t="str" s="119" r="E31">
        <f t="shared" si="12"/>
        <v>-37 759,57 €</v>
      </c>
      <c t="str" s="119" r="F31">
        <f t="shared" si="12"/>
        <v>-8 833,22 €</v>
      </c>
      <c t="str" s="119" r="G31">
        <f t="shared" si="12"/>
        <v>-51 571,65 €</v>
      </c>
      <c t="str" s="13" r="H31">
        <f t="shared" si="12"/>
        <v>-25 063,96 €</v>
      </c>
      <c t="str" s="13" r="I31">
        <f t="shared" si="12"/>
        <v>-16 165,67 €</v>
      </c>
      <c t="str" s="13" r="J31">
        <f t="shared" si="12"/>
        <v>-25 225,53 €</v>
      </c>
      <c t="str" s="13" r="K31">
        <f t="shared" si="12"/>
        <v>-31 570,72 €</v>
      </c>
      <c t="str" s="13" r="L31">
        <f t="shared" si="12"/>
        <v>-15 450,63 €</v>
      </c>
      <c t="str" s="13" r="M31">
        <f t="shared" si="12"/>
        <v>-18 327,80 €</v>
      </c>
      <c t="str" s="13" r="N31">
        <f t="shared" si="12"/>
        <v>20 952,22 €</v>
      </c>
      <c t="str" s="13" r="O31">
        <f t="shared" si="12"/>
        <v>-20 087,93 €</v>
      </c>
      <c t="str" s="13" r="P31">
        <f t="shared" si="12"/>
        <v>-23 672,54 €</v>
      </c>
      <c t="str" s="13" r="Q31">
        <f t="shared" si="12"/>
        <v>20 995,40 €</v>
      </c>
      <c t="str" s="13" r="R31">
        <f t="shared" si="12"/>
        <v>-19 975,79 €</v>
      </c>
      <c t="str" s="13" r="S31">
        <f t="shared" si="12"/>
        <v>-24 667,72 €</v>
      </c>
      <c t="str" s="13" r="T31">
        <f t="shared" si="12"/>
        <v>41 660,42 €</v>
      </c>
      <c t="str" s="13" r="U31">
        <f t="shared" si="12"/>
        <v>-18 998,10 €</v>
      </c>
      <c t="str" s="13" r="V31">
        <f t="shared" si="12"/>
        <v>-23 192,00 €</v>
      </c>
      <c t="str" s="13" r="W31">
        <f t="shared" si="12"/>
        <v>57 035,85 €</v>
      </c>
      <c t="str" s="13" r="X31">
        <f t="shared" si="12"/>
        <v>-24 781,66 €</v>
      </c>
      <c t="str" s="13" r="Y31">
        <f t="shared" si="12"/>
        <v>39 718,68 €</v>
      </c>
      <c t="str" s="13" r="Z31">
        <f t="shared" si="12"/>
        <v>68 675,18 €</v>
      </c>
      <c t="str" s="13" r="AA31">
        <f t="shared" si="12"/>
        <v>82 291,57 €</v>
      </c>
      <c t="str" s="13" r="AB31">
        <f t="shared" si="12"/>
        <v>104 924,28 €</v>
      </c>
      <c t="str" s="13" r="AC31">
        <f t="shared" si="12"/>
        <v>102 505,43 €</v>
      </c>
      <c t="str" s="13" r="AD31">
        <f t="shared" si="12"/>
        <v>105 892,75 €</v>
      </c>
      <c t="str" s="13" r="AE31">
        <f t="shared" si="12"/>
        <v>108 686,23 €</v>
      </c>
      <c t="str" s="13" r="AF31">
        <f t="shared" si="12"/>
        <v>104 285,87 €</v>
      </c>
      <c t="str" s="13" r="AG31">
        <f t="shared" si="12"/>
        <v>98 891,67 €</v>
      </c>
      <c t="str" s="13" r="AH31">
        <f t="shared" si="12"/>
        <v>110 503,63 €</v>
      </c>
      <c t="str" s="13" r="AI31">
        <f t="shared" si="12"/>
        <v>111 121,76 €</v>
      </c>
      <c t="str" s="13" r="AJ31">
        <f t="shared" si="12"/>
        <v>111 746,04 €</v>
      </c>
      <c t="str" s="13" r="AK31">
        <f t="shared" si="12"/>
        <v>-293 999,81 €</v>
      </c>
      <c t="str" s="13" r="AL31">
        <f t="shared" si="12"/>
        <v>142 044,74 €</v>
      </c>
      <c t="str" s="13" r="AM31">
        <f t="shared" si="12"/>
        <v>126 464,61 €</v>
      </c>
      <c t="str" s="13" r="AN31">
        <f t="shared" si="12"/>
        <v>141 313,71 €</v>
      </c>
      <c t="str" s="13" r="AO31">
        <f t="shared" si="12"/>
        <v>133 772,05 €</v>
      </c>
      <c t="str" s="13" r="AP31">
        <f t="shared" si="12"/>
        <v>135 639,64 €</v>
      </c>
      <c t="str" s="13" r="AQ31">
        <f t="shared" si="12"/>
        <v>147 816,47 €</v>
      </c>
      <c t="str" s="13" r="AR31">
        <f t="shared" si="12"/>
        <v>149 002,55 €</v>
      </c>
      <c t="str" s="13" r="AS31">
        <f t="shared" si="12"/>
        <v>139 197,86 €</v>
      </c>
      <c t="str" s="13" r="AT31">
        <f t="shared" si="12"/>
        <v>149 202,42 €</v>
      </c>
      <c t="str" s="13" r="AU31">
        <f t="shared" si="12"/>
        <v>152 616,22 €</v>
      </c>
      <c t="str" s="13" r="AV31">
        <f t="shared" si="12"/>
        <v>131 839,26 €</v>
      </c>
      <c t="str" s="13" r="AW31">
        <f t="shared" si="12"/>
        <v>-418 498,21 €</v>
      </c>
      <c t="str" s="13" r="AX31">
        <f t="shared" si="12"/>
        <v>1 228 144,48 €</v>
      </c>
      <c s="13" r="AY31"/>
      <c s="13" r="AZ31"/>
      <c s="13" r="BA31"/>
      <c s="13" r="BB31"/>
    </row>
    <row r="32">
      <c s="103" r="B32"/>
      <c s="103" r="C32"/>
      <c s="103" r="D32"/>
      <c s="103" r="E32"/>
      <c s="103" r="F32"/>
      <c s="103" r="G32"/>
    </row>
    <row r="33">
      <c t="s" s="124" r="A33">
        <v>187</v>
      </c>
      <c t="str" s="125" r="B33">
        <f>-'Hypothèses'!$C$25*C$3</f>
        <v>0,00 €</v>
      </c>
      <c t="str" s="125" r="C33">
        <f>-'Hypothèses'!$C$25*D$3</f>
        <v>0,00 €</v>
      </c>
      <c t="str" s="125" r="D33">
        <f>-'Hypothèses'!$C$25*E$3</f>
        <v>0,00 €</v>
      </c>
      <c t="str" s="125" r="E33">
        <f>-'Hypothèses'!$C$25*F$3</f>
        <v>0,00 €</v>
      </c>
      <c t="str" s="125" r="F33">
        <f>-'Hypothèses'!$C$25*G$3</f>
        <v>0,00 €</v>
      </c>
      <c t="str" s="125" r="G33">
        <f>-'Hypothèses'!$C$25*H$3</f>
        <v>0,00 €</v>
      </c>
      <c t="str" s="126" r="H33">
        <f>-'Hypothèses'!$C$25*I$3</f>
        <v>0,00 €</v>
      </c>
      <c t="str" s="126" r="I33">
        <f>-'Hypothèses'!$C$25*J$3</f>
        <v>0,00 €</v>
      </c>
      <c t="str" s="126" r="J33">
        <f>-'Hypothèses'!$C$25*K$3</f>
        <v>0,00 €</v>
      </c>
      <c t="str" s="126" r="K33">
        <f>-'Hypothèses'!$C$25*L$3</f>
        <v>0,00 €</v>
      </c>
      <c t="str" s="126" r="L33">
        <f>-'Hypothèses'!$C$25*M$3</f>
        <v>0,00 €</v>
      </c>
      <c t="str" s="126" r="M33">
        <f>-'Hypothèses'!$C$25*N$3</f>
        <v>0,00 €</v>
      </c>
      <c t="str" s="126" r="N33">
        <f>-'Hypothèses'!$D$25*O$3</f>
        <v>0,00 €</v>
      </c>
      <c t="str" s="126" r="O33">
        <f>-'Hypothèses'!$D$25*P$3</f>
        <v>0,00 €</v>
      </c>
      <c t="str" s="126" r="P33">
        <f>-'Hypothèses'!$D$25*Q$3</f>
        <v>0,00 €</v>
      </c>
      <c t="str" s="126" r="Q33">
        <f>-'Hypothèses'!$D$25*R$3</f>
        <v>0,00 €</v>
      </c>
      <c t="str" s="126" r="R33">
        <f>-'Hypothèses'!$D$25*S$3</f>
        <v>0,00 €</v>
      </c>
      <c t="str" s="126" r="S33">
        <f>-'Hypothèses'!$D$25*T$3</f>
        <v>0,00 €</v>
      </c>
      <c t="str" s="126" r="T33">
        <f>-'Hypothèses'!$D$25*U$3</f>
        <v>0,00 €</v>
      </c>
      <c t="str" s="126" r="U33">
        <f>-'Hypothèses'!$D$25*V$3</f>
        <v>0,00 €</v>
      </c>
      <c t="str" s="126" r="V33">
        <f>-'Hypothèses'!$D$25*W$3</f>
        <v>0,00 €</v>
      </c>
      <c t="str" s="126" r="W33">
        <f>-'Hypothèses'!$D$25*X$3</f>
        <v>0,00 €</v>
      </c>
      <c t="str" s="126" r="X33">
        <f>-'Hypothèses'!$D$25*Y$3</f>
        <v>0,00 €</v>
      </c>
      <c t="str" s="126" r="Y33">
        <f>-'Hypothèses'!$D$25*Z$3</f>
        <v>0,00 €</v>
      </c>
      <c t="str" s="126" r="Z33">
        <f>-'Hypothèses'!$E$25*AA$3</f>
        <v>0,00 €</v>
      </c>
      <c t="str" s="126" r="AA33">
        <f>-'Hypothèses'!$E$25*AB$3</f>
        <v>0,00 €</v>
      </c>
      <c t="str" s="126" r="AB33">
        <f>-'Hypothèses'!$E$25*AC$3</f>
        <v>0,00 €</v>
      </c>
      <c t="str" s="126" r="AC33">
        <f>-'Hypothèses'!$E$25*AD$3</f>
        <v>0,00 €</v>
      </c>
      <c t="str" s="126" r="AD33">
        <f>-'Hypothèses'!$E$25*AE$3</f>
        <v>0,00 €</v>
      </c>
      <c t="str" s="126" r="AE33">
        <f>-'Hypothèses'!$E$25*AF$3</f>
        <v>0,00 €</v>
      </c>
      <c t="str" s="126" r="AF33">
        <f>-'Hypothèses'!$E$25*AG$3</f>
        <v>0,00 €</v>
      </c>
      <c t="str" s="126" r="AG33">
        <f>-'Hypothèses'!$E$25*AH$3</f>
        <v>0,00 €</v>
      </c>
      <c t="str" s="126" r="AH33">
        <f>-'Hypothèses'!$E$25*AI$3</f>
        <v>0,00 €</v>
      </c>
      <c t="str" s="126" r="AI33">
        <f>-'Hypothèses'!$E$25*AJ$3</f>
        <v>0,00 €</v>
      </c>
      <c t="str" s="126" r="AJ33">
        <f>-'Hypothèses'!$E$25*AK$3</f>
        <v>0,00 €</v>
      </c>
      <c t="str" s="126" r="AK33">
        <f>-'Hypothèses'!$E$25*AL$3</f>
        <v>0,00 €</v>
      </c>
      <c t="str" s="126" r="AL33">
        <f>-'Hypothèses'!$F$25*AM$3</f>
        <v>0,00 €</v>
      </c>
      <c t="str" s="126" r="AM33">
        <f>-'Hypothèses'!$F$25*AN$3</f>
        <v>0,00 €</v>
      </c>
      <c t="str" s="126" r="AN33">
        <f>-'Hypothèses'!$F$25*AO$3</f>
        <v>0,00 €</v>
      </c>
      <c t="str" s="126" r="AO33">
        <f>-'Hypothèses'!$F$25*AP$3</f>
        <v>0,00 €</v>
      </c>
      <c t="str" s="126" r="AP33">
        <f>-'Hypothèses'!$F$25*AQ$3</f>
        <v>0,00 €</v>
      </c>
      <c t="str" s="126" r="AQ33">
        <f>-'Hypothèses'!$F$25*AR$3</f>
        <v>0,00 €</v>
      </c>
      <c t="str" s="126" r="AR33">
        <f>-'Hypothèses'!$F$25*AS$3</f>
        <v>0,00 €</v>
      </c>
      <c t="str" s="126" r="AS33">
        <f>-'Hypothèses'!$F$25*AT$3</f>
        <v>0,00 €</v>
      </c>
      <c t="str" s="126" r="AT33">
        <f>-'Hypothèses'!$F$25*AU$3</f>
        <v>0,00 €</v>
      </c>
      <c t="str" s="126" r="AU33">
        <f>-'Hypothèses'!$F$25*AV$3</f>
        <v>0,00 €</v>
      </c>
      <c t="str" s="126" r="AV33">
        <f>-'Hypothèses'!$F$25*AW$3</f>
        <v>0,00 €</v>
      </c>
      <c t="str" s="126" r="AW33">
        <f>-'Hypothèses'!$F$25*AX$3</f>
        <v>0,00 €</v>
      </c>
      <c t="str" s="126" r="AX33">
        <f>-'Hypothèses'!$G$25*AY$3</f>
        <v>0,00 €</v>
      </c>
    </row>
    <row r="34">
      <c t="s" s="8" r="A34">
        <v>188</v>
      </c>
      <c s="117" r="B34"/>
      <c t="str" s="117" r="C34">
        <f ref="C34:AW34" t="shared" si="13">C37-B37</f>
        <v>485,00 €</v>
      </c>
      <c t="str" s="117" r="D34">
        <f t="shared" si="13"/>
        <v>0,00 €</v>
      </c>
      <c t="str" s="117" r="E34">
        <f t="shared" si="13"/>
        <v>0,00 €</v>
      </c>
      <c t="str" s="117" r="F34">
        <f t="shared" si="13"/>
        <v>0,00 €</v>
      </c>
      <c t="str" s="117" r="G34">
        <f t="shared" si="13"/>
        <v>0,00 €</v>
      </c>
      <c t="str" s="10" r="H34">
        <f t="shared" si="13"/>
        <v>0,00 €</v>
      </c>
      <c t="str" s="10" r="I34">
        <f t="shared" si="13"/>
        <v>0,00 €</v>
      </c>
      <c t="str" s="10" r="J34">
        <f t="shared" si="13"/>
        <v>0,00 €</v>
      </c>
      <c t="str" s="10" r="K34">
        <f t="shared" si="13"/>
        <v>0,00 €</v>
      </c>
      <c t="str" s="10" r="L34">
        <f t="shared" si="13"/>
        <v>-22 110,00 €</v>
      </c>
      <c t="str" s="10" r="M34">
        <f t="shared" si="13"/>
        <v>-11 165,00 €</v>
      </c>
      <c t="str" s="10" r="N34">
        <f t="shared" si="13"/>
        <v>-54 873,00 €</v>
      </c>
      <c t="str" s="10" r="O34">
        <f t="shared" si="13"/>
        <v>66 347,00 €</v>
      </c>
      <c t="str" s="10" r="P34">
        <f t="shared" si="13"/>
        <v>-110,00 €</v>
      </c>
      <c t="str" s="10" r="Q34">
        <f t="shared" si="13"/>
        <v>-103 070,00 €</v>
      </c>
      <c t="str" s="10" r="R34">
        <f t="shared" si="13"/>
        <v>91 977,00 €</v>
      </c>
      <c t="str" s="10" r="S34">
        <f t="shared" si="13"/>
        <v>-165,00 €</v>
      </c>
      <c t="str" s="10" r="T34">
        <f t="shared" si="13"/>
        <v>-129 184,59 €</v>
      </c>
      <c t="str" s="10" r="U34">
        <f t="shared" si="13"/>
        <v>127 938,76 €</v>
      </c>
      <c t="str" s="10" r="V34">
        <f t="shared" si="13"/>
        <v>-487,89 €</v>
      </c>
      <c t="str" s="10" r="W34">
        <f t="shared" si="13"/>
        <v>-172 085,25 €</v>
      </c>
      <c t="str" s="10" r="X34">
        <f t="shared" si="13"/>
        <v>170 737,86 €</v>
      </c>
      <c t="str" s="10" r="Y34">
        <f t="shared" si="13"/>
        <v>-129 192,84 €</v>
      </c>
      <c t="str" s="10" r="Z34">
        <f t="shared" si="13"/>
        <v>-49 650,58 €</v>
      </c>
      <c t="str" s="10" r="AA34">
        <f t="shared" si="13"/>
        <v>-31 694,46 €</v>
      </c>
      <c t="str" s="10" r="AB34">
        <f t="shared" si="13"/>
        <v>-37 108,00 €</v>
      </c>
      <c t="str" s="10" r="AC34">
        <f t="shared" si="13"/>
        <v>-1 448,05 €</v>
      </c>
      <c t="str" s="10" r="AD34">
        <f t="shared" si="13"/>
        <v>-1 451,35 €</v>
      </c>
      <c t="str" s="10" r="AE34">
        <f t="shared" si="13"/>
        <v>-1 454,65 €</v>
      </c>
      <c t="str" s="10" r="AF34">
        <f t="shared" si="13"/>
        <v>-1 457,95 €</v>
      </c>
      <c t="str" s="10" r="AG34">
        <f t="shared" si="13"/>
        <v>-1 461,25 €</v>
      </c>
      <c t="str" s="10" r="AH34">
        <f t="shared" si="13"/>
        <v>-1 464,55 €</v>
      </c>
      <c t="str" s="10" r="AI34">
        <f t="shared" si="13"/>
        <v>-1 467,85 €</v>
      </c>
      <c t="str" s="10" r="AJ34">
        <f t="shared" si="13"/>
        <v>-1 471,15 €</v>
      </c>
      <c t="str" s="10" r="AK34">
        <f t="shared" si="13"/>
        <v>-1 474,45 €</v>
      </c>
      <c t="str" s="10" r="AL34">
        <f t="shared" si="13"/>
        <v>-55 703,14 €</v>
      </c>
      <c t="str" s="10" r="AM34">
        <f t="shared" si="13"/>
        <v>-2 016,70 €</v>
      </c>
      <c t="str" s="10" r="AN34">
        <f t="shared" si="13"/>
        <v>-2 021,65 €</v>
      </c>
      <c t="str" s="10" r="AO34">
        <f t="shared" si="13"/>
        <v>-2 026,60 €</v>
      </c>
      <c t="str" s="10" r="AP34">
        <f t="shared" si="13"/>
        <v>-2 031,55 €</v>
      </c>
      <c t="str" s="10" r="AQ34">
        <f t="shared" si="13"/>
        <v>-2 036,50 €</v>
      </c>
      <c t="str" s="10" r="AR34">
        <f t="shared" si="13"/>
        <v>-2 041,45 €</v>
      </c>
      <c t="str" s="10" r="AS34">
        <f t="shared" si="13"/>
        <v>-2 046,40 €</v>
      </c>
      <c t="str" s="10" r="AT34">
        <f t="shared" si="13"/>
        <v>-2 051,35 €</v>
      </c>
      <c t="str" s="10" r="AU34">
        <f t="shared" si="13"/>
        <v>-2 056,30 €</v>
      </c>
      <c t="str" s="10" r="AV34">
        <f t="shared" si="13"/>
        <v>-8 061,25 €</v>
      </c>
      <c t="str" s="10" r="AW34">
        <f t="shared" si="13"/>
        <v>-5 066,20 €</v>
      </c>
      <c t="str" s="10" r="AX34">
        <f>AX37-sum(AL37:AW37)</f>
        <v>-324 697,50 €</v>
      </c>
      <c s="10" r="AY34"/>
      <c s="10" r="AZ34"/>
      <c s="10" r="BA34"/>
      <c s="10" r="BB34"/>
    </row>
    <row r="35">
      <c t="s" s="118" r="A35">
        <v>189</v>
      </c>
      <c t="str" s="119" r="B35">
        <f ref="B35:AX35" t="shared" si="14">SUM(B31:B34)</f>
        <v>-17 273,88 €</v>
      </c>
      <c t="str" s="119" r="C35">
        <f t="shared" si="14"/>
        <v>-8 101,85 €</v>
      </c>
      <c t="str" s="119" r="D35">
        <f t="shared" si="14"/>
        <v>-36 033,08 €</v>
      </c>
      <c t="str" s="119" r="E35">
        <f t="shared" si="14"/>
        <v>-37 759,57 €</v>
      </c>
      <c t="str" s="119" r="F35">
        <f t="shared" si="14"/>
        <v>-8 833,22 €</v>
      </c>
      <c t="str" s="119" r="G35">
        <f t="shared" si="14"/>
        <v>-51 571,65 €</v>
      </c>
      <c t="str" s="13" r="H35">
        <f t="shared" si="14"/>
        <v>-25 063,96 €</v>
      </c>
      <c t="str" s="13" r="I35">
        <f t="shared" si="14"/>
        <v>-16 165,67 €</v>
      </c>
      <c t="str" s="13" r="J35">
        <f t="shared" si="14"/>
        <v>-25 225,53 €</v>
      </c>
      <c t="str" s="13" r="K35">
        <f t="shared" si="14"/>
        <v>-31 570,72 €</v>
      </c>
      <c t="str" s="13" r="L35">
        <f t="shared" si="14"/>
        <v>-37 560,63 €</v>
      </c>
      <c t="str" s="13" r="M35">
        <f t="shared" si="14"/>
        <v>-29 492,80 €</v>
      </c>
      <c t="str" s="13" r="N35">
        <f t="shared" si="14"/>
        <v>-33 920,78 €</v>
      </c>
      <c t="str" s="13" r="O35">
        <f t="shared" si="14"/>
        <v>46 259,07 €</v>
      </c>
      <c t="str" s="13" r="P35">
        <f t="shared" si="14"/>
        <v>-23 782,54 €</v>
      </c>
      <c t="str" s="13" r="Q35">
        <f t="shared" si="14"/>
        <v>-82 074,60 €</v>
      </c>
      <c t="str" s="13" r="R35">
        <f t="shared" si="14"/>
        <v>72 001,21 €</v>
      </c>
      <c t="str" s="13" r="S35">
        <f t="shared" si="14"/>
        <v>-24 832,72 €</v>
      </c>
      <c t="str" s="13" r="T35">
        <f t="shared" si="14"/>
        <v>-87 524,17 €</v>
      </c>
      <c t="str" s="13" r="U35">
        <f t="shared" si="14"/>
        <v>108 940,66 €</v>
      </c>
      <c t="str" s="13" r="V35">
        <f t="shared" si="14"/>
        <v>-23 679,89 €</v>
      </c>
      <c t="str" s="13" r="W35">
        <f t="shared" si="14"/>
        <v>-115 049,40 €</v>
      </c>
      <c t="str" s="13" r="X35">
        <f t="shared" si="14"/>
        <v>145 956,20 €</v>
      </c>
      <c t="str" s="13" r="Y35">
        <f t="shared" si="14"/>
        <v>-89 474,16 €</v>
      </c>
      <c t="str" s="13" r="Z35">
        <f t="shared" si="14"/>
        <v>19 024,60 €</v>
      </c>
      <c t="str" s="13" r="AA35">
        <f t="shared" si="14"/>
        <v>50 597,11 €</v>
      </c>
      <c t="str" s="13" r="AB35">
        <f t="shared" si="14"/>
        <v>67 816,28 €</v>
      </c>
      <c t="str" s="13" r="AC35">
        <f t="shared" si="14"/>
        <v>101 057,38 €</v>
      </c>
      <c t="str" s="13" r="AD35">
        <f t="shared" si="14"/>
        <v>104 441,40 €</v>
      </c>
      <c t="str" s="13" r="AE35">
        <f t="shared" si="14"/>
        <v>107 231,58 €</v>
      </c>
      <c t="str" s="13" r="AF35">
        <f t="shared" si="14"/>
        <v>102 827,92 €</v>
      </c>
      <c t="str" s="13" r="AG35">
        <f t="shared" si="14"/>
        <v>97 430,42 €</v>
      </c>
      <c t="str" s="13" r="AH35">
        <f t="shared" si="14"/>
        <v>109 039,08 €</v>
      </c>
      <c t="str" s="13" r="AI35">
        <f t="shared" si="14"/>
        <v>109 653,90 €</v>
      </c>
      <c t="str" s="13" r="AJ35">
        <f t="shared" si="14"/>
        <v>110 274,89 €</v>
      </c>
      <c t="str" s="13" r="AK35">
        <f t="shared" si="14"/>
        <v>-295 474,26 €</v>
      </c>
      <c t="str" s="13" r="AL35">
        <f t="shared" si="14"/>
        <v>86 341,60 €</v>
      </c>
      <c t="str" s="13" r="AM35">
        <f t="shared" si="14"/>
        <v>124 447,90 €</v>
      </c>
      <c t="str" s="13" r="AN35">
        <f t="shared" si="14"/>
        <v>139 292,05 €</v>
      </c>
      <c t="str" s="13" r="AO35">
        <f t="shared" si="14"/>
        <v>131 745,45 €</v>
      </c>
      <c t="str" s="13" r="AP35">
        <f t="shared" si="14"/>
        <v>133 608,09 €</v>
      </c>
      <c t="str" s="13" r="AQ35">
        <f t="shared" si="14"/>
        <v>145 779,97 €</v>
      </c>
      <c t="str" s="13" r="AR35">
        <f t="shared" si="14"/>
        <v>146 961,09 €</v>
      </c>
      <c t="str" s="13" r="AS35">
        <f t="shared" si="14"/>
        <v>137 151,46 €</v>
      </c>
      <c t="str" s="13" r="AT35">
        <f t="shared" si="14"/>
        <v>147 151,06 €</v>
      </c>
      <c t="str" s="13" r="AU35">
        <f t="shared" si="14"/>
        <v>150 559,91 €</v>
      </c>
      <c t="str" s="13" r="AV35">
        <f t="shared" si="14"/>
        <v>123 778,00 €</v>
      </c>
      <c t="str" s="13" r="AW35">
        <f t="shared" si="14"/>
        <v>-423 564,42 €</v>
      </c>
      <c t="str" s="13" r="AX35">
        <f t="shared" si="14"/>
        <v>903 446,98 €</v>
      </c>
      <c s="13" r="AY35"/>
      <c s="13" r="AZ35"/>
      <c s="13" r="BA35"/>
      <c s="13" r="BB35"/>
    </row>
    <row r="36">
      <c s="103" r="B36"/>
      <c s="103" r="C36"/>
      <c s="103" r="D36"/>
      <c s="103" r="E36"/>
      <c s="103" r="F36"/>
      <c s="103" r="G36"/>
    </row>
    <row r="37">
      <c t="s" s="16" r="A37">
        <v>190</v>
      </c>
      <c t="str" s="103" r="B37">
        <f ref="B37:AX37" t="shared" si="15">B24</f>
        <v>-540,00 €</v>
      </c>
      <c t="str" s="103" r="C37">
        <f t="shared" si="15"/>
        <v>-55,00 €</v>
      </c>
      <c t="str" s="103" r="D37">
        <f t="shared" si="15"/>
        <v>-55,00 €</v>
      </c>
      <c t="str" s="103" r="E37">
        <f t="shared" si="15"/>
        <v>-55,00 €</v>
      </c>
      <c t="str" s="103" r="F37">
        <f t="shared" si="15"/>
        <v>-55,00 €</v>
      </c>
      <c t="str" s="103" r="G37">
        <f t="shared" si="15"/>
        <v>-55,00 €</v>
      </c>
      <c t="str" s="17" r="H37">
        <f t="shared" si="15"/>
        <v>-55,00 €</v>
      </c>
      <c t="str" s="17" r="I37">
        <f t="shared" si="15"/>
        <v>-55,00 €</v>
      </c>
      <c t="str" s="17" r="J37">
        <f t="shared" si="15"/>
        <v>-55,00 €</v>
      </c>
      <c t="str" s="17" r="K37">
        <f t="shared" si="15"/>
        <v>-55,00 €</v>
      </c>
      <c t="str" s="17" r="L37">
        <f t="shared" si="15"/>
        <v>-22 165,00 €</v>
      </c>
      <c t="str" s="17" r="M37">
        <f t="shared" si="15"/>
        <v>-33 330,00 €</v>
      </c>
      <c t="str" s="17" r="N37">
        <f t="shared" si="15"/>
        <v>-88 203,00 €</v>
      </c>
      <c t="str" s="17" r="O37">
        <f t="shared" si="15"/>
        <v>-21 856,00 €</v>
      </c>
      <c t="str" s="17" r="P37">
        <f t="shared" si="15"/>
        <v>-21 966,00 €</v>
      </c>
      <c t="str" s="17" r="Q37">
        <f t="shared" si="15"/>
        <v>-125 036,00 €</v>
      </c>
      <c t="str" s="17" r="R37">
        <f t="shared" si="15"/>
        <v>-33 059,00 €</v>
      </c>
      <c t="str" s="17" r="S37">
        <f t="shared" si="15"/>
        <v>-33 224,00 €</v>
      </c>
      <c t="str" s="17" r="T37">
        <f t="shared" si="15"/>
        <v>-162 408,59 €</v>
      </c>
      <c t="str" s="17" r="U37">
        <f t="shared" si="15"/>
        <v>-34 469,83 €</v>
      </c>
      <c t="str" s="17" r="V37">
        <f t="shared" si="15"/>
        <v>-34 957,72 €</v>
      </c>
      <c t="str" s="17" r="W37">
        <f t="shared" si="15"/>
        <v>-207 042,97 €</v>
      </c>
      <c t="str" s="17" r="X37">
        <f t="shared" si="15"/>
        <v>-36 305,11 €</v>
      </c>
      <c t="str" s="17" r="Y37">
        <f t="shared" si="15"/>
        <v>-165 497,95 €</v>
      </c>
      <c t="str" s="17" r="Z37">
        <f t="shared" si="15"/>
        <v>-215 148,53 €</v>
      </c>
      <c t="str" s="17" r="AA37">
        <f t="shared" si="15"/>
        <v>-246 842,99 €</v>
      </c>
      <c t="str" s="17" r="AB37">
        <f t="shared" si="15"/>
        <v>-283 950,99 €</v>
      </c>
      <c t="str" s="17" r="AC37">
        <f t="shared" si="15"/>
        <v>-285 399,04 €</v>
      </c>
      <c t="str" s="17" r="AD37">
        <f t="shared" si="15"/>
        <v>-286 850,40 €</v>
      </c>
      <c t="str" s="17" r="AE37">
        <f t="shared" si="15"/>
        <v>-288 305,05 €</v>
      </c>
      <c t="str" s="17" r="AF37">
        <f t="shared" si="15"/>
        <v>-289 763,00 €</v>
      </c>
      <c t="str" s="17" r="AG37">
        <f t="shared" si="15"/>
        <v>-291 224,25 €</v>
      </c>
      <c t="str" s="17" r="AH37">
        <f t="shared" si="15"/>
        <v>-292 688,80 €</v>
      </c>
      <c t="str" s="17" r="AI37">
        <f t="shared" si="15"/>
        <v>-294 156,66 €</v>
      </c>
      <c t="str" s="17" r="AJ37">
        <f t="shared" si="15"/>
        <v>-295 627,81 €</v>
      </c>
      <c t="str" s="17" r="AK37">
        <f t="shared" si="15"/>
        <v>-297 102,26 €</v>
      </c>
      <c t="str" s="17" r="AL37">
        <f t="shared" si="15"/>
        <v>-352 805,40 €</v>
      </c>
      <c t="str" s="17" r="AM37">
        <f t="shared" si="15"/>
        <v>-354 822,11 €</v>
      </c>
      <c t="str" s="17" r="AN37">
        <f t="shared" si="15"/>
        <v>-356 843,76 €</v>
      </c>
      <c t="str" s="17" r="AO37">
        <f t="shared" si="15"/>
        <v>-358 870,37 €</v>
      </c>
      <c t="str" s="17" r="AP37">
        <f t="shared" si="15"/>
        <v>-360 901,92 €</v>
      </c>
      <c t="str" s="17" r="AQ37">
        <f t="shared" si="15"/>
        <v>-362 938,42 €</v>
      </c>
      <c t="str" s="17" r="AR37">
        <f t="shared" si="15"/>
        <v>-364 979,88 €</v>
      </c>
      <c t="str" s="17" r="AS37">
        <f t="shared" si="15"/>
        <v>-367 026,28 €</v>
      </c>
      <c t="str" s="17" r="AT37">
        <f t="shared" si="15"/>
        <v>-369 077,64 €</v>
      </c>
      <c t="str" s="17" r="AU37">
        <f t="shared" si="15"/>
        <v>-371 133,94 €</v>
      </c>
      <c t="str" s="17" r="AV37">
        <f t="shared" si="15"/>
        <v>-379 195,20 €</v>
      </c>
      <c t="str" s="17" r="AW37">
        <f t="shared" si="15"/>
        <v>-384 261,40 €</v>
      </c>
      <c t="str" s="17" r="AX37">
        <f t="shared" si="15"/>
        <v>-4 707 553,82 €</v>
      </c>
    </row>
    <row r="38">
      <c s="103" r="B38"/>
      <c s="103" r="C38"/>
      <c s="103" r="D38"/>
      <c s="103" r="E38"/>
      <c s="103" r="F38"/>
      <c s="103" r="G38"/>
    </row>
    <row r="39">
      <c s="16" r="A39"/>
      <c s="103" r="B39"/>
      <c s="103" r="C39"/>
      <c s="103" r="D39"/>
      <c s="103" r="E39"/>
      <c s="103" r="F39"/>
      <c s="103" r="G39"/>
    </row>
    <row r="40">
      <c s="16" r="A40"/>
      <c s="103" r="B40"/>
      <c s="103" r="C40"/>
      <c s="103" r="D40"/>
      <c s="103" r="E40"/>
      <c s="103" r="F40"/>
      <c s="103" r="G40"/>
    </row>
    <row r="41">
      <c s="16" r="A41"/>
      <c s="103" r="B41"/>
      <c s="103" r="C41"/>
      <c s="103" r="D41"/>
      <c s="103" r="E41"/>
      <c s="103" r="F41"/>
      <c s="103" r="G41"/>
    </row>
    <row r="42">
      <c s="16" r="A42"/>
      <c s="103" r="B42"/>
      <c s="103" r="C42"/>
      <c s="103" r="D42"/>
      <c s="103" r="E42"/>
      <c s="103" r="F42"/>
      <c s="103" r="G42"/>
    </row>
    <row r="43">
      <c s="103" r="B43"/>
      <c s="103" r="C43"/>
      <c s="103" r="D43"/>
      <c s="103" r="E43"/>
      <c s="103" r="F43"/>
      <c s="103" r="G43"/>
    </row>
    <row r="44">
      <c s="103" r="B44"/>
      <c s="103" r="C44"/>
      <c s="103" r="D44"/>
      <c s="103" r="E44"/>
      <c s="103" r="F44"/>
      <c s="103" r="G44"/>
    </row>
    <row r="45">
      <c s="103" r="B45"/>
      <c s="103" r="C45"/>
      <c s="103" r="D45"/>
      <c s="103" r="E45"/>
      <c s="103" r="F45"/>
      <c s="103" r="G45"/>
    </row>
    <row r="46">
      <c s="103" r="B46"/>
      <c s="103" r="C46"/>
      <c s="103" r="D46"/>
      <c s="103" r="E46"/>
      <c s="103" r="F46"/>
      <c s="103" r="G46"/>
    </row>
    <row r="47">
      <c s="103" r="B47"/>
      <c s="103" r="C47"/>
      <c s="103" r="D47"/>
      <c s="103" r="E47"/>
      <c s="103" r="F47"/>
      <c s="103" r="G47"/>
    </row>
    <row r="48">
      <c s="103" r="B48"/>
      <c s="103" r="C48"/>
      <c s="103" r="D48"/>
      <c s="103" r="E48"/>
      <c s="103" r="F48"/>
      <c s="103" r="G48"/>
    </row>
    <row r="49">
      <c s="103" r="B49"/>
      <c s="103" r="C49"/>
      <c s="103" r="D49"/>
      <c s="103" r="E49"/>
      <c s="103" r="F49"/>
      <c s="103" r="G49"/>
    </row>
    <row r="50">
      <c s="103" r="B50"/>
      <c s="103" r="C50"/>
      <c s="103" r="D50"/>
      <c s="103" r="E50"/>
      <c s="103" r="F50"/>
      <c s="103" r="G50"/>
    </row>
    <row r="51">
      <c s="103" r="B51"/>
      <c s="103" r="C51"/>
      <c s="103" r="D51"/>
      <c s="103" r="E51"/>
      <c s="103" r="F51"/>
      <c s="103" r="G51"/>
    </row>
    <row r="52">
      <c s="103" r="B52"/>
      <c s="103" r="C52"/>
      <c s="103" r="D52"/>
      <c s="103" r="E52"/>
      <c s="103" r="F52"/>
      <c s="103" r="G52"/>
    </row>
    <row r="53">
      <c s="103" r="B53"/>
      <c s="103" r="C53"/>
      <c s="103" r="D53"/>
      <c s="103" r="E53"/>
      <c s="103" r="F53"/>
      <c s="103" r="G53"/>
    </row>
    <row r="54">
      <c s="103" r="B54"/>
      <c s="103" r="C54"/>
      <c s="103" r="D54"/>
      <c s="103" r="E54"/>
      <c s="103" r="F54"/>
      <c s="103" r="G54"/>
    </row>
    <row r="55">
      <c s="103" r="B55"/>
      <c s="103" r="C55"/>
      <c s="103" r="D55"/>
      <c s="103" r="E55"/>
      <c s="103" r="F55"/>
      <c s="103" r="G55"/>
    </row>
    <row r="56">
      <c s="103" r="B56"/>
      <c s="103" r="C56"/>
      <c s="103" r="D56"/>
      <c s="103" r="E56"/>
      <c s="103" r="F56"/>
      <c s="103" r="G56"/>
    </row>
    <row r="57">
      <c s="103" r="B57"/>
      <c s="103" r="C57"/>
      <c s="103" r="D57"/>
      <c s="103" r="E57"/>
      <c s="103" r="F57"/>
      <c s="103" r="G57"/>
    </row>
    <row r="58">
      <c s="103" r="B58"/>
      <c s="103" r="C58"/>
      <c s="103" r="D58"/>
      <c s="103" r="E58"/>
      <c s="103" r="F58"/>
      <c s="103" r="G58"/>
    </row>
    <row r="59">
      <c s="103" r="B59"/>
      <c s="103" r="C59"/>
      <c s="103" r="D59"/>
      <c s="103" r="E59"/>
      <c s="103" r="F59"/>
      <c s="103" r="G59"/>
    </row>
    <row r="60">
      <c s="103" r="B60"/>
      <c s="103" r="C60"/>
      <c s="103" r="D60"/>
      <c s="103" r="E60"/>
      <c s="103" r="F60"/>
      <c s="103" r="G60"/>
    </row>
    <row r="61">
      <c s="103" r="B61"/>
      <c s="103" r="C61"/>
      <c s="103" r="D61"/>
      <c s="103" r="E61"/>
      <c s="103" r="F61"/>
      <c s="103" r="G61"/>
    </row>
    <row r="62">
      <c s="103" r="B62"/>
      <c s="103" r="C62"/>
      <c s="103" r="D62"/>
      <c s="103" r="E62"/>
      <c s="103" r="F62"/>
      <c s="103" r="G62"/>
    </row>
    <row r="63">
      <c s="103" r="B63"/>
      <c s="103" r="C63"/>
      <c s="103" r="D63"/>
      <c s="103" r="E63"/>
      <c s="103" r="F63"/>
      <c s="103" r="G63"/>
    </row>
    <row r="64">
      <c s="103" r="B64"/>
      <c s="103" r="C64"/>
      <c s="103" r="D64"/>
      <c s="103" r="E64"/>
      <c s="103" r="F64"/>
      <c s="103" r="G64"/>
    </row>
    <row r="65">
      <c s="103" r="B65"/>
      <c s="103" r="C65"/>
      <c s="103" r="D65"/>
      <c s="103" r="E65"/>
      <c s="103" r="F65"/>
      <c s="103" r="G65"/>
    </row>
    <row r="66">
      <c s="103" r="B66"/>
      <c s="103" r="C66"/>
      <c s="103" r="D66"/>
      <c s="103" r="E66"/>
      <c s="103" r="F66"/>
      <c s="103" r="G66"/>
    </row>
    <row r="67">
      <c s="103" r="B67"/>
      <c s="103" r="C67"/>
      <c s="103" r="D67"/>
      <c s="103" r="E67"/>
      <c s="103" r="F67"/>
      <c s="103" r="G67"/>
    </row>
    <row r="68">
      <c s="103" r="B68"/>
      <c s="103" r="C68"/>
      <c s="103" r="D68"/>
      <c s="103" r="E68"/>
      <c s="103" r="F68"/>
      <c s="103" r="G68"/>
    </row>
    <row r="69">
      <c s="103" r="B69"/>
      <c s="103" r="C69"/>
      <c s="103" r="D69"/>
      <c s="103" r="E69"/>
      <c s="103" r="F69"/>
      <c s="103" r="G69"/>
    </row>
    <row r="70">
      <c s="103" r="B70"/>
      <c s="103" r="C70"/>
      <c s="103" r="D70"/>
      <c s="103" r="E70"/>
      <c s="103" r="F70"/>
      <c s="103" r="G70"/>
    </row>
    <row r="71">
      <c s="103" r="B71"/>
      <c s="103" r="C71"/>
      <c s="103" r="D71"/>
      <c s="103" r="E71"/>
      <c s="103" r="F71"/>
      <c s="103" r="G71"/>
    </row>
    <row r="72">
      <c s="103" r="B72"/>
      <c s="103" r="C72"/>
      <c s="103" r="D72"/>
      <c s="103" r="E72"/>
      <c s="103" r="F72"/>
      <c s="103" r="G72"/>
    </row>
    <row r="73">
      <c s="103" r="B73"/>
      <c s="103" r="C73"/>
      <c s="103" r="D73"/>
      <c s="103" r="E73"/>
      <c s="103" r="F73"/>
      <c s="103" r="G73"/>
    </row>
    <row r="74">
      <c s="103" r="B74"/>
      <c s="103" r="C74"/>
      <c s="103" r="D74"/>
      <c s="103" r="E74"/>
      <c s="103" r="F74"/>
      <c s="103" r="G74"/>
    </row>
    <row r="75">
      <c s="103" r="B75"/>
      <c s="103" r="C75"/>
      <c s="103" r="D75"/>
      <c s="103" r="E75"/>
      <c s="103" r="F75"/>
      <c s="103" r="G75"/>
    </row>
    <row r="76">
      <c s="103" r="B76"/>
      <c s="103" r="C76"/>
      <c s="103" r="D76"/>
      <c s="103" r="E76"/>
      <c s="103" r="F76"/>
      <c s="103" r="G76"/>
    </row>
    <row r="77">
      <c s="103" r="B77"/>
      <c s="103" r="C77"/>
      <c s="103" r="D77"/>
      <c s="103" r="E77"/>
      <c s="103" r="F77"/>
      <c s="103" r="G77"/>
    </row>
    <row r="78">
      <c s="103" r="B78"/>
      <c s="103" r="C78"/>
      <c s="103" r="D78"/>
      <c s="103" r="E78"/>
      <c s="103" r="F78"/>
      <c s="103" r="G78"/>
    </row>
    <row r="79">
      <c s="103" r="B79"/>
      <c s="103" r="C79"/>
      <c s="103" r="D79"/>
      <c s="103" r="E79"/>
      <c s="103" r="F79"/>
      <c s="103" r="G79"/>
    </row>
    <row r="80">
      <c s="103" r="B80"/>
      <c s="103" r="C80"/>
      <c s="103" r="D80"/>
      <c s="103" r="E80"/>
      <c s="103" r="F80"/>
      <c s="103" r="G80"/>
    </row>
    <row r="81">
      <c s="103" r="B81"/>
      <c s="103" r="C81"/>
      <c s="103" r="D81"/>
      <c s="103" r="E81"/>
      <c s="103" r="F81"/>
      <c s="103" r="G81"/>
    </row>
    <row r="82">
      <c s="103" r="B82"/>
      <c s="103" r="C82"/>
      <c s="103" r="D82"/>
      <c s="103" r="E82"/>
      <c s="103" r="F82"/>
      <c s="103" r="G82"/>
    </row>
    <row r="83">
      <c s="103" r="B83"/>
      <c s="103" r="C83"/>
      <c s="103" r="D83"/>
      <c s="103" r="E83"/>
      <c s="103" r="F83"/>
      <c s="103" r="G83"/>
    </row>
    <row r="84">
      <c s="103" r="B84"/>
      <c s="103" r="C84"/>
      <c s="103" r="D84"/>
      <c s="103" r="E84"/>
      <c s="103" r="F84"/>
      <c s="103" r="G84"/>
    </row>
    <row r="85">
      <c s="103" r="B85"/>
      <c s="103" r="C85"/>
      <c s="103" r="D85"/>
      <c s="103" r="E85"/>
      <c s="103" r="F85"/>
      <c s="103" r="G85"/>
    </row>
    <row r="86">
      <c s="103" r="B86"/>
      <c s="103" r="C86"/>
      <c s="103" r="D86"/>
      <c s="103" r="E86"/>
      <c s="103" r="F86"/>
      <c s="103" r="G86"/>
    </row>
    <row r="87">
      <c s="103" r="B87"/>
      <c s="103" r="C87"/>
      <c s="103" r="D87"/>
      <c s="103" r="E87"/>
      <c s="103" r="F87"/>
      <c s="103" r="G87"/>
    </row>
    <row r="88">
      <c s="103" r="B88"/>
      <c s="103" r="C88"/>
      <c s="103" r="D88"/>
      <c s="103" r="E88"/>
      <c s="103" r="F88"/>
      <c s="103" r="G88"/>
    </row>
    <row r="89">
      <c s="103" r="B89"/>
      <c s="103" r="C89"/>
      <c s="103" r="D89"/>
      <c s="103" r="E89"/>
      <c s="103" r="F89"/>
      <c s="103" r="G89"/>
    </row>
    <row r="90">
      <c s="103" r="B90"/>
      <c s="103" r="C90"/>
      <c s="103" r="D90"/>
      <c s="103" r="E90"/>
      <c s="103" r="F90"/>
      <c s="103" r="G90"/>
    </row>
    <row r="91">
      <c s="103" r="B91"/>
      <c s="103" r="C91"/>
      <c s="103" r="D91"/>
      <c s="103" r="E91"/>
      <c s="103" r="F91"/>
      <c s="103" r="G91"/>
    </row>
    <row r="92">
      <c s="103" r="B92"/>
      <c s="103" r="C92"/>
      <c s="103" r="D92"/>
      <c s="103" r="E92"/>
      <c s="103" r="F92"/>
      <c s="103" r="G92"/>
    </row>
    <row r="93">
      <c s="103" r="B93"/>
      <c s="103" r="C93"/>
      <c s="103" r="D93"/>
      <c s="103" r="E93"/>
      <c s="103" r="F93"/>
      <c s="103" r="G93"/>
    </row>
    <row r="94">
      <c s="103" r="B94"/>
      <c s="103" r="C94"/>
      <c s="103" r="D94"/>
      <c s="103" r="E94"/>
      <c s="103" r="F94"/>
      <c s="103" r="G94"/>
    </row>
    <row r="95">
      <c s="103" r="B95"/>
      <c s="103" r="C95"/>
      <c s="103" r="D95"/>
      <c s="103" r="E95"/>
      <c s="103" r="F95"/>
      <c s="103" r="G95"/>
    </row>
    <row r="96">
      <c s="103" r="B96"/>
      <c s="103" r="C96"/>
      <c s="103" r="D96"/>
      <c s="103" r="E96"/>
      <c s="103" r="F96"/>
      <c s="103" r="G96"/>
    </row>
    <row r="97">
      <c s="103" r="B97"/>
      <c s="103" r="C97"/>
      <c s="103" r="D97"/>
      <c s="103" r="E97"/>
      <c s="103" r="F97"/>
      <c s="103" r="G97"/>
    </row>
    <row r="98">
      <c s="103" r="B98"/>
      <c s="103" r="C98"/>
      <c s="103" r="D98"/>
      <c s="103" r="E98"/>
      <c s="103" r="F98"/>
      <c s="103" r="G98"/>
    </row>
    <row r="99">
      <c s="103" r="B99"/>
      <c s="103" r="C99"/>
      <c s="103" r="D99"/>
      <c s="103" r="E99"/>
      <c s="103" r="F99"/>
      <c s="103" r="G99"/>
    </row>
    <row r="100">
      <c s="103" r="B100"/>
      <c s="103" r="C100"/>
      <c s="103" r="D100"/>
      <c s="103" r="E100"/>
      <c s="103" r="F100"/>
      <c s="103" r="G100"/>
    </row>
    <row r="101">
      <c s="103" r="B101"/>
      <c s="103" r="C101"/>
      <c s="103" r="D101"/>
      <c s="103" r="E101"/>
      <c s="103" r="F101"/>
      <c s="103" r="G101"/>
    </row>
    <row r="102">
      <c s="103" r="B102"/>
      <c s="103" r="C102"/>
      <c s="103" r="D102"/>
      <c s="103" r="E102"/>
      <c s="103" r="F102"/>
      <c s="103" r="G102"/>
    </row>
    <row r="103">
      <c s="103" r="B103"/>
      <c s="103" r="C103"/>
      <c s="103" r="D103"/>
      <c s="103" r="E103"/>
      <c s="103" r="F103"/>
      <c s="103" r="G103"/>
    </row>
    <row r="104">
      <c s="103" r="B104"/>
      <c s="103" r="C104"/>
      <c s="103" r="D104"/>
      <c s="103" r="E104"/>
      <c s="103" r="F104"/>
      <c s="103" r="G104"/>
    </row>
    <row r="105">
      <c s="103" r="B105"/>
      <c s="103" r="C105"/>
      <c s="103" r="D105"/>
      <c s="103" r="E105"/>
      <c s="103" r="F105"/>
      <c s="103" r="G105"/>
    </row>
    <row r="106">
      <c s="103" r="B106"/>
      <c s="103" r="C106"/>
      <c s="103" r="D106"/>
      <c s="103" r="E106"/>
      <c s="103" r="F106"/>
      <c s="103" r="G106"/>
    </row>
    <row r="107">
      <c s="103" r="B107"/>
      <c s="103" r="C107"/>
      <c s="103" r="D107"/>
      <c s="103" r="E107"/>
      <c s="103" r="F107"/>
      <c s="103" r="G107"/>
    </row>
    <row r="108">
      <c s="103" r="B108"/>
      <c s="103" r="C108"/>
      <c s="103" r="D108"/>
      <c s="103" r="E108"/>
      <c s="103" r="F108"/>
      <c s="103" r="G108"/>
    </row>
    <row r="109">
      <c s="103" r="B109"/>
      <c s="103" r="C109"/>
      <c s="103" r="D109"/>
      <c s="103" r="E109"/>
      <c s="103" r="F109"/>
      <c s="103" r="G109"/>
    </row>
    <row r="110">
      <c s="103" r="B110"/>
      <c s="103" r="C110"/>
      <c s="103" r="D110"/>
      <c s="103" r="E110"/>
      <c s="103" r="F110"/>
      <c s="103" r="G110"/>
    </row>
    <row r="111">
      <c s="103" r="B111"/>
      <c s="103" r="C111"/>
      <c s="103" r="D111"/>
      <c s="103" r="E111"/>
      <c s="103" r="F111"/>
      <c s="103" r="G111"/>
    </row>
    <row r="112">
      <c s="103" r="B112"/>
      <c s="103" r="C112"/>
      <c s="103" r="D112"/>
      <c s="103" r="E112"/>
      <c s="103" r="F112"/>
      <c s="103" r="G112"/>
    </row>
    <row r="113">
      <c s="103" r="B113"/>
      <c s="103" r="C113"/>
      <c s="103" r="D113"/>
      <c s="103" r="E113"/>
      <c s="103" r="F113"/>
      <c s="103" r="G113"/>
    </row>
    <row r="114">
      <c s="103" r="B114"/>
      <c s="103" r="C114"/>
      <c s="103" r="D114"/>
      <c s="103" r="E114"/>
      <c s="103" r="F114"/>
      <c s="103" r="G114"/>
    </row>
    <row r="115">
      <c s="103" r="B115"/>
      <c s="103" r="C115"/>
      <c s="103" r="D115"/>
      <c s="103" r="E115"/>
      <c s="103" r="F115"/>
      <c s="103" r="G115"/>
    </row>
    <row r="116">
      <c s="103" r="B116"/>
      <c s="103" r="C116"/>
      <c s="103" r="D116"/>
      <c s="103" r="E116"/>
      <c s="103" r="F116"/>
      <c s="103" r="G116"/>
    </row>
    <row r="117">
      <c s="103" r="B117"/>
      <c s="103" r="C117"/>
      <c s="103" r="D117"/>
      <c s="103" r="E117"/>
      <c s="103" r="F117"/>
      <c s="103" r="G117"/>
    </row>
    <row r="118">
      <c s="103" r="B118"/>
      <c s="103" r="C118"/>
      <c s="103" r="D118"/>
      <c s="103" r="E118"/>
      <c s="103" r="F118"/>
      <c s="103" r="G118"/>
    </row>
    <row r="119">
      <c s="103" r="B119"/>
      <c s="103" r="C119"/>
      <c s="103" r="D119"/>
      <c s="103" r="E119"/>
      <c s="103" r="F119"/>
      <c s="103" r="G119"/>
    </row>
    <row r="120">
      <c s="103" r="B120"/>
      <c s="103" r="C120"/>
      <c s="103" r="D120"/>
      <c s="103" r="E120"/>
      <c s="103" r="F120"/>
      <c s="103" r="G120"/>
    </row>
    <row r="121">
      <c s="103" r="B121"/>
      <c s="103" r="C121"/>
      <c s="103" r="D121"/>
      <c s="103" r="E121"/>
      <c s="103" r="F121"/>
      <c s="103" r="G121"/>
    </row>
    <row r="122">
      <c s="103" r="B122"/>
      <c s="103" r="C122"/>
      <c s="103" r="D122"/>
      <c s="103" r="E122"/>
      <c s="103" r="F122"/>
      <c s="103" r="G122"/>
    </row>
    <row r="123">
      <c s="103" r="B123"/>
      <c s="103" r="C123"/>
      <c s="103" r="D123"/>
      <c s="103" r="E123"/>
      <c s="103" r="F123"/>
      <c s="103" r="G123"/>
    </row>
    <row r="124">
      <c s="103" r="B124"/>
      <c s="103" r="C124"/>
      <c s="103" r="D124"/>
      <c s="103" r="E124"/>
      <c s="103" r="F124"/>
      <c s="103" r="G124"/>
    </row>
    <row r="125">
      <c s="103" r="B125"/>
      <c s="103" r="C125"/>
      <c s="103" r="D125"/>
      <c s="103" r="E125"/>
      <c s="103" r="F125"/>
      <c s="103" r="G125"/>
    </row>
    <row r="126">
      <c s="103" r="B126"/>
      <c s="103" r="C126"/>
      <c s="103" r="D126"/>
      <c s="103" r="E126"/>
      <c s="103" r="F126"/>
      <c s="103" r="G126"/>
    </row>
    <row r="127">
      <c s="103" r="B127"/>
      <c s="103" r="C127"/>
      <c s="103" r="D127"/>
      <c s="103" r="E127"/>
      <c s="103" r="F127"/>
      <c s="103" r="G127"/>
    </row>
    <row r="128">
      <c s="103" r="B128"/>
      <c s="103" r="C128"/>
      <c s="103" r="D128"/>
      <c s="103" r="E128"/>
      <c s="103" r="F128"/>
      <c s="103" r="G128"/>
    </row>
    <row r="129">
      <c s="103" r="B129"/>
      <c s="103" r="C129"/>
      <c s="103" r="D129"/>
      <c s="103" r="E129"/>
      <c s="103" r="F129"/>
      <c s="103" r="G129"/>
    </row>
    <row r="130">
      <c s="103" r="B130"/>
      <c s="103" r="C130"/>
      <c s="103" r="D130"/>
      <c s="103" r="E130"/>
      <c s="103" r="F130"/>
      <c s="103" r="G130"/>
    </row>
    <row r="131">
      <c s="103" r="B131"/>
      <c s="103" r="C131"/>
      <c s="103" r="D131"/>
      <c s="103" r="E131"/>
      <c s="103" r="F131"/>
      <c s="103" r="G131"/>
    </row>
    <row r="132">
      <c s="103" r="B132"/>
      <c s="103" r="C132"/>
      <c s="103" r="D132"/>
      <c s="103" r="E132"/>
      <c s="103" r="F132"/>
      <c s="103" r="G132"/>
    </row>
    <row r="133">
      <c s="103" r="B133"/>
      <c s="103" r="C133"/>
      <c s="103" r="D133"/>
      <c s="103" r="E133"/>
      <c s="103" r="F133"/>
      <c s="103" r="G133"/>
    </row>
    <row r="134">
      <c s="103" r="B134"/>
      <c s="103" r="C134"/>
      <c s="103" r="D134"/>
      <c s="103" r="E134"/>
      <c s="103" r="F134"/>
      <c s="103" r="G134"/>
    </row>
    <row r="135">
      <c s="103" r="B135"/>
      <c s="103" r="C135"/>
      <c s="103" r="D135"/>
      <c s="103" r="E135"/>
      <c s="103" r="F135"/>
      <c s="103" r="G135"/>
    </row>
    <row r="136">
      <c s="103" r="B136"/>
      <c s="103" r="C136"/>
      <c s="103" r="D136"/>
      <c s="103" r="E136"/>
      <c s="103" r="F136"/>
      <c s="103" r="G136"/>
    </row>
    <row r="137">
      <c s="103" r="B137"/>
      <c s="103" r="C137"/>
      <c s="103" r="D137"/>
      <c s="103" r="E137"/>
      <c s="103" r="F137"/>
      <c s="103" r="G137"/>
    </row>
    <row r="138">
      <c s="103" r="B138"/>
      <c s="103" r="C138"/>
      <c s="103" r="D138"/>
      <c s="103" r="E138"/>
      <c s="103" r="F138"/>
      <c s="103" r="G138"/>
    </row>
    <row r="139">
      <c s="103" r="B139"/>
      <c s="103" r="C139"/>
      <c s="103" r="D139"/>
      <c s="103" r="E139"/>
      <c s="103" r="F139"/>
      <c s="103" r="G139"/>
    </row>
    <row r="140">
      <c s="103" r="B140"/>
      <c s="103" r="C140"/>
      <c s="103" r="D140"/>
      <c s="103" r="E140"/>
      <c s="103" r="F140"/>
      <c s="103" r="G140"/>
    </row>
    <row r="141">
      <c s="103" r="B141"/>
      <c s="103" r="C141"/>
      <c s="103" r="D141"/>
      <c s="103" r="E141"/>
      <c s="103" r="F141"/>
      <c s="103" r="G141"/>
    </row>
    <row r="142">
      <c s="103" r="B142"/>
      <c s="103" r="C142"/>
      <c s="103" r="D142"/>
      <c s="103" r="E142"/>
      <c s="103" r="F142"/>
      <c s="103" r="G142"/>
    </row>
    <row r="143">
      <c s="103" r="B143"/>
      <c s="103" r="C143"/>
      <c s="103" r="D143"/>
      <c s="103" r="E143"/>
      <c s="103" r="F143"/>
      <c s="103" r="G143"/>
    </row>
    <row r="144">
      <c s="103" r="B144"/>
      <c s="103" r="C144"/>
      <c s="103" r="D144"/>
      <c s="103" r="E144"/>
      <c s="103" r="F144"/>
      <c s="103" r="G144"/>
    </row>
    <row r="145">
      <c s="103" r="B145"/>
      <c s="103" r="C145"/>
      <c s="103" r="D145"/>
      <c s="103" r="E145"/>
      <c s="103" r="F145"/>
      <c s="103" r="G145"/>
    </row>
    <row r="146">
      <c s="103" r="B146"/>
      <c s="103" r="C146"/>
      <c s="103" r="D146"/>
      <c s="103" r="E146"/>
      <c s="103" r="F146"/>
      <c s="103" r="G146"/>
    </row>
    <row r="147">
      <c s="103" r="B147"/>
      <c s="103" r="C147"/>
      <c s="103" r="D147"/>
      <c s="103" r="E147"/>
      <c s="103" r="F147"/>
      <c s="103" r="G147"/>
    </row>
    <row r="148">
      <c s="103" r="B148"/>
      <c s="103" r="C148"/>
      <c s="103" r="D148"/>
      <c s="103" r="E148"/>
      <c s="103" r="F148"/>
      <c s="103" r="G148"/>
    </row>
    <row r="149">
      <c s="103" r="B149"/>
      <c s="103" r="C149"/>
      <c s="103" r="D149"/>
      <c s="103" r="E149"/>
      <c s="103" r="F149"/>
      <c s="103" r="G149"/>
    </row>
    <row r="150">
      <c s="103" r="B150"/>
      <c s="103" r="C150"/>
      <c s="103" r="D150"/>
      <c s="103" r="E150"/>
      <c s="103" r="F150"/>
      <c s="103" r="G150"/>
    </row>
    <row r="151">
      <c s="103" r="B151"/>
      <c s="103" r="C151"/>
      <c s="103" r="D151"/>
      <c s="103" r="E151"/>
      <c s="103" r="F151"/>
      <c s="103" r="G151"/>
    </row>
    <row r="152">
      <c s="103" r="B152"/>
      <c s="103" r="C152"/>
      <c s="103" r="D152"/>
      <c s="103" r="E152"/>
      <c s="103" r="F152"/>
      <c s="103" r="G152"/>
    </row>
    <row r="153">
      <c s="103" r="B153"/>
      <c s="103" r="C153"/>
      <c s="103" r="D153"/>
      <c s="103" r="E153"/>
      <c s="103" r="F153"/>
      <c s="103" r="G153"/>
    </row>
    <row r="154">
      <c s="103" r="B154"/>
      <c s="103" r="C154"/>
      <c s="103" r="D154"/>
      <c s="103" r="E154"/>
      <c s="103" r="F154"/>
      <c s="103" r="G154"/>
    </row>
    <row r="155">
      <c s="103" r="B155"/>
      <c s="103" r="C155"/>
      <c s="103" r="D155"/>
      <c s="103" r="E155"/>
      <c s="103" r="F155"/>
      <c s="103" r="G155"/>
    </row>
    <row r="156">
      <c s="103" r="B156"/>
      <c s="103" r="C156"/>
      <c s="103" r="D156"/>
      <c s="103" r="E156"/>
      <c s="103" r="F156"/>
      <c s="103" r="G156"/>
    </row>
    <row r="157">
      <c s="103" r="B157"/>
      <c s="103" r="C157"/>
      <c s="103" r="D157"/>
      <c s="103" r="E157"/>
      <c s="103" r="F157"/>
      <c s="103" r="G157"/>
    </row>
    <row r="158">
      <c s="103" r="B158"/>
      <c s="103" r="C158"/>
      <c s="103" r="D158"/>
      <c s="103" r="E158"/>
      <c s="103" r="F158"/>
      <c s="103" r="G158"/>
    </row>
    <row r="159">
      <c s="103" r="B159"/>
      <c s="103" r="C159"/>
      <c s="103" r="D159"/>
      <c s="103" r="E159"/>
      <c s="103" r="F159"/>
      <c s="103" r="G159"/>
    </row>
    <row r="160">
      <c s="103" r="B160"/>
      <c s="103" r="C160"/>
      <c s="103" r="D160"/>
      <c s="103" r="E160"/>
      <c s="103" r="F160"/>
      <c s="103" r="G160"/>
    </row>
    <row r="161">
      <c s="103" r="B161"/>
      <c s="103" r="C161"/>
      <c s="103" r="D161"/>
      <c s="103" r="E161"/>
      <c s="103" r="F161"/>
      <c s="103" r="G161"/>
    </row>
    <row r="162">
      <c s="103" r="B162"/>
      <c s="103" r="C162"/>
      <c s="103" r="D162"/>
      <c s="103" r="E162"/>
      <c s="103" r="F162"/>
      <c s="103" r="G162"/>
    </row>
    <row r="163">
      <c s="103" r="B163"/>
      <c s="103" r="C163"/>
      <c s="103" r="D163"/>
      <c s="103" r="E163"/>
      <c s="103" r="F163"/>
      <c s="103" r="G163"/>
    </row>
    <row r="164">
      <c s="103" r="B164"/>
      <c s="103" r="C164"/>
      <c s="103" r="D164"/>
      <c s="103" r="E164"/>
      <c s="103" r="F164"/>
      <c s="103" r="G164"/>
    </row>
    <row r="165">
      <c s="103" r="B165"/>
      <c s="103" r="C165"/>
      <c s="103" r="D165"/>
      <c s="103" r="E165"/>
      <c s="103" r="F165"/>
      <c s="103" r="G165"/>
    </row>
    <row r="166">
      <c s="103" r="B166"/>
      <c s="103" r="C166"/>
      <c s="103" r="D166"/>
      <c s="103" r="E166"/>
      <c s="103" r="F166"/>
      <c s="103" r="G166"/>
    </row>
    <row r="167">
      <c s="103" r="B167"/>
      <c s="103" r="C167"/>
      <c s="103" r="D167"/>
      <c s="103" r="E167"/>
      <c s="103" r="F167"/>
      <c s="103" r="G167"/>
    </row>
    <row r="168">
      <c s="103" r="B168"/>
      <c s="103" r="C168"/>
      <c s="103" r="D168"/>
      <c s="103" r="E168"/>
      <c s="103" r="F168"/>
      <c s="103" r="G168"/>
    </row>
    <row r="169">
      <c s="103" r="B169"/>
      <c s="103" r="C169"/>
      <c s="103" r="D169"/>
      <c s="103" r="E169"/>
      <c s="103" r="F169"/>
      <c s="103" r="G169"/>
    </row>
    <row r="170">
      <c s="103" r="B170"/>
      <c s="103" r="C170"/>
      <c s="103" r="D170"/>
      <c s="103" r="E170"/>
      <c s="103" r="F170"/>
      <c s="103" r="G170"/>
    </row>
    <row r="171">
      <c s="103" r="B171"/>
      <c s="103" r="C171"/>
      <c s="103" r="D171"/>
      <c s="103" r="E171"/>
      <c s="103" r="F171"/>
      <c s="103" r="G171"/>
    </row>
    <row r="172">
      <c s="103" r="B172"/>
      <c s="103" r="C172"/>
      <c s="103" r="D172"/>
      <c s="103" r="E172"/>
      <c s="103" r="F172"/>
      <c s="103" r="G172"/>
    </row>
    <row r="173">
      <c s="103" r="B173"/>
      <c s="103" r="C173"/>
      <c s="103" r="D173"/>
      <c s="103" r="E173"/>
      <c s="103" r="F173"/>
      <c s="103" r="G173"/>
    </row>
    <row r="174">
      <c s="103" r="B174"/>
      <c s="103" r="C174"/>
      <c s="103" r="D174"/>
      <c s="103" r="E174"/>
      <c s="103" r="F174"/>
      <c s="103" r="G174"/>
    </row>
    <row r="175">
      <c s="103" r="B175"/>
      <c s="103" r="C175"/>
      <c s="103" r="D175"/>
      <c s="103" r="E175"/>
      <c s="103" r="F175"/>
      <c s="103" r="G175"/>
    </row>
    <row r="176">
      <c s="103" r="B176"/>
      <c s="103" r="C176"/>
      <c s="103" r="D176"/>
      <c s="103" r="E176"/>
      <c s="103" r="F176"/>
      <c s="103" r="G176"/>
    </row>
    <row r="177">
      <c s="103" r="B177"/>
      <c s="103" r="C177"/>
      <c s="103" r="D177"/>
      <c s="103" r="E177"/>
      <c s="103" r="F177"/>
      <c s="103" r="G177"/>
    </row>
    <row r="178">
      <c s="103" r="B178"/>
      <c s="103" r="C178"/>
      <c s="103" r="D178"/>
      <c s="103" r="E178"/>
      <c s="103" r="F178"/>
      <c s="103" r="G178"/>
    </row>
    <row r="179">
      <c s="103" r="B179"/>
      <c s="103" r="C179"/>
      <c s="103" r="D179"/>
      <c s="103" r="E179"/>
      <c s="103" r="F179"/>
      <c s="103" r="G179"/>
    </row>
    <row r="180">
      <c s="103" r="B180"/>
      <c s="103" r="C180"/>
      <c s="103" r="D180"/>
      <c s="103" r="E180"/>
      <c s="103" r="F180"/>
      <c s="103" r="G180"/>
    </row>
    <row r="181">
      <c s="103" r="B181"/>
      <c s="103" r="C181"/>
      <c s="103" r="D181"/>
      <c s="103" r="E181"/>
      <c s="103" r="F181"/>
      <c s="103" r="G181"/>
    </row>
    <row r="182">
      <c s="103" r="B182"/>
      <c s="103" r="C182"/>
      <c s="103" r="D182"/>
      <c s="103" r="E182"/>
      <c s="103" r="F182"/>
      <c s="103" r="G182"/>
    </row>
    <row r="183">
      <c s="103" r="B183"/>
      <c s="103" r="C183"/>
      <c s="103" r="D183"/>
      <c s="103" r="E183"/>
      <c s="103" r="F183"/>
      <c s="103" r="G183"/>
    </row>
    <row r="184">
      <c s="103" r="B184"/>
      <c s="103" r="C184"/>
      <c s="103" r="D184"/>
      <c s="103" r="E184"/>
      <c s="103" r="F184"/>
      <c s="103" r="G184"/>
    </row>
    <row r="185">
      <c s="103" r="B185"/>
      <c s="103" r="C185"/>
      <c s="103" r="D185"/>
      <c s="103" r="E185"/>
      <c s="103" r="F185"/>
      <c s="103" r="G185"/>
    </row>
    <row r="186">
      <c s="103" r="B186"/>
      <c s="103" r="C186"/>
      <c s="103" r="D186"/>
      <c s="103" r="E186"/>
      <c s="103" r="F186"/>
      <c s="103" r="G186"/>
    </row>
    <row r="187">
      <c s="103" r="B187"/>
      <c s="103" r="C187"/>
      <c s="103" r="D187"/>
      <c s="103" r="E187"/>
      <c s="103" r="F187"/>
      <c s="103" r="G187"/>
    </row>
    <row r="188">
      <c s="103" r="B188"/>
      <c s="103" r="C188"/>
      <c s="103" r="D188"/>
      <c s="103" r="E188"/>
      <c s="103" r="F188"/>
      <c s="103" r="G188"/>
    </row>
    <row r="189">
      <c s="103" r="B189"/>
      <c s="103" r="C189"/>
      <c s="103" r="D189"/>
      <c s="103" r="E189"/>
      <c s="103" r="F189"/>
      <c s="103" r="G189"/>
    </row>
    <row r="190">
      <c s="103" r="B190"/>
      <c s="103" r="C190"/>
      <c s="103" r="D190"/>
      <c s="103" r="E190"/>
      <c s="103" r="F190"/>
      <c s="103" r="G190"/>
    </row>
    <row r="191">
      <c s="103" r="B191"/>
      <c s="103" r="C191"/>
      <c s="103" r="D191"/>
      <c s="103" r="E191"/>
      <c s="103" r="F191"/>
      <c s="103" r="G191"/>
    </row>
    <row r="192">
      <c s="103" r="B192"/>
      <c s="103" r="C192"/>
      <c s="103" r="D192"/>
      <c s="103" r="E192"/>
      <c s="103" r="F192"/>
      <c s="103" r="G192"/>
    </row>
    <row r="193">
      <c s="103" r="B193"/>
      <c s="103" r="C193"/>
      <c s="103" r="D193"/>
      <c s="103" r="E193"/>
      <c s="103" r="F193"/>
      <c s="103" r="G193"/>
    </row>
    <row r="194">
      <c s="103" r="B194"/>
      <c s="103" r="C194"/>
      <c s="103" r="D194"/>
      <c s="103" r="E194"/>
      <c s="103" r="F194"/>
      <c s="103" r="G194"/>
    </row>
    <row r="195">
      <c s="103" r="B195"/>
      <c s="103" r="C195"/>
      <c s="103" r="D195"/>
      <c s="103" r="E195"/>
      <c s="103" r="F195"/>
      <c s="103" r="G195"/>
    </row>
    <row r="196">
      <c s="103" r="B196"/>
      <c s="103" r="C196"/>
      <c s="103" r="D196"/>
      <c s="103" r="E196"/>
      <c s="103" r="F196"/>
      <c s="103" r="G196"/>
    </row>
    <row r="197">
      <c s="103" r="B197"/>
      <c s="103" r="C197"/>
      <c s="103" r="D197"/>
      <c s="103" r="E197"/>
      <c s="103" r="F197"/>
      <c s="103" r="G197"/>
    </row>
    <row r="198">
      <c s="103" r="B198"/>
      <c s="103" r="C198"/>
      <c s="103" r="D198"/>
      <c s="103" r="E198"/>
      <c s="103" r="F198"/>
      <c s="103" r="G198"/>
    </row>
    <row r="199">
      <c s="103" r="B199"/>
      <c s="103" r="C199"/>
      <c s="103" r="D199"/>
      <c s="103" r="E199"/>
      <c s="103" r="F199"/>
      <c s="103" r="G199"/>
    </row>
    <row r="200">
      <c s="103" r="B200"/>
      <c s="103" r="C200"/>
      <c s="103" r="D200"/>
      <c s="103" r="E200"/>
      <c s="103" r="F200"/>
      <c s="103" r="G200"/>
    </row>
    <row r="201">
      <c s="103" r="B201"/>
      <c s="103" r="C201"/>
      <c s="103" r="D201"/>
      <c s="103" r="E201"/>
      <c s="103" r="F201"/>
      <c s="103" r="G201"/>
    </row>
    <row r="202">
      <c s="103" r="B202"/>
      <c s="103" r="C202"/>
      <c s="103" r="D202"/>
      <c s="103" r="E202"/>
      <c s="103" r="F202"/>
      <c s="103" r="G202"/>
    </row>
    <row r="203">
      <c s="103" r="B203"/>
      <c s="103" r="C203"/>
      <c s="103" r="D203"/>
      <c s="103" r="E203"/>
      <c s="103" r="F203"/>
      <c s="103" r="G203"/>
    </row>
    <row r="204">
      <c s="103" r="B204"/>
      <c s="103" r="C204"/>
      <c s="103" r="D204"/>
      <c s="103" r="E204"/>
      <c s="103" r="F204"/>
      <c s="103" r="G204"/>
    </row>
    <row r="205">
      <c s="103" r="B205"/>
      <c s="103" r="C205"/>
      <c s="103" r="D205"/>
      <c s="103" r="E205"/>
      <c s="103" r="F205"/>
      <c s="103" r="G205"/>
    </row>
    <row r="206">
      <c s="103" r="B206"/>
      <c s="103" r="C206"/>
      <c s="103" r="D206"/>
      <c s="103" r="E206"/>
      <c s="103" r="F206"/>
      <c s="103" r="G206"/>
    </row>
    <row r="207">
      <c s="103" r="B207"/>
      <c s="103" r="C207"/>
      <c s="103" r="D207"/>
      <c s="103" r="E207"/>
      <c s="103" r="F207"/>
      <c s="103" r="G207"/>
    </row>
    <row r="208">
      <c s="103" r="B208"/>
      <c s="103" r="C208"/>
      <c s="103" r="D208"/>
      <c s="103" r="E208"/>
      <c s="103" r="F208"/>
      <c s="103" r="G208"/>
    </row>
    <row r="209">
      <c s="103" r="B209"/>
      <c s="103" r="C209"/>
      <c s="103" r="D209"/>
      <c s="103" r="E209"/>
      <c s="103" r="F209"/>
      <c s="103" r="G209"/>
    </row>
    <row r="210">
      <c s="103" r="B210"/>
      <c s="103" r="C210"/>
      <c s="103" r="D210"/>
      <c s="103" r="E210"/>
      <c s="103" r="F210"/>
      <c s="103" r="G210"/>
    </row>
    <row r="211">
      <c s="103" r="B211"/>
      <c s="103" r="C211"/>
      <c s="103" r="D211"/>
      <c s="103" r="E211"/>
      <c s="103" r="F211"/>
      <c s="103" r="G211"/>
    </row>
    <row r="212">
      <c s="103" r="B212"/>
      <c s="103" r="C212"/>
      <c s="103" r="D212"/>
      <c s="103" r="E212"/>
      <c s="103" r="F212"/>
      <c s="103" r="G212"/>
    </row>
    <row r="213">
      <c s="103" r="B213"/>
      <c s="103" r="C213"/>
      <c s="103" r="D213"/>
      <c s="103" r="E213"/>
      <c s="103" r="F213"/>
      <c s="103" r="G213"/>
    </row>
    <row r="214">
      <c s="103" r="B214"/>
      <c s="103" r="C214"/>
      <c s="103" r="D214"/>
      <c s="103" r="E214"/>
      <c s="103" r="F214"/>
      <c s="103" r="G214"/>
    </row>
    <row r="215">
      <c s="103" r="B215"/>
      <c s="103" r="C215"/>
      <c s="103" r="D215"/>
      <c s="103" r="E215"/>
      <c s="103" r="F215"/>
      <c s="103" r="G215"/>
    </row>
    <row r="216">
      <c s="103" r="B216"/>
      <c s="103" r="C216"/>
      <c s="103" r="D216"/>
      <c s="103" r="E216"/>
      <c s="103" r="F216"/>
      <c s="103" r="G216"/>
    </row>
    <row r="217">
      <c s="103" r="B217"/>
      <c s="103" r="C217"/>
      <c s="103" r="D217"/>
      <c s="103" r="E217"/>
      <c s="103" r="F217"/>
      <c s="103" r="G217"/>
    </row>
    <row r="218">
      <c s="103" r="B218"/>
      <c s="103" r="C218"/>
      <c s="103" r="D218"/>
      <c s="103" r="E218"/>
      <c s="103" r="F218"/>
      <c s="103" r="G218"/>
    </row>
    <row r="219">
      <c s="103" r="B219"/>
      <c s="103" r="C219"/>
      <c s="103" r="D219"/>
      <c s="103" r="E219"/>
      <c s="103" r="F219"/>
      <c s="103" r="G219"/>
    </row>
    <row r="220">
      <c s="103" r="B220"/>
      <c s="103" r="C220"/>
      <c s="103" r="D220"/>
      <c s="103" r="E220"/>
      <c s="103" r="F220"/>
      <c s="103" r="G220"/>
    </row>
    <row r="221">
      <c s="103" r="B221"/>
      <c s="103" r="C221"/>
      <c s="103" r="D221"/>
      <c s="103" r="E221"/>
      <c s="103" r="F221"/>
      <c s="103" r="G221"/>
    </row>
    <row r="222">
      <c s="103" r="B222"/>
      <c s="103" r="C222"/>
      <c s="103" r="D222"/>
      <c s="103" r="E222"/>
      <c s="103" r="F222"/>
      <c s="103" r="G222"/>
    </row>
    <row r="223">
      <c s="103" r="B223"/>
      <c s="103" r="C223"/>
      <c s="103" r="D223"/>
      <c s="103" r="E223"/>
      <c s="103" r="F223"/>
      <c s="103" r="G223"/>
    </row>
    <row r="224">
      <c s="103" r="B224"/>
      <c s="103" r="C224"/>
      <c s="103" r="D224"/>
      <c s="103" r="E224"/>
      <c s="103" r="F224"/>
      <c s="103" r="G224"/>
    </row>
    <row r="225">
      <c s="103" r="B225"/>
      <c s="103" r="C225"/>
      <c s="103" r="D225"/>
      <c s="103" r="E225"/>
      <c s="103" r="F225"/>
      <c s="103" r="G225"/>
    </row>
    <row r="226">
      <c s="103" r="B226"/>
      <c s="103" r="C226"/>
      <c s="103" r="D226"/>
      <c s="103" r="E226"/>
      <c s="103" r="F226"/>
      <c s="103" r="G226"/>
    </row>
    <row r="227">
      <c s="103" r="B227"/>
      <c s="103" r="C227"/>
      <c s="103" r="D227"/>
      <c s="103" r="E227"/>
      <c s="103" r="F227"/>
      <c s="103" r="G227"/>
    </row>
    <row r="228">
      <c s="103" r="B228"/>
      <c s="103" r="C228"/>
      <c s="103" r="D228"/>
      <c s="103" r="E228"/>
      <c s="103" r="F228"/>
      <c s="103" r="G228"/>
    </row>
    <row r="229">
      <c s="103" r="B229"/>
      <c s="103" r="C229"/>
      <c s="103" r="D229"/>
      <c s="103" r="E229"/>
      <c s="103" r="F229"/>
      <c s="103" r="G229"/>
    </row>
    <row r="230">
      <c s="103" r="B230"/>
      <c s="103" r="C230"/>
      <c s="103" r="D230"/>
      <c s="103" r="E230"/>
      <c s="103" r="F230"/>
      <c s="103" r="G230"/>
    </row>
    <row r="231">
      <c s="103" r="B231"/>
      <c s="103" r="C231"/>
      <c s="103" r="D231"/>
      <c s="103" r="E231"/>
      <c s="103" r="F231"/>
      <c s="103" r="G231"/>
    </row>
    <row r="232">
      <c s="103" r="B232"/>
      <c s="103" r="C232"/>
      <c s="103" r="D232"/>
      <c s="103" r="E232"/>
      <c s="103" r="F232"/>
      <c s="103" r="G232"/>
    </row>
    <row r="233">
      <c s="103" r="B233"/>
      <c s="103" r="C233"/>
      <c s="103" r="D233"/>
      <c s="103" r="E233"/>
      <c s="103" r="F233"/>
      <c s="103" r="G233"/>
    </row>
    <row r="234">
      <c s="103" r="B234"/>
      <c s="103" r="C234"/>
      <c s="103" r="D234"/>
      <c s="103" r="E234"/>
      <c s="103" r="F234"/>
      <c s="103" r="G234"/>
    </row>
    <row r="235">
      <c s="103" r="B235"/>
      <c s="103" r="C235"/>
      <c s="103" r="D235"/>
      <c s="103" r="E235"/>
      <c s="103" r="F235"/>
      <c s="103" r="G235"/>
    </row>
    <row r="236">
      <c s="103" r="B236"/>
      <c s="103" r="C236"/>
      <c s="103" r="D236"/>
      <c s="103" r="E236"/>
      <c s="103" r="F236"/>
      <c s="103" r="G236"/>
    </row>
    <row r="237">
      <c s="103" r="B237"/>
      <c s="103" r="C237"/>
      <c s="103" r="D237"/>
      <c s="103" r="E237"/>
      <c s="103" r="F237"/>
      <c s="103" r="G237"/>
    </row>
    <row r="238">
      <c s="103" r="B238"/>
      <c s="103" r="C238"/>
      <c s="103" r="D238"/>
      <c s="103" r="E238"/>
      <c s="103" r="F238"/>
      <c s="103" r="G238"/>
    </row>
    <row r="239">
      <c s="103" r="B239"/>
      <c s="103" r="C239"/>
      <c s="103" r="D239"/>
      <c s="103" r="E239"/>
      <c s="103" r="F239"/>
      <c s="103" r="G239"/>
    </row>
    <row r="240">
      <c s="103" r="B240"/>
      <c s="103" r="C240"/>
      <c s="103" r="D240"/>
      <c s="103" r="E240"/>
      <c s="103" r="F240"/>
      <c s="103" r="G240"/>
    </row>
    <row r="241">
      <c s="103" r="B241"/>
      <c s="103" r="C241"/>
      <c s="103" r="D241"/>
      <c s="103" r="E241"/>
      <c s="103" r="F241"/>
      <c s="103" r="G241"/>
    </row>
    <row r="242">
      <c s="103" r="B242"/>
      <c s="103" r="C242"/>
      <c s="103" r="D242"/>
      <c s="103" r="E242"/>
      <c s="103" r="F242"/>
      <c s="103" r="G242"/>
    </row>
    <row r="243">
      <c s="103" r="B243"/>
      <c s="103" r="C243"/>
      <c s="103" r="D243"/>
      <c s="103" r="E243"/>
      <c s="103" r="F243"/>
      <c s="103" r="G243"/>
    </row>
    <row r="244">
      <c s="103" r="B244"/>
      <c s="103" r="C244"/>
      <c s="103" r="D244"/>
      <c s="103" r="E244"/>
      <c s="103" r="F244"/>
      <c s="103" r="G244"/>
    </row>
    <row r="245">
      <c s="103" r="B245"/>
      <c s="103" r="C245"/>
      <c s="103" r="D245"/>
      <c s="103" r="E245"/>
      <c s="103" r="F245"/>
      <c s="103" r="G245"/>
    </row>
    <row r="246">
      <c s="103" r="B246"/>
      <c s="103" r="C246"/>
      <c s="103" r="D246"/>
      <c s="103" r="E246"/>
      <c s="103" r="F246"/>
      <c s="103" r="G246"/>
    </row>
    <row r="247">
      <c s="103" r="B247"/>
      <c s="103" r="C247"/>
      <c s="103" r="D247"/>
      <c s="103" r="E247"/>
      <c s="103" r="F247"/>
      <c s="103" r="G247"/>
    </row>
    <row r="248">
      <c s="103" r="B248"/>
      <c s="103" r="C248"/>
      <c s="103" r="D248"/>
      <c s="103" r="E248"/>
      <c s="103" r="F248"/>
      <c s="103" r="G248"/>
    </row>
    <row r="249">
      <c s="103" r="B249"/>
      <c s="103" r="C249"/>
      <c s="103" r="D249"/>
      <c s="103" r="E249"/>
      <c s="103" r="F249"/>
      <c s="103" r="G249"/>
    </row>
    <row r="250">
      <c s="103" r="B250"/>
      <c s="103" r="C250"/>
      <c s="103" r="D250"/>
      <c s="103" r="E250"/>
      <c s="103" r="F250"/>
      <c s="103" r="G250"/>
    </row>
    <row r="251">
      <c s="103" r="B251"/>
      <c s="103" r="C251"/>
      <c s="103" r="D251"/>
      <c s="103" r="E251"/>
      <c s="103" r="F251"/>
      <c s="103" r="G251"/>
    </row>
    <row r="252">
      <c s="103" r="B252"/>
      <c s="103" r="C252"/>
      <c s="103" r="D252"/>
      <c s="103" r="E252"/>
      <c s="103" r="F252"/>
      <c s="103" r="G252"/>
    </row>
    <row r="253">
      <c s="103" r="B253"/>
      <c s="103" r="C253"/>
      <c s="103" r="D253"/>
      <c s="103" r="E253"/>
      <c s="103" r="F253"/>
      <c s="103" r="G253"/>
    </row>
    <row r="254">
      <c s="103" r="B254"/>
      <c s="103" r="C254"/>
      <c s="103" r="D254"/>
      <c s="103" r="E254"/>
      <c s="103" r="F254"/>
      <c s="103" r="G254"/>
    </row>
    <row r="255">
      <c s="103" r="B255"/>
      <c s="103" r="C255"/>
      <c s="103" r="D255"/>
      <c s="103" r="E255"/>
      <c s="103" r="F255"/>
      <c s="103" r="G255"/>
    </row>
    <row r="256">
      <c s="103" r="B256"/>
      <c s="103" r="C256"/>
      <c s="103" r="D256"/>
      <c s="103" r="E256"/>
      <c s="103" r="F256"/>
      <c s="103" r="G256"/>
    </row>
    <row r="257">
      <c s="103" r="B257"/>
      <c s="103" r="C257"/>
      <c s="103" r="D257"/>
      <c s="103" r="E257"/>
      <c s="103" r="F257"/>
      <c s="103" r="G257"/>
    </row>
    <row r="258">
      <c s="103" r="B258"/>
      <c s="103" r="C258"/>
      <c s="103" r="D258"/>
      <c s="103" r="E258"/>
      <c s="103" r="F258"/>
      <c s="103" r="G258"/>
    </row>
    <row r="259">
      <c s="103" r="B259"/>
      <c s="103" r="C259"/>
      <c s="103" r="D259"/>
      <c s="103" r="E259"/>
      <c s="103" r="F259"/>
      <c s="103" r="G259"/>
    </row>
    <row r="260">
      <c s="103" r="B260"/>
      <c s="103" r="C260"/>
      <c s="103" r="D260"/>
      <c s="103" r="E260"/>
      <c s="103" r="F260"/>
      <c s="103" r="G260"/>
    </row>
    <row r="261">
      <c s="103" r="B261"/>
      <c s="103" r="C261"/>
      <c s="103" r="D261"/>
      <c s="103" r="E261"/>
      <c s="103" r="F261"/>
      <c s="103" r="G261"/>
    </row>
    <row r="262">
      <c s="103" r="B262"/>
      <c s="103" r="C262"/>
      <c s="103" r="D262"/>
      <c s="103" r="E262"/>
      <c s="103" r="F262"/>
      <c s="103" r="G262"/>
    </row>
    <row r="263">
      <c s="103" r="B263"/>
      <c s="103" r="C263"/>
      <c s="103" r="D263"/>
      <c s="103" r="E263"/>
      <c s="103" r="F263"/>
      <c s="103" r="G263"/>
    </row>
    <row r="264">
      <c s="103" r="B264"/>
      <c s="103" r="C264"/>
      <c s="103" r="D264"/>
      <c s="103" r="E264"/>
      <c s="103" r="F264"/>
      <c s="103" r="G264"/>
    </row>
    <row r="265">
      <c s="103" r="B265"/>
      <c s="103" r="C265"/>
      <c s="103" r="D265"/>
      <c s="103" r="E265"/>
      <c s="103" r="F265"/>
      <c s="103" r="G265"/>
    </row>
    <row r="266">
      <c s="103" r="B266"/>
      <c s="103" r="C266"/>
      <c s="103" r="D266"/>
      <c s="103" r="E266"/>
      <c s="103" r="F266"/>
      <c s="103" r="G266"/>
    </row>
    <row r="267">
      <c s="103" r="B267"/>
      <c s="103" r="C267"/>
      <c s="103" r="D267"/>
      <c s="103" r="E267"/>
      <c s="103" r="F267"/>
      <c s="103" r="G267"/>
    </row>
    <row r="268">
      <c s="103" r="B268"/>
      <c s="103" r="C268"/>
      <c s="103" r="D268"/>
      <c s="103" r="E268"/>
      <c s="103" r="F268"/>
      <c s="103" r="G268"/>
    </row>
    <row r="269">
      <c s="103" r="B269"/>
      <c s="103" r="C269"/>
      <c s="103" r="D269"/>
      <c s="103" r="E269"/>
      <c s="103" r="F269"/>
      <c s="103" r="G269"/>
    </row>
    <row r="270">
      <c s="103" r="B270"/>
      <c s="103" r="C270"/>
      <c s="103" r="D270"/>
      <c s="103" r="E270"/>
      <c s="103" r="F270"/>
      <c s="103" r="G270"/>
    </row>
    <row r="271">
      <c s="103" r="B271"/>
      <c s="103" r="C271"/>
      <c s="103" r="D271"/>
      <c s="103" r="E271"/>
      <c s="103" r="F271"/>
      <c s="103" r="G271"/>
    </row>
    <row r="272">
      <c s="103" r="B272"/>
      <c s="103" r="C272"/>
      <c s="103" r="D272"/>
      <c s="103" r="E272"/>
      <c s="103" r="F272"/>
      <c s="103" r="G272"/>
    </row>
    <row r="273">
      <c s="103" r="B273"/>
      <c s="103" r="C273"/>
      <c s="103" r="D273"/>
      <c s="103" r="E273"/>
      <c s="103" r="F273"/>
      <c s="103" r="G273"/>
    </row>
    <row r="274">
      <c s="103" r="B274"/>
      <c s="103" r="C274"/>
      <c s="103" r="D274"/>
      <c s="103" r="E274"/>
      <c s="103" r="F274"/>
      <c s="103" r="G274"/>
    </row>
    <row r="275">
      <c s="103" r="B275"/>
      <c s="103" r="C275"/>
      <c s="103" r="D275"/>
      <c s="103" r="E275"/>
      <c s="103" r="F275"/>
      <c s="103" r="G275"/>
    </row>
    <row r="276">
      <c s="103" r="B276"/>
      <c s="103" r="C276"/>
      <c s="103" r="D276"/>
      <c s="103" r="E276"/>
      <c s="103" r="F276"/>
      <c s="103" r="G276"/>
    </row>
    <row r="277">
      <c s="103" r="B277"/>
      <c s="103" r="C277"/>
      <c s="103" r="D277"/>
      <c s="103" r="E277"/>
      <c s="103" r="F277"/>
      <c s="103" r="G277"/>
    </row>
    <row r="278">
      <c s="103" r="B278"/>
      <c s="103" r="C278"/>
      <c s="103" r="D278"/>
      <c s="103" r="E278"/>
      <c s="103" r="F278"/>
      <c s="103" r="G278"/>
    </row>
    <row r="279">
      <c s="103" r="B279"/>
      <c s="103" r="C279"/>
      <c s="103" r="D279"/>
      <c s="103" r="E279"/>
      <c s="103" r="F279"/>
      <c s="103" r="G279"/>
    </row>
    <row r="280">
      <c s="103" r="B280"/>
      <c s="103" r="C280"/>
      <c s="103" r="D280"/>
      <c s="103" r="E280"/>
      <c s="103" r="F280"/>
      <c s="103" r="G280"/>
    </row>
    <row r="281">
      <c s="103" r="B281"/>
      <c s="103" r="C281"/>
      <c s="103" r="D281"/>
      <c s="103" r="E281"/>
      <c s="103" r="F281"/>
      <c s="103" r="G281"/>
    </row>
    <row r="282">
      <c s="103" r="B282"/>
      <c s="103" r="C282"/>
      <c s="103" r="D282"/>
      <c s="103" r="E282"/>
      <c s="103" r="F282"/>
      <c s="103" r="G282"/>
    </row>
    <row r="283">
      <c s="103" r="B283"/>
      <c s="103" r="C283"/>
      <c s="103" r="D283"/>
      <c s="103" r="E283"/>
      <c s="103" r="F283"/>
      <c s="103" r="G283"/>
    </row>
    <row r="284">
      <c s="103" r="B284"/>
      <c s="103" r="C284"/>
      <c s="103" r="D284"/>
      <c s="103" r="E284"/>
      <c s="103" r="F284"/>
      <c s="103" r="G284"/>
    </row>
    <row r="285">
      <c s="103" r="B285"/>
      <c s="103" r="C285"/>
      <c s="103" r="D285"/>
      <c s="103" r="E285"/>
      <c s="103" r="F285"/>
      <c s="103" r="G285"/>
    </row>
    <row r="286">
      <c s="103" r="B286"/>
      <c s="103" r="C286"/>
      <c s="103" r="D286"/>
      <c s="103" r="E286"/>
      <c s="103" r="F286"/>
      <c s="103" r="G286"/>
    </row>
    <row r="287">
      <c s="103" r="B287"/>
      <c s="103" r="C287"/>
      <c s="103" r="D287"/>
      <c s="103" r="E287"/>
      <c s="103" r="F287"/>
      <c s="103" r="G287"/>
    </row>
    <row r="288">
      <c s="103" r="B288"/>
      <c s="103" r="C288"/>
      <c s="103" r="D288"/>
      <c s="103" r="E288"/>
      <c s="103" r="F288"/>
      <c s="103" r="G288"/>
    </row>
    <row r="289">
      <c s="103" r="B289"/>
      <c s="103" r="C289"/>
      <c s="103" r="D289"/>
      <c s="103" r="E289"/>
      <c s="103" r="F289"/>
      <c s="103" r="G289"/>
    </row>
    <row r="290">
      <c s="103" r="B290"/>
      <c s="103" r="C290"/>
      <c s="103" r="D290"/>
      <c s="103" r="E290"/>
      <c s="103" r="F290"/>
      <c s="103" r="G290"/>
    </row>
    <row r="291">
      <c s="103" r="B291"/>
      <c s="103" r="C291"/>
      <c s="103" r="D291"/>
      <c s="103" r="E291"/>
      <c s="103" r="F291"/>
      <c s="103" r="G291"/>
    </row>
    <row r="292">
      <c s="103" r="B292"/>
      <c s="103" r="C292"/>
      <c s="103" r="D292"/>
      <c s="103" r="E292"/>
      <c s="103" r="F292"/>
      <c s="103" r="G292"/>
    </row>
    <row r="293">
      <c s="103" r="B293"/>
      <c s="103" r="C293"/>
      <c s="103" r="D293"/>
      <c s="103" r="E293"/>
      <c s="103" r="F293"/>
      <c s="103" r="G293"/>
    </row>
    <row r="294">
      <c s="103" r="B294"/>
      <c s="103" r="C294"/>
      <c s="103" r="D294"/>
      <c s="103" r="E294"/>
      <c s="103" r="F294"/>
      <c s="103" r="G294"/>
    </row>
    <row r="295">
      <c s="103" r="B295"/>
      <c s="103" r="C295"/>
      <c s="103" r="D295"/>
      <c s="103" r="E295"/>
      <c s="103" r="F295"/>
      <c s="103" r="G295"/>
    </row>
    <row r="296">
      <c s="103" r="B296"/>
      <c s="103" r="C296"/>
      <c s="103" r="D296"/>
      <c s="103" r="E296"/>
      <c s="103" r="F296"/>
      <c s="103" r="G296"/>
    </row>
    <row r="297">
      <c s="103" r="B297"/>
      <c s="103" r="C297"/>
      <c s="103" r="D297"/>
      <c s="103" r="E297"/>
      <c s="103" r="F297"/>
      <c s="103" r="G297"/>
    </row>
    <row r="298">
      <c s="103" r="B298"/>
      <c s="103" r="C298"/>
      <c s="103" r="D298"/>
      <c s="103" r="E298"/>
      <c s="103" r="F298"/>
      <c s="103" r="G298"/>
    </row>
    <row r="299">
      <c s="103" r="B299"/>
      <c s="103" r="C299"/>
      <c s="103" r="D299"/>
      <c s="103" r="E299"/>
      <c s="103" r="F299"/>
      <c s="103" r="G299"/>
    </row>
    <row r="300">
      <c s="103" r="B300"/>
      <c s="103" r="C300"/>
      <c s="103" r="D300"/>
      <c s="103" r="E300"/>
      <c s="103" r="F300"/>
      <c s="103" r="G300"/>
    </row>
    <row r="301">
      <c s="103" r="B301"/>
      <c s="103" r="C301"/>
      <c s="103" r="D301"/>
      <c s="103" r="E301"/>
      <c s="103" r="F301"/>
      <c s="103" r="G301"/>
    </row>
    <row r="302">
      <c s="103" r="B302"/>
      <c s="103" r="C302"/>
      <c s="103" r="D302"/>
      <c s="103" r="E302"/>
      <c s="103" r="F302"/>
      <c s="103" r="G302"/>
    </row>
    <row r="303">
      <c s="103" r="B303"/>
      <c s="103" r="C303"/>
      <c s="103" r="D303"/>
      <c s="103" r="E303"/>
      <c s="103" r="F303"/>
      <c s="103" r="G303"/>
    </row>
    <row r="304">
      <c s="103" r="B304"/>
      <c s="103" r="C304"/>
      <c s="103" r="D304"/>
      <c s="103" r="E304"/>
      <c s="103" r="F304"/>
      <c s="103" r="G304"/>
    </row>
    <row r="305">
      <c s="103" r="B305"/>
      <c s="103" r="C305"/>
      <c s="103" r="D305"/>
      <c s="103" r="E305"/>
      <c s="103" r="F305"/>
      <c s="103" r="G305"/>
    </row>
    <row r="306">
      <c s="103" r="B306"/>
      <c s="103" r="C306"/>
      <c s="103" r="D306"/>
      <c s="103" r="E306"/>
      <c s="103" r="F306"/>
      <c s="103" r="G306"/>
    </row>
    <row r="307">
      <c s="103" r="B307"/>
      <c s="103" r="C307"/>
      <c s="103" r="D307"/>
      <c s="103" r="E307"/>
      <c s="103" r="F307"/>
      <c s="103" r="G307"/>
    </row>
    <row r="308">
      <c s="103" r="B308"/>
      <c s="103" r="C308"/>
      <c s="103" r="D308"/>
      <c s="103" r="E308"/>
      <c s="103" r="F308"/>
      <c s="103" r="G308"/>
    </row>
    <row r="309">
      <c s="103" r="B309"/>
      <c s="103" r="C309"/>
      <c s="103" r="D309"/>
      <c s="103" r="E309"/>
      <c s="103" r="F309"/>
      <c s="103" r="G309"/>
    </row>
    <row r="310">
      <c s="103" r="B310"/>
      <c s="103" r="C310"/>
      <c s="103" r="D310"/>
      <c s="103" r="E310"/>
      <c s="103" r="F310"/>
      <c s="103" r="G310"/>
    </row>
    <row r="311">
      <c s="103" r="B311"/>
      <c s="103" r="C311"/>
      <c s="103" r="D311"/>
      <c s="103" r="E311"/>
      <c s="103" r="F311"/>
      <c s="103" r="G311"/>
    </row>
    <row r="312">
      <c s="103" r="B312"/>
      <c s="103" r="C312"/>
      <c s="103" r="D312"/>
      <c s="103" r="E312"/>
      <c s="103" r="F312"/>
      <c s="103" r="G312"/>
    </row>
    <row r="313">
      <c s="103" r="B313"/>
      <c s="103" r="C313"/>
      <c s="103" r="D313"/>
      <c s="103" r="E313"/>
      <c s="103" r="F313"/>
      <c s="103" r="G313"/>
    </row>
    <row r="314">
      <c s="103" r="B314"/>
      <c s="103" r="C314"/>
      <c s="103" r="D314"/>
      <c s="103" r="E314"/>
      <c s="103" r="F314"/>
      <c s="103" r="G314"/>
    </row>
    <row r="315">
      <c s="103" r="B315"/>
      <c s="103" r="C315"/>
      <c s="103" r="D315"/>
      <c s="103" r="E315"/>
      <c s="103" r="F315"/>
      <c s="103" r="G315"/>
    </row>
    <row r="316">
      <c s="103" r="B316"/>
      <c s="103" r="C316"/>
      <c s="103" r="D316"/>
      <c s="103" r="E316"/>
      <c s="103" r="F316"/>
      <c s="103" r="G316"/>
    </row>
    <row r="317">
      <c s="103" r="B317"/>
      <c s="103" r="C317"/>
      <c s="103" r="D317"/>
      <c s="103" r="E317"/>
      <c s="103" r="F317"/>
      <c s="103" r="G317"/>
    </row>
    <row r="318">
      <c s="103" r="B318"/>
      <c s="103" r="C318"/>
      <c s="103" r="D318"/>
      <c s="103" r="E318"/>
      <c s="103" r="F318"/>
      <c s="103" r="G318"/>
    </row>
    <row r="319">
      <c s="103" r="B319"/>
      <c s="103" r="C319"/>
      <c s="103" r="D319"/>
      <c s="103" r="E319"/>
      <c s="103" r="F319"/>
      <c s="103" r="G319"/>
    </row>
    <row r="320">
      <c s="103" r="B320"/>
      <c s="103" r="C320"/>
      <c s="103" r="D320"/>
      <c s="103" r="E320"/>
      <c s="103" r="F320"/>
      <c s="103" r="G320"/>
    </row>
    <row r="321">
      <c s="103" r="B321"/>
      <c s="103" r="C321"/>
      <c s="103" r="D321"/>
      <c s="103" r="E321"/>
      <c s="103" r="F321"/>
      <c s="103" r="G321"/>
    </row>
    <row r="322">
      <c s="103" r="B322"/>
      <c s="103" r="C322"/>
      <c s="103" r="D322"/>
      <c s="103" r="E322"/>
      <c s="103" r="F322"/>
      <c s="103" r="G322"/>
    </row>
    <row r="323">
      <c s="103" r="B323"/>
      <c s="103" r="C323"/>
      <c s="103" r="D323"/>
      <c s="103" r="E323"/>
      <c s="103" r="F323"/>
      <c s="103" r="G323"/>
    </row>
    <row r="324">
      <c s="103" r="B324"/>
      <c s="103" r="C324"/>
      <c s="103" r="D324"/>
      <c s="103" r="E324"/>
      <c s="103" r="F324"/>
      <c s="103" r="G324"/>
    </row>
    <row r="325">
      <c s="103" r="B325"/>
      <c s="103" r="C325"/>
      <c s="103" r="D325"/>
      <c s="103" r="E325"/>
      <c s="103" r="F325"/>
      <c s="103" r="G325"/>
    </row>
    <row r="326">
      <c s="103" r="B326"/>
      <c s="103" r="C326"/>
      <c s="103" r="D326"/>
      <c s="103" r="E326"/>
      <c s="103" r="F326"/>
      <c s="103" r="G326"/>
    </row>
    <row r="327">
      <c s="103" r="B327"/>
      <c s="103" r="C327"/>
      <c s="103" r="D327"/>
      <c s="103" r="E327"/>
      <c s="103" r="F327"/>
      <c s="103" r="G327"/>
    </row>
    <row r="328">
      <c s="103" r="B328"/>
      <c s="103" r="C328"/>
      <c s="103" r="D328"/>
      <c s="103" r="E328"/>
      <c s="103" r="F328"/>
      <c s="103" r="G328"/>
    </row>
    <row r="329">
      <c s="103" r="B329"/>
      <c s="103" r="C329"/>
      <c s="103" r="D329"/>
      <c s="103" r="E329"/>
      <c s="103" r="F329"/>
      <c s="103" r="G329"/>
    </row>
    <row r="330">
      <c s="103" r="B330"/>
      <c s="103" r="C330"/>
      <c s="103" r="D330"/>
      <c s="103" r="E330"/>
      <c s="103" r="F330"/>
      <c s="103" r="G330"/>
    </row>
    <row r="331">
      <c s="103" r="B331"/>
      <c s="103" r="C331"/>
      <c s="103" r="D331"/>
      <c s="103" r="E331"/>
      <c s="103" r="F331"/>
      <c s="103" r="G331"/>
    </row>
    <row r="332">
      <c s="103" r="B332"/>
      <c s="103" r="C332"/>
      <c s="103" r="D332"/>
      <c s="103" r="E332"/>
      <c s="103" r="F332"/>
      <c s="103" r="G332"/>
    </row>
    <row r="333">
      <c s="103" r="B333"/>
      <c s="103" r="C333"/>
      <c s="103" r="D333"/>
      <c s="103" r="E333"/>
      <c s="103" r="F333"/>
      <c s="103" r="G333"/>
    </row>
    <row r="334">
      <c s="103" r="B334"/>
      <c s="103" r="C334"/>
      <c s="103" r="D334"/>
      <c s="103" r="E334"/>
      <c s="103" r="F334"/>
      <c s="103" r="G334"/>
    </row>
    <row r="335">
      <c s="103" r="B335"/>
      <c s="103" r="C335"/>
      <c s="103" r="D335"/>
      <c s="103" r="E335"/>
      <c s="103" r="F335"/>
      <c s="103" r="G335"/>
    </row>
    <row r="336">
      <c s="103" r="B336"/>
      <c s="103" r="C336"/>
      <c s="103" r="D336"/>
      <c s="103" r="E336"/>
      <c s="103" r="F336"/>
      <c s="103" r="G336"/>
    </row>
    <row r="337">
      <c s="103" r="B337"/>
      <c s="103" r="C337"/>
      <c s="103" r="D337"/>
      <c s="103" r="E337"/>
      <c s="103" r="F337"/>
      <c s="103" r="G337"/>
    </row>
    <row r="338">
      <c s="103" r="B338"/>
      <c s="103" r="C338"/>
      <c s="103" r="D338"/>
      <c s="103" r="E338"/>
      <c s="103" r="F338"/>
      <c s="103" r="G338"/>
    </row>
    <row r="339">
      <c s="103" r="B339"/>
      <c s="103" r="C339"/>
      <c s="103" r="D339"/>
      <c s="103" r="E339"/>
      <c s="103" r="F339"/>
      <c s="103" r="G339"/>
    </row>
    <row r="340">
      <c s="103" r="B340"/>
      <c s="103" r="C340"/>
      <c s="103" r="D340"/>
      <c s="103" r="E340"/>
      <c s="103" r="F340"/>
      <c s="103" r="G340"/>
    </row>
    <row r="341">
      <c s="103" r="B341"/>
      <c s="103" r="C341"/>
      <c s="103" r="D341"/>
      <c s="103" r="E341"/>
      <c s="103" r="F341"/>
      <c s="103" r="G341"/>
    </row>
    <row r="342">
      <c s="103" r="B342"/>
      <c s="103" r="C342"/>
      <c s="103" r="D342"/>
      <c s="103" r="E342"/>
      <c s="103" r="F342"/>
      <c s="103" r="G342"/>
    </row>
    <row r="343">
      <c s="103" r="B343"/>
      <c s="103" r="C343"/>
      <c s="103" r="D343"/>
      <c s="103" r="E343"/>
      <c s="103" r="F343"/>
      <c s="103" r="G343"/>
    </row>
    <row r="344">
      <c s="103" r="B344"/>
      <c s="103" r="C344"/>
      <c s="103" r="D344"/>
      <c s="103" r="E344"/>
      <c s="103" r="F344"/>
      <c s="103" r="G344"/>
    </row>
    <row r="345">
      <c s="103" r="B345"/>
      <c s="103" r="C345"/>
      <c s="103" r="D345"/>
      <c s="103" r="E345"/>
      <c s="103" r="F345"/>
      <c s="103" r="G345"/>
    </row>
    <row r="346">
      <c s="103" r="B346"/>
      <c s="103" r="C346"/>
      <c s="103" r="D346"/>
      <c s="103" r="E346"/>
      <c s="103" r="F346"/>
      <c s="103" r="G346"/>
    </row>
    <row r="347">
      <c s="103" r="B347"/>
      <c s="103" r="C347"/>
      <c s="103" r="D347"/>
      <c s="103" r="E347"/>
      <c s="103" r="F347"/>
      <c s="103" r="G347"/>
    </row>
    <row r="348">
      <c s="103" r="B348"/>
      <c s="103" r="C348"/>
      <c s="103" r="D348"/>
      <c s="103" r="E348"/>
      <c s="103" r="F348"/>
      <c s="103" r="G348"/>
    </row>
    <row r="349">
      <c s="103" r="B349"/>
      <c s="103" r="C349"/>
      <c s="103" r="D349"/>
      <c s="103" r="E349"/>
      <c s="103" r="F349"/>
      <c s="103" r="G349"/>
    </row>
    <row r="350">
      <c s="103" r="B350"/>
      <c s="103" r="C350"/>
      <c s="103" r="D350"/>
      <c s="103" r="E350"/>
      <c s="103" r="F350"/>
      <c s="103" r="G350"/>
    </row>
    <row r="351">
      <c s="103" r="B351"/>
      <c s="103" r="C351"/>
      <c s="103" r="D351"/>
      <c s="103" r="E351"/>
      <c s="103" r="F351"/>
      <c s="103" r="G351"/>
    </row>
    <row r="352">
      <c s="103" r="B352"/>
      <c s="103" r="C352"/>
      <c s="103" r="D352"/>
      <c s="103" r="E352"/>
      <c s="103" r="F352"/>
      <c s="103" r="G352"/>
    </row>
    <row r="353">
      <c s="103" r="B353"/>
      <c s="103" r="C353"/>
      <c s="103" r="D353"/>
      <c s="103" r="E353"/>
      <c s="103" r="F353"/>
      <c s="103" r="G353"/>
    </row>
    <row r="354">
      <c s="103" r="B354"/>
      <c s="103" r="C354"/>
      <c s="103" r="D354"/>
      <c s="103" r="E354"/>
      <c s="103" r="F354"/>
      <c s="103" r="G354"/>
    </row>
    <row r="355">
      <c s="103" r="B355"/>
      <c s="103" r="C355"/>
      <c s="103" r="D355"/>
      <c s="103" r="E355"/>
      <c s="103" r="F355"/>
      <c s="103" r="G355"/>
    </row>
    <row r="356">
      <c s="103" r="B356"/>
      <c s="103" r="C356"/>
      <c s="103" r="D356"/>
      <c s="103" r="E356"/>
      <c s="103" r="F356"/>
      <c s="103" r="G356"/>
    </row>
    <row r="357">
      <c s="103" r="B357"/>
      <c s="103" r="C357"/>
      <c s="103" r="D357"/>
      <c s="103" r="E357"/>
      <c s="103" r="F357"/>
      <c s="103" r="G357"/>
    </row>
    <row r="358">
      <c s="103" r="B358"/>
      <c s="103" r="C358"/>
      <c s="103" r="D358"/>
      <c s="103" r="E358"/>
      <c s="103" r="F358"/>
      <c s="103" r="G358"/>
    </row>
    <row r="359">
      <c s="103" r="B359"/>
      <c s="103" r="C359"/>
      <c s="103" r="D359"/>
      <c s="103" r="E359"/>
      <c s="103" r="F359"/>
      <c s="103" r="G359"/>
    </row>
    <row r="360">
      <c s="103" r="B360"/>
      <c s="103" r="C360"/>
      <c s="103" r="D360"/>
      <c s="103" r="E360"/>
      <c s="103" r="F360"/>
      <c s="103" r="G360"/>
    </row>
    <row r="361">
      <c s="103" r="B361"/>
      <c s="103" r="C361"/>
      <c s="103" r="D361"/>
      <c s="103" r="E361"/>
      <c s="103" r="F361"/>
      <c s="103" r="G361"/>
    </row>
    <row r="362">
      <c s="103" r="B362"/>
      <c s="103" r="C362"/>
      <c s="103" r="D362"/>
      <c s="103" r="E362"/>
      <c s="103" r="F362"/>
      <c s="103" r="G362"/>
    </row>
    <row r="363">
      <c s="103" r="B363"/>
      <c s="103" r="C363"/>
      <c s="103" r="D363"/>
      <c s="103" r="E363"/>
      <c s="103" r="F363"/>
      <c s="103" r="G363"/>
    </row>
    <row r="364">
      <c s="103" r="B364"/>
      <c s="103" r="C364"/>
      <c s="103" r="D364"/>
      <c s="103" r="E364"/>
      <c s="103" r="F364"/>
      <c s="103" r="G364"/>
    </row>
    <row r="365">
      <c s="103" r="B365"/>
      <c s="103" r="C365"/>
      <c s="103" r="D365"/>
      <c s="103" r="E365"/>
      <c s="103" r="F365"/>
      <c s="103" r="G365"/>
    </row>
    <row r="366">
      <c s="103" r="B366"/>
      <c s="103" r="C366"/>
      <c s="103" r="D366"/>
      <c s="103" r="E366"/>
      <c s="103" r="F366"/>
      <c s="103" r="G366"/>
    </row>
    <row r="367">
      <c s="103" r="B367"/>
      <c s="103" r="C367"/>
      <c s="103" r="D367"/>
      <c s="103" r="E367"/>
      <c s="103" r="F367"/>
      <c s="103" r="G367"/>
    </row>
    <row r="368">
      <c s="103" r="B368"/>
      <c s="103" r="C368"/>
      <c s="103" r="D368"/>
      <c s="103" r="E368"/>
      <c s="103" r="F368"/>
      <c s="103" r="G368"/>
    </row>
    <row r="369">
      <c s="103" r="B369"/>
      <c s="103" r="C369"/>
      <c s="103" r="D369"/>
      <c s="103" r="E369"/>
      <c s="103" r="F369"/>
      <c s="103" r="G369"/>
    </row>
    <row r="370">
      <c s="103" r="B370"/>
      <c s="103" r="C370"/>
      <c s="103" r="D370"/>
      <c s="103" r="E370"/>
      <c s="103" r="F370"/>
      <c s="103" r="G370"/>
    </row>
    <row r="371">
      <c s="103" r="B371"/>
      <c s="103" r="C371"/>
      <c s="103" r="D371"/>
      <c s="103" r="E371"/>
      <c s="103" r="F371"/>
      <c s="103" r="G371"/>
    </row>
    <row r="372">
      <c s="103" r="B372"/>
      <c s="103" r="C372"/>
      <c s="103" r="D372"/>
      <c s="103" r="E372"/>
      <c s="103" r="F372"/>
      <c s="103" r="G372"/>
    </row>
    <row r="373">
      <c s="103" r="B373"/>
      <c s="103" r="C373"/>
      <c s="103" r="D373"/>
      <c s="103" r="E373"/>
      <c s="103" r="F373"/>
      <c s="103" r="G373"/>
    </row>
    <row r="374">
      <c s="103" r="B374"/>
      <c s="103" r="C374"/>
      <c s="103" r="D374"/>
      <c s="103" r="E374"/>
      <c s="103" r="F374"/>
      <c s="103" r="G374"/>
    </row>
    <row r="375">
      <c s="103" r="B375"/>
      <c s="103" r="C375"/>
      <c s="103" r="D375"/>
      <c s="103" r="E375"/>
      <c s="103" r="F375"/>
      <c s="103" r="G375"/>
    </row>
    <row r="376">
      <c s="103" r="B376"/>
      <c s="103" r="C376"/>
      <c s="103" r="D376"/>
      <c s="103" r="E376"/>
      <c s="103" r="F376"/>
      <c s="103" r="G376"/>
    </row>
    <row r="377">
      <c s="103" r="B377"/>
      <c s="103" r="C377"/>
      <c s="103" r="D377"/>
      <c s="103" r="E377"/>
      <c s="103" r="F377"/>
      <c s="103" r="G377"/>
    </row>
    <row r="378">
      <c s="103" r="B378"/>
      <c s="103" r="C378"/>
      <c s="103" r="D378"/>
      <c s="103" r="E378"/>
      <c s="103" r="F378"/>
      <c s="103" r="G378"/>
    </row>
    <row r="379">
      <c s="103" r="B379"/>
      <c s="103" r="C379"/>
      <c s="103" r="D379"/>
      <c s="103" r="E379"/>
      <c s="103" r="F379"/>
      <c s="103" r="G379"/>
    </row>
    <row r="380">
      <c s="103" r="B380"/>
      <c s="103" r="C380"/>
      <c s="103" r="D380"/>
      <c s="103" r="E380"/>
      <c s="103" r="F380"/>
      <c s="103" r="G380"/>
    </row>
    <row r="381">
      <c s="103" r="B381"/>
      <c s="103" r="C381"/>
      <c s="103" r="D381"/>
      <c s="103" r="E381"/>
      <c s="103" r="F381"/>
      <c s="103" r="G381"/>
    </row>
    <row r="382">
      <c s="103" r="B382"/>
      <c s="103" r="C382"/>
      <c s="103" r="D382"/>
      <c s="103" r="E382"/>
      <c s="103" r="F382"/>
      <c s="103" r="G382"/>
    </row>
    <row r="383">
      <c s="103" r="B383"/>
      <c s="103" r="C383"/>
      <c s="103" r="D383"/>
      <c s="103" r="E383"/>
      <c s="103" r="F383"/>
      <c s="103" r="G383"/>
    </row>
    <row r="384">
      <c s="103" r="B384"/>
      <c s="103" r="C384"/>
      <c s="103" r="D384"/>
      <c s="103" r="E384"/>
      <c s="103" r="F384"/>
      <c s="103" r="G384"/>
    </row>
    <row r="385">
      <c s="103" r="B385"/>
      <c s="103" r="C385"/>
      <c s="103" r="D385"/>
      <c s="103" r="E385"/>
      <c s="103" r="F385"/>
      <c s="103" r="G385"/>
    </row>
    <row r="386">
      <c s="103" r="B386"/>
      <c s="103" r="C386"/>
      <c s="103" r="D386"/>
      <c s="103" r="E386"/>
      <c s="103" r="F386"/>
      <c s="103" r="G386"/>
    </row>
    <row r="387">
      <c s="103" r="B387"/>
      <c s="103" r="C387"/>
      <c s="103" r="D387"/>
      <c s="103" r="E387"/>
      <c s="103" r="F387"/>
      <c s="103" r="G387"/>
    </row>
    <row r="388">
      <c s="103" r="B388"/>
      <c s="103" r="C388"/>
      <c s="103" r="D388"/>
      <c s="103" r="E388"/>
      <c s="103" r="F388"/>
      <c s="103" r="G388"/>
    </row>
    <row r="389">
      <c s="103" r="B389"/>
      <c s="103" r="C389"/>
      <c s="103" r="D389"/>
      <c s="103" r="E389"/>
      <c s="103" r="F389"/>
      <c s="103" r="G389"/>
    </row>
    <row r="390">
      <c s="103" r="B390"/>
      <c s="103" r="C390"/>
      <c s="103" r="D390"/>
      <c s="103" r="E390"/>
      <c s="103" r="F390"/>
      <c s="103" r="G390"/>
    </row>
    <row r="391">
      <c s="103" r="B391"/>
      <c s="103" r="C391"/>
      <c s="103" r="D391"/>
      <c s="103" r="E391"/>
      <c s="103" r="F391"/>
      <c s="103" r="G391"/>
    </row>
    <row r="392">
      <c s="103" r="B392"/>
      <c s="103" r="C392"/>
      <c s="103" r="D392"/>
      <c s="103" r="E392"/>
      <c s="103" r="F392"/>
      <c s="103" r="G392"/>
    </row>
    <row r="393">
      <c s="103" r="B393"/>
      <c s="103" r="C393"/>
      <c s="103" r="D393"/>
      <c s="103" r="E393"/>
      <c s="103" r="F393"/>
      <c s="103" r="G393"/>
    </row>
    <row r="394">
      <c s="103" r="B394"/>
      <c s="103" r="C394"/>
      <c s="103" r="D394"/>
      <c s="103" r="E394"/>
      <c s="103" r="F394"/>
      <c s="103" r="G394"/>
    </row>
    <row r="395">
      <c s="103" r="B395"/>
      <c s="103" r="C395"/>
      <c s="103" r="D395"/>
      <c s="103" r="E395"/>
      <c s="103" r="F395"/>
      <c s="103" r="G395"/>
    </row>
    <row r="396">
      <c s="103" r="B396"/>
      <c s="103" r="C396"/>
      <c s="103" r="D396"/>
      <c s="103" r="E396"/>
      <c s="103" r="F396"/>
      <c s="103" r="G396"/>
    </row>
    <row r="397">
      <c s="103" r="B397"/>
      <c s="103" r="C397"/>
      <c s="103" r="D397"/>
      <c s="103" r="E397"/>
      <c s="103" r="F397"/>
      <c s="103" r="G397"/>
    </row>
    <row r="398">
      <c s="103" r="B398"/>
      <c s="103" r="C398"/>
      <c s="103" r="D398"/>
      <c s="103" r="E398"/>
      <c s="103" r="F398"/>
      <c s="103" r="G398"/>
    </row>
    <row r="399">
      <c s="103" r="B399"/>
      <c s="103" r="C399"/>
      <c s="103" r="D399"/>
      <c s="103" r="E399"/>
      <c s="103" r="F399"/>
      <c s="103" r="G399"/>
    </row>
    <row r="400">
      <c s="103" r="B400"/>
      <c s="103" r="C400"/>
      <c s="103" r="D400"/>
      <c s="103" r="E400"/>
      <c s="103" r="F400"/>
      <c s="103" r="G400"/>
    </row>
    <row r="401">
      <c s="103" r="B401"/>
      <c s="103" r="C401"/>
      <c s="103" r="D401"/>
      <c s="103" r="E401"/>
      <c s="103" r="F401"/>
      <c s="103" r="G401"/>
    </row>
    <row r="402">
      <c s="103" r="B402"/>
      <c s="103" r="C402"/>
      <c s="103" r="D402"/>
      <c s="103" r="E402"/>
      <c s="103" r="F402"/>
      <c s="103" r="G402"/>
    </row>
    <row r="403">
      <c s="103" r="B403"/>
      <c s="103" r="C403"/>
      <c s="103" r="D403"/>
      <c s="103" r="E403"/>
      <c s="103" r="F403"/>
      <c s="103" r="G403"/>
    </row>
    <row r="404">
      <c s="103" r="B404"/>
      <c s="103" r="C404"/>
      <c s="103" r="D404"/>
      <c s="103" r="E404"/>
      <c s="103" r="F404"/>
      <c s="103" r="G404"/>
    </row>
    <row r="405">
      <c s="103" r="B405"/>
      <c s="103" r="C405"/>
      <c s="103" r="D405"/>
      <c s="103" r="E405"/>
      <c s="103" r="F405"/>
      <c s="103" r="G405"/>
    </row>
    <row r="406">
      <c s="103" r="B406"/>
      <c s="103" r="C406"/>
      <c s="103" r="D406"/>
      <c s="103" r="E406"/>
      <c s="103" r="F406"/>
      <c s="103" r="G406"/>
    </row>
    <row r="407">
      <c s="103" r="B407"/>
      <c s="103" r="C407"/>
      <c s="103" r="D407"/>
      <c s="103" r="E407"/>
      <c s="103" r="F407"/>
      <c s="103" r="G407"/>
    </row>
    <row r="408">
      <c s="103" r="B408"/>
      <c s="103" r="C408"/>
      <c s="103" r="D408"/>
      <c s="103" r="E408"/>
      <c s="103" r="F408"/>
      <c s="103" r="G408"/>
    </row>
    <row r="409">
      <c s="103" r="B409"/>
      <c s="103" r="C409"/>
      <c s="103" r="D409"/>
      <c s="103" r="E409"/>
      <c s="103" r="F409"/>
      <c s="103" r="G409"/>
    </row>
    <row r="410">
      <c s="103" r="B410"/>
      <c s="103" r="C410"/>
      <c s="103" r="D410"/>
      <c s="103" r="E410"/>
      <c s="103" r="F410"/>
      <c s="103" r="G410"/>
    </row>
    <row r="411">
      <c s="103" r="B411"/>
      <c s="103" r="C411"/>
      <c s="103" r="D411"/>
      <c s="103" r="E411"/>
      <c s="103" r="F411"/>
      <c s="103" r="G411"/>
    </row>
    <row r="412">
      <c s="103" r="B412"/>
      <c s="103" r="C412"/>
      <c s="103" r="D412"/>
      <c s="103" r="E412"/>
      <c s="103" r="F412"/>
      <c s="103" r="G412"/>
    </row>
    <row r="413">
      <c s="103" r="B413"/>
      <c s="103" r="C413"/>
      <c s="103" r="D413"/>
      <c s="103" r="E413"/>
      <c s="103" r="F413"/>
      <c s="103" r="G413"/>
    </row>
    <row r="414">
      <c s="103" r="B414"/>
      <c s="103" r="C414"/>
      <c s="103" r="D414"/>
      <c s="103" r="E414"/>
      <c s="103" r="F414"/>
      <c s="103" r="G414"/>
    </row>
    <row r="415">
      <c s="103" r="B415"/>
      <c s="103" r="C415"/>
      <c s="103" r="D415"/>
      <c s="103" r="E415"/>
      <c s="103" r="F415"/>
      <c s="103" r="G415"/>
    </row>
    <row r="416">
      <c s="103" r="B416"/>
      <c s="103" r="C416"/>
      <c s="103" r="D416"/>
      <c s="103" r="E416"/>
      <c s="103" r="F416"/>
      <c s="103" r="G416"/>
    </row>
    <row r="417">
      <c s="103" r="B417"/>
      <c s="103" r="C417"/>
      <c s="103" r="D417"/>
      <c s="103" r="E417"/>
      <c s="103" r="F417"/>
      <c s="103" r="G417"/>
    </row>
    <row r="418">
      <c s="103" r="B418"/>
      <c s="103" r="C418"/>
      <c s="103" r="D418"/>
      <c s="103" r="E418"/>
      <c s="103" r="F418"/>
      <c s="103" r="G418"/>
    </row>
    <row r="419">
      <c s="103" r="B419"/>
      <c s="103" r="C419"/>
      <c s="103" r="D419"/>
      <c s="103" r="E419"/>
      <c s="103" r="F419"/>
      <c s="103" r="G419"/>
    </row>
    <row r="420">
      <c s="103" r="B420"/>
      <c s="103" r="C420"/>
      <c s="103" r="D420"/>
      <c s="103" r="E420"/>
      <c s="103" r="F420"/>
      <c s="103" r="G420"/>
    </row>
    <row r="421">
      <c s="103" r="B421"/>
      <c s="103" r="C421"/>
      <c s="103" r="D421"/>
      <c s="103" r="E421"/>
      <c s="103" r="F421"/>
      <c s="103" r="G421"/>
    </row>
    <row r="422">
      <c s="103" r="B422"/>
      <c s="103" r="C422"/>
      <c s="103" r="D422"/>
      <c s="103" r="E422"/>
      <c s="103" r="F422"/>
      <c s="103" r="G422"/>
    </row>
    <row r="423">
      <c s="103" r="B423"/>
      <c s="103" r="C423"/>
      <c s="103" r="D423"/>
      <c s="103" r="E423"/>
      <c s="103" r="F423"/>
      <c s="103" r="G423"/>
    </row>
    <row r="424">
      <c s="103" r="B424"/>
      <c s="103" r="C424"/>
      <c s="103" r="D424"/>
      <c s="103" r="E424"/>
      <c s="103" r="F424"/>
      <c s="103" r="G424"/>
    </row>
    <row r="425">
      <c s="103" r="B425"/>
      <c s="103" r="C425"/>
      <c s="103" r="D425"/>
      <c s="103" r="E425"/>
      <c s="103" r="F425"/>
      <c s="103" r="G425"/>
    </row>
    <row r="426">
      <c s="103" r="B426"/>
      <c s="103" r="C426"/>
      <c s="103" r="D426"/>
      <c s="103" r="E426"/>
      <c s="103" r="F426"/>
      <c s="103" r="G426"/>
    </row>
    <row r="427">
      <c s="103" r="B427"/>
      <c s="103" r="C427"/>
      <c s="103" r="D427"/>
      <c s="103" r="E427"/>
      <c s="103" r="F427"/>
      <c s="103" r="G427"/>
    </row>
    <row r="428">
      <c s="103" r="B428"/>
      <c s="103" r="C428"/>
      <c s="103" r="D428"/>
      <c s="103" r="E428"/>
      <c s="103" r="F428"/>
      <c s="103" r="G428"/>
    </row>
    <row r="429">
      <c s="103" r="B429"/>
      <c s="103" r="C429"/>
      <c s="103" r="D429"/>
      <c s="103" r="E429"/>
      <c s="103" r="F429"/>
      <c s="103" r="G429"/>
    </row>
    <row r="430">
      <c s="103" r="B430"/>
      <c s="103" r="C430"/>
      <c s="103" r="D430"/>
      <c s="103" r="E430"/>
      <c s="103" r="F430"/>
      <c s="103" r="G430"/>
    </row>
    <row r="431">
      <c s="103" r="B431"/>
      <c s="103" r="C431"/>
      <c s="103" r="D431"/>
      <c s="103" r="E431"/>
      <c s="103" r="F431"/>
      <c s="103" r="G431"/>
    </row>
    <row r="432">
      <c s="103" r="B432"/>
      <c s="103" r="C432"/>
      <c s="103" r="D432"/>
      <c s="103" r="E432"/>
      <c s="103" r="F432"/>
      <c s="103" r="G432"/>
    </row>
    <row r="433">
      <c s="103" r="B433"/>
      <c s="103" r="C433"/>
      <c s="103" r="D433"/>
      <c s="103" r="E433"/>
      <c s="103" r="F433"/>
      <c s="103" r="G433"/>
    </row>
    <row r="434">
      <c s="103" r="B434"/>
      <c s="103" r="C434"/>
      <c s="103" r="D434"/>
      <c s="103" r="E434"/>
      <c s="103" r="F434"/>
      <c s="103" r="G434"/>
    </row>
    <row r="435">
      <c s="103" r="B435"/>
      <c s="103" r="C435"/>
      <c s="103" r="D435"/>
      <c s="103" r="E435"/>
      <c s="103" r="F435"/>
      <c s="103" r="G435"/>
    </row>
    <row r="436">
      <c s="103" r="B436"/>
      <c s="103" r="C436"/>
      <c s="103" r="D436"/>
      <c s="103" r="E436"/>
      <c s="103" r="F436"/>
      <c s="103" r="G436"/>
    </row>
    <row r="437">
      <c s="103" r="B437"/>
      <c s="103" r="C437"/>
      <c s="103" r="D437"/>
      <c s="103" r="E437"/>
      <c s="103" r="F437"/>
      <c s="103" r="G437"/>
    </row>
    <row r="438">
      <c s="103" r="B438"/>
      <c s="103" r="C438"/>
      <c s="103" r="D438"/>
      <c s="103" r="E438"/>
      <c s="103" r="F438"/>
      <c s="103" r="G438"/>
    </row>
    <row r="439">
      <c s="103" r="B439"/>
      <c s="103" r="C439"/>
      <c s="103" r="D439"/>
      <c s="103" r="E439"/>
      <c s="103" r="F439"/>
      <c s="103" r="G439"/>
    </row>
    <row r="440">
      <c s="103" r="B440"/>
      <c s="103" r="C440"/>
      <c s="103" r="D440"/>
      <c s="103" r="E440"/>
      <c s="103" r="F440"/>
      <c s="103" r="G440"/>
    </row>
    <row r="441">
      <c s="103" r="B441"/>
      <c s="103" r="C441"/>
      <c s="103" r="D441"/>
      <c s="103" r="E441"/>
      <c s="103" r="F441"/>
      <c s="103" r="G441"/>
    </row>
    <row r="442">
      <c s="103" r="B442"/>
      <c s="103" r="C442"/>
      <c s="103" r="D442"/>
      <c s="103" r="E442"/>
      <c s="103" r="F442"/>
      <c s="103" r="G442"/>
    </row>
    <row r="443">
      <c s="103" r="B443"/>
      <c s="103" r="C443"/>
      <c s="103" r="D443"/>
      <c s="103" r="E443"/>
      <c s="103" r="F443"/>
      <c s="103" r="G443"/>
    </row>
    <row r="444">
      <c s="103" r="B444"/>
      <c s="103" r="C444"/>
      <c s="103" r="D444"/>
      <c s="103" r="E444"/>
      <c s="103" r="F444"/>
      <c s="103" r="G444"/>
    </row>
    <row r="445">
      <c s="103" r="B445"/>
      <c s="103" r="C445"/>
      <c s="103" r="D445"/>
      <c s="103" r="E445"/>
      <c s="103" r="F445"/>
      <c s="103" r="G445"/>
    </row>
    <row r="446">
      <c s="103" r="B446"/>
      <c s="103" r="C446"/>
      <c s="103" r="D446"/>
      <c s="103" r="E446"/>
      <c s="103" r="F446"/>
      <c s="103" r="G446"/>
    </row>
    <row r="447">
      <c s="103" r="B447"/>
      <c s="103" r="C447"/>
      <c s="103" r="D447"/>
      <c s="103" r="E447"/>
      <c s="103" r="F447"/>
      <c s="103" r="G447"/>
    </row>
    <row r="448">
      <c s="103" r="B448"/>
      <c s="103" r="C448"/>
      <c s="103" r="D448"/>
      <c s="103" r="E448"/>
      <c s="103" r="F448"/>
      <c s="103" r="G448"/>
    </row>
    <row r="449">
      <c s="103" r="B449"/>
      <c s="103" r="C449"/>
      <c s="103" r="D449"/>
      <c s="103" r="E449"/>
      <c s="103" r="F449"/>
      <c s="103" r="G449"/>
    </row>
    <row r="450">
      <c s="103" r="B450"/>
      <c s="103" r="C450"/>
      <c s="103" r="D450"/>
      <c s="103" r="E450"/>
      <c s="103" r="F450"/>
      <c s="103" r="G450"/>
    </row>
    <row r="451">
      <c s="103" r="B451"/>
      <c s="103" r="C451"/>
      <c s="103" r="D451"/>
      <c s="103" r="E451"/>
      <c s="103" r="F451"/>
      <c s="103" r="G451"/>
    </row>
    <row r="452">
      <c s="103" r="B452"/>
      <c s="103" r="C452"/>
      <c s="103" r="D452"/>
      <c s="103" r="E452"/>
      <c s="103" r="F452"/>
      <c s="103" r="G452"/>
    </row>
    <row r="453">
      <c s="103" r="B453"/>
      <c s="103" r="C453"/>
      <c s="103" r="D453"/>
      <c s="103" r="E453"/>
      <c s="103" r="F453"/>
      <c s="103" r="G453"/>
    </row>
    <row r="454">
      <c s="103" r="B454"/>
      <c s="103" r="C454"/>
      <c s="103" r="D454"/>
      <c s="103" r="E454"/>
      <c s="103" r="F454"/>
      <c s="103" r="G454"/>
    </row>
    <row r="455">
      <c s="103" r="B455"/>
      <c s="103" r="C455"/>
      <c s="103" r="D455"/>
      <c s="103" r="E455"/>
      <c s="103" r="F455"/>
      <c s="103" r="G455"/>
    </row>
    <row r="456">
      <c s="103" r="B456"/>
      <c s="103" r="C456"/>
      <c s="103" r="D456"/>
      <c s="103" r="E456"/>
      <c s="103" r="F456"/>
      <c s="103" r="G456"/>
    </row>
    <row r="457">
      <c s="103" r="B457"/>
      <c s="103" r="C457"/>
      <c s="103" r="D457"/>
      <c s="103" r="E457"/>
      <c s="103" r="F457"/>
      <c s="103" r="G457"/>
    </row>
    <row r="458">
      <c s="103" r="B458"/>
      <c s="103" r="C458"/>
      <c s="103" r="D458"/>
      <c s="103" r="E458"/>
      <c s="103" r="F458"/>
      <c s="103" r="G458"/>
    </row>
    <row r="459">
      <c s="103" r="B459"/>
      <c s="103" r="C459"/>
      <c s="103" r="D459"/>
      <c s="103" r="E459"/>
      <c s="103" r="F459"/>
      <c s="103" r="G459"/>
    </row>
    <row r="460">
      <c s="103" r="B460"/>
      <c s="103" r="C460"/>
      <c s="103" r="D460"/>
      <c s="103" r="E460"/>
      <c s="103" r="F460"/>
      <c s="103" r="G460"/>
    </row>
    <row r="461">
      <c s="103" r="B461"/>
      <c s="103" r="C461"/>
      <c s="103" r="D461"/>
      <c s="103" r="E461"/>
      <c s="103" r="F461"/>
      <c s="103" r="G461"/>
    </row>
    <row r="462">
      <c s="103" r="B462"/>
      <c s="103" r="C462"/>
      <c s="103" r="D462"/>
      <c s="103" r="E462"/>
      <c s="103" r="F462"/>
      <c s="103" r="G462"/>
    </row>
    <row r="463">
      <c s="103" r="B463"/>
      <c s="103" r="C463"/>
      <c s="103" r="D463"/>
      <c s="103" r="E463"/>
      <c s="103" r="F463"/>
      <c s="103" r="G463"/>
    </row>
    <row r="464">
      <c s="103" r="B464"/>
      <c s="103" r="C464"/>
      <c s="103" r="D464"/>
      <c s="103" r="E464"/>
      <c s="103" r="F464"/>
      <c s="103" r="G464"/>
    </row>
    <row r="465">
      <c s="103" r="B465"/>
      <c s="103" r="C465"/>
      <c s="103" r="D465"/>
      <c s="103" r="E465"/>
      <c s="103" r="F465"/>
      <c s="103" r="G465"/>
    </row>
    <row r="466">
      <c s="103" r="B466"/>
      <c s="103" r="C466"/>
      <c s="103" r="D466"/>
      <c s="103" r="E466"/>
      <c s="103" r="F466"/>
      <c s="103" r="G466"/>
    </row>
    <row r="467">
      <c s="103" r="B467"/>
      <c s="103" r="C467"/>
      <c s="103" r="D467"/>
      <c s="103" r="E467"/>
      <c s="103" r="F467"/>
      <c s="103" r="G467"/>
    </row>
    <row r="468">
      <c s="103" r="B468"/>
      <c s="103" r="C468"/>
      <c s="103" r="D468"/>
      <c s="103" r="E468"/>
      <c s="103" r="F468"/>
      <c s="103" r="G468"/>
    </row>
    <row r="469">
      <c s="103" r="B469"/>
      <c s="103" r="C469"/>
      <c s="103" r="D469"/>
      <c s="103" r="E469"/>
      <c s="103" r="F469"/>
      <c s="103" r="G469"/>
    </row>
    <row r="470">
      <c s="103" r="B470"/>
      <c s="103" r="C470"/>
      <c s="103" r="D470"/>
      <c s="103" r="E470"/>
      <c s="103" r="F470"/>
      <c s="103" r="G470"/>
    </row>
    <row r="471">
      <c s="103" r="B471"/>
      <c s="103" r="C471"/>
      <c s="103" r="D471"/>
      <c s="103" r="E471"/>
      <c s="103" r="F471"/>
      <c s="103" r="G471"/>
    </row>
    <row r="472">
      <c s="103" r="B472"/>
      <c s="103" r="C472"/>
      <c s="103" r="D472"/>
      <c s="103" r="E472"/>
      <c s="103" r="F472"/>
      <c s="103" r="G472"/>
    </row>
    <row r="473">
      <c s="103" r="B473"/>
      <c s="103" r="C473"/>
      <c s="103" r="D473"/>
      <c s="103" r="E473"/>
      <c s="103" r="F473"/>
      <c s="103" r="G473"/>
    </row>
    <row r="474">
      <c s="103" r="B474"/>
      <c s="103" r="C474"/>
      <c s="103" r="D474"/>
      <c s="103" r="E474"/>
      <c s="103" r="F474"/>
      <c s="103" r="G474"/>
    </row>
    <row r="475">
      <c s="103" r="B475"/>
      <c s="103" r="C475"/>
      <c s="103" r="D475"/>
      <c s="103" r="E475"/>
      <c s="103" r="F475"/>
      <c s="103" r="G475"/>
    </row>
    <row r="476">
      <c s="103" r="B476"/>
      <c s="103" r="C476"/>
      <c s="103" r="D476"/>
      <c s="103" r="E476"/>
      <c s="103" r="F476"/>
      <c s="103" r="G476"/>
    </row>
    <row r="477">
      <c s="103" r="B477"/>
      <c s="103" r="C477"/>
      <c s="103" r="D477"/>
      <c s="103" r="E477"/>
      <c s="103" r="F477"/>
      <c s="103" r="G477"/>
    </row>
    <row r="478">
      <c s="103" r="B478"/>
      <c s="103" r="C478"/>
      <c s="103" r="D478"/>
      <c s="103" r="E478"/>
      <c s="103" r="F478"/>
      <c s="103" r="G478"/>
    </row>
    <row r="479">
      <c s="103" r="B479"/>
      <c s="103" r="C479"/>
      <c s="103" r="D479"/>
      <c s="103" r="E479"/>
      <c s="103" r="F479"/>
      <c s="103" r="G479"/>
    </row>
    <row r="480">
      <c s="103" r="B480"/>
      <c s="103" r="C480"/>
      <c s="103" r="D480"/>
      <c s="103" r="E480"/>
      <c s="103" r="F480"/>
      <c s="103" r="G480"/>
    </row>
    <row r="481">
      <c s="103" r="B481"/>
      <c s="103" r="C481"/>
      <c s="103" r="D481"/>
      <c s="103" r="E481"/>
      <c s="103" r="F481"/>
      <c s="103" r="G481"/>
    </row>
    <row r="482">
      <c s="103" r="B482"/>
      <c s="103" r="C482"/>
      <c s="103" r="D482"/>
      <c s="103" r="E482"/>
      <c s="103" r="F482"/>
      <c s="103" r="G482"/>
    </row>
    <row r="483">
      <c s="103" r="B483"/>
      <c s="103" r="C483"/>
      <c s="103" r="D483"/>
      <c s="103" r="E483"/>
      <c s="103" r="F483"/>
      <c s="103" r="G483"/>
    </row>
    <row r="484">
      <c s="103" r="B484"/>
      <c s="103" r="C484"/>
      <c s="103" r="D484"/>
      <c s="103" r="E484"/>
      <c s="103" r="F484"/>
      <c s="103" r="G484"/>
    </row>
    <row r="485">
      <c s="103" r="B485"/>
      <c s="103" r="C485"/>
      <c s="103" r="D485"/>
      <c s="103" r="E485"/>
      <c s="103" r="F485"/>
      <c s="103" r="G485"/>
    </row>
    <row r="486">
      <c s="103" r="B486"/>
      <c s="103" r="C486"/>
      <c s="103" r="D486"/>
      <c s="103" r="E486"/>
      <c s="103" r="F486"/>
      <c s="103" r="G486"/>
    </row>
    <row r="487">
      <c s="103" r="B487"/>
      <c s="103" r="C487"/>
      <c s="103" r="D487"/>
      <c s="103" r="E487"/>
      <c s="103" r="F487"/>
      <c s="103" r="G487"/>
    </row>
    <row r="488">
      <c s="103" r="B488"/>
      <c s="103" r="C488"/>
      <c s="103" r="D488"/>
      <c s="103" r="E488"/>
      <c s="103" r="F488"/>
      <c s="103" r="G488"/>
    </row>
    <row r="489">
      <c s="103" r="B489"/>
      <c s="103" r="C489"/>
      <c s="103" r="D489"/>
      <c s="103" r="E489"/>
      <c s="103" r="F489"/>
      <c s="103" r="G489"/>
    </row>
    <row r="490">
      <c s="103" r="B490"/>
      <c s="103" r="C490"/>
      <c s="103" r="D490"/>
      <c s="103" r="E490"/>
      <c s="103" r="F490"/>
      <c s="103" r="G490"/>
    </row>
    <row r="491">
      <c s="103" r="B491"/>
      <c s="103" r="C491"/>
      <c s="103" r="D491"/>
      <c s="103" r="E491"/>
      <c s="103" r="F491"/>
      <c s="103" r="G491"/>
    </row>
    <row r="492">
      <c s="103" r="B492"/>
      <c s="103" r="C492"/>
      <c s="103" r="D492"/>
      <c s="103" r="E492"/>
      <c s="103" r="F492"/>
      <c s="103" r="G492"/>
    </row>
    <row r="493">
      <c s="103" r="B493"/>
      <c s="103" r="C493"/>
      <c s="103" r="D493"/>
      <c s="103" r="E493"/>
      <c s="103" r="F493"/>
      <c s="103" r="G493"/>
    </row>
    <row r="494">
      <c s="103" r="B494"/>
      <c s="103" r="C494"/>
      <c s="103" r="D494"/>
      <c s="103" r="E494"/>
      <c s="103" r="F494"/>
      <c s="103" r="G494"/>
    </row>
    <row r="495">
      <c s="103" r="B495"/>
      <c s="103" r="C495"/>
      <c s="103" r="D495"/>
      <c s="103" r="E495"/>
      <c s="103" r="F495"/>
      <c s="103" r="G495"/>
    </row>
    <row r="496">
      <c s="103" r="B496"/>
      <c s="103" r="C496"/>
      <c s="103" r="D496"/>
      <c s="103" r="E496"/>
      <c s="103" r="F496"/>
      <c s="103" r="G496"/>
    </row>
    <row r="497">
      <c s="103" r="B497"/>
      <c s="103" r="C497"/>
      <c s="103" r="D497"/>
      <c s="103" r="E497"/>
      <c s="103" r="F497"/>
      <c s="103" r="G497"/>
    </row>
    <row r="498">
      <c s="103" r="B498"/>
      <c s="103" r="C498"/>
      <c s="103" r="D498"/>
      <c s="103" r="E498"/>
      <c s="103" r="F498"/>
      <c s="103" r="G498"/>
    </row>
    <row r="499">
      <c s="103" r="B499"/>
      <c s="103" r="C499"/>
      <c s="103" r="D499"/>
      <c s="103" r="E499"/>
      <c s="103" r="F499"/>
      <c s="103" r="G499"/>
    </row>
    <row r="500">
      <c s="103" r="B500"/>
      <c s="103" r="C500"/>
      <c s="103" r="D500"/>
      <c s="103" r="E500"/>
      <c s="103" r="F500"/>
      <c s="103" r="G500"/>
    </row>
    <row r="501">
      <c s="103" r="B501"/>
      <c s="103" r="C501"/>
      <c s="103" r="D501"/>
      <c s="103" r="E501"/>
      <c s="103" r="F501"/>
      <c s="103" r="G501"/>
    </row>
    <row r="502">
      <c s="103" r="B502"/>
      <c s="103" r="C502"/>
      <c s="103" r="D502"/>
      <c s="103" r="E502"/>
      <c s="103" r="F502"/>
      <c s="103" r="G502"/>
    </row>
    <row r="503">
      <c s="103" r="B503"/>
      <c s="103" r="C503"/>
      <c s="103" r="D503"/>
      <c s="103" r="E503"/>
      <c s="103" r="F503"/>
      <c s="103" r="G503"/>
    </row>
    <row r="504">
      <c s="103" r="B504"/>
      <c s="103" r="C504"/>
      <c s="103" r="D504"/>
      <c s="103" r="E504"/>
      <c s="103" r="F504"/>
      <c s="103" r="G504"/>
    </row>
    <row r="505">
      <c s="103" r="B505"/>
      <c s="103" r="C505"/>
      <c s="103" r="D505"/>
      <c s="103" r="E505"/>
      <c s="103" r="F505"/>
      <c s="103" r="G505"/>
    </row>
    <row r="506">
      <c s="103" r="B506"/>
      <c s="103" r="C506"/>
      <c s="103" r="D506"/>
      <c s="103" r="E506"/>
      <c s="103" r="F506"/>
      <c s="103" r="G506"/>
    </row>
    <row r="507">
      <c s="103" r="B507"/>
      <c s="103" r="C507"/>
      <c s="103" r="D507"/>
      <c s="103" r="E507"/>
      <c s="103" r="F507"/>
      <c s="103" r="G507"/>
    </row>
    <row r="508">
      <c s="103" r="B508"/>
      <c s="103" r="C508"/>
      <c s="103" r="D508"/>
      <c s="103" r="E508"/>
      <c s="103" r="F508"/>
      <c s="103" r="G508"/>
    </row>
    <row r="509">
      <c s="103" r="B509"/>
      <c s="103" r="C509"/>
      <c s="103" r="D509"/>
      <c s="103" r="E509"/>
      <c s="103" r="F509"/>
      <c s="103" r="G509"/>
    </row>
    <row r="510">
      <c s="103" r="B510"/>
      <c s="103" r="C510"/>
      <c s="103" r="D510"/>
      <c s="103" r="E510"/>
      <c s="103" r="F510"/>
      <c s="103" r="G510"/>
    </row>
    <row r="511">
      <c s="103" r="B511"/>
      <c s="103" r="C511"/>
      <c s="103" r="D511"/>
      <c s="103" r="E511"/>
      <c s="103" r="F511"/>
      <c s="103" r="G511"/>
    </row>
    <row r="512">
      <c s="103" r="B512"/>
      <c s="103" r="C512"/>
      <c s="103" r="D512"/>
      <c s="103" r="E512"/>
      <c s="103" r="F512"/>
      <c s="103" r="G512"/>
    </row>
    <row r="513">
      <c s="103" r="B513"/>
      <c s="103" r="C513"/>
      <c s="103" r="D513"/>
      <c s="103" r="E513"/>
      <c s="103" r="F513"/>
      <c s="103" r="G513"/>
    </row>
    <row r="514">
      <c s="103" r="B514"/>
      <c s="103" r="C514"/>
      <c s="103" r="D514"/>
      <c s="103" r="E514"/>
      <c s="103" r="F514"/>
      <c s="103" r="G514"/>
    </row>
    <row r="515">
      <c s="103" r="B515"/>
      <c s="103" r="C515"/>
      <c s="103" r="D515"/>
      <c s="103" r="E515"/>
      <c s="103" r="F515"/>
      <c s="103" r="G515"/>
    </row>
    <row r="516">
      <c s="103" r="B516"/>
      <c s="103" r="C516"/>
      <c s="103" r="D516"/>
      <c s="103" r="E516"/>
      <c s="103" r="F516"/>
      <c s="103" r="G516"/>
    </row>
    <row r="517">
      <c s="103" r="B517"/>
      <c s="103" r="C517"/>
      <c s="103" r="D517"/>
      <c s="103" r="E517"/>
      <c s="103" r="F517"/>
      <c s="103" r="G517"/>
    </row>
    <row r="518">
      <c s="103" r="B518"/>
      <c s="103" r="C518"/>
      <c s="103" r="D518"/>
      <c s="103" r="E518"/>
      <c s="103" r="F518"/>
      <c s="103" r="G518"/>
    </row>
    <row r="519">
      <c s="103" r="B519"/>
      <c s="103" r="C519"/>
      <c s="103" r="D519"/>
      <c s="103" r="E519"/>
      <c s="103" r="F519"/>
      <c s="103" r="G519"/>
    </row>
    <row r="520">
      <c s="103" r="B520"/>
      <c s="103" r="C520"/>
      <c s="103" r="D520"/>
      <c s="103" r="E520"/>
      <c s="103" r="F520"/>
      <c s="103" r="G520"/>
    </row>
    <row r="521">
      <c s="103" r="B521"/>
      <c s="103" r="C521"/>
      <c s="103" r="D521"/>
      <c s="103" r="E521"/>
      <c s="103" r="F521"/>
      <c s="103" r="G521"/>
    </row>
    <row r="522">
      <c s="103" r="B522"/>
      <c s="103" r="C522"/>
      <c s="103" r="D522"/>
      <c s="103" r="E522"/>
      <c s="103" r="F522"/>
      <c s="103" r="G522"/>
    </row>
    <row r="523">
      <c s="103" r="B523"/>
      <c s="103" r="C523"/>
      <c s="103" r="D523"/>
      <c s="103" r="E523"/>
      <c s="103" r="F523"/>
      <c s="103" r="G523"/>
    </row>
    <row r="524">
      <c s="103" r="B524"/>
      <c s="103" r="C524"/>
      <c s="103" r="D524"/>
      <c s="103" r="E524"/>
      <c s="103" r="F524"/>
      <c s="103" r="G524"/>
    </row>
    <row r="525">
      <c s="103" r="B525"/>
      <c s="103" r="C525"/>
      <c s="103" r="D525"/>
      <c s="103" r="E525"/>
      <c s="103" r="F525"/>
      <c s="103" r="G525"/>
    </row>
    <row r="526">
      <c s="103" r="B526"/>
      <c s="103" r="C526"/>
      <c s="103" r="D526"/>
      <c s="103" r="E526"/>
      <c s="103" r="F526"/>
      <c s="103" r="G526"/>
    </row>
    <row r="527">
      <c s="103" r="B527"/>
      <c s="103" r="C527"/>
      <c s="103" r="D527"/>
      <c s="103" r="E527"/>
      <c s="103" r="F527"/>
      <c s="103" r="G527"/>
    </row>
    <row r="528">
      <c s="103" r="B528"/>
      <c s="103" r="C528"/>
      <c s="103" r="D528"/>
      <c s="103" r="E528"/>
      <c s="103" r="F528"/>
      <c s="103" r="G528"/>
    </row>
    <row r="529">
      <c s="103" r="B529"/>
      <c s="103" r="C529"/>
      <c s="103" r="D529"/>
      <c s="103" r="E529"/>
      <c s="103" r="F529"/>
      <c s="103" r="G529"/>
    </row>
    <row r="530">
      <c s="103" r="B530"/>
      <c s="103" r="C530"/>
      <c s="103" r="D530"/>
      <c s="103" r="E530"/>
      <c s="103" r="F530"/>
      <c s="103" r="G530"/>
    </row>
    <row r="531">
      <c s="103" r="B531"/>
      <c s="103" r="C531"/>
      <c s="103" r="D531"/>
      <c s="103" r="E531"/>
      <c s="103" r="F531"/>
      <c s="103" r="G531"/>
    </row>
    <row r="532">
      <c s="103" r="B532"/>
      <c s="103" r="C532"/>
      <c s="103" r="D532"/>
      <c s="103" r="E532"/>
      <c s="103" r="F532"/>
      <c s="103" r="G532"/>
    </row>
    <row r="533">
      <c s="103" r="B533"/>
      <c s="103" r="C533"/>
      <c s="103" r="D533"/>
      <c s="103" r="E533"/>
      <c s="103" r="F533"/>
      <c s="103" r="G533"/>
    </row>
    <row r="534">
      <c s="103" r="B534"/>
      <c s="103" r="C534"/>
      <c s="103" r="D534"/>
      <c s="103" r="E534"/>
      <c s="103" r="F534"/>
      <c s="103" r="G534"/>
    </row>
    <row r="535">
      <c s="103" r="B535"/>
      <c s="103" r="C535"/>
      <c s="103" r="D535"/>
      <c s="103" r="E535"/>
      <c s="103" r="F535"/>
      <c s="103" r="G535"/>
    </row>
    <row r="536">
      <c s="103" r="B536"/>
      <c s="103" r="C536"/>
      <c s="103" r="D536"/>
      <c s="103" r="E536"/>
      <c s="103" r="F536"/>
      <c s="103" r="G536"/>
    </row>
    <row r="537">
      <c s="103" r="B537"/>
      <c s="103" r="C537"/>
      <c s="103" r="D537"/>
      <c s="103" r="E537"/>
      <c s="103" r="F537"/>
      <c s="103" r="G537"/>
    </row>
    <row r="538">
      <c s="103" r="B538"/>
      <c s="103" r="C538"/>
      <c s="103" r="D538"/>
      <c s="103" r="E538"/>
      <c s="103" r="F538"/>
      <c s="103" r="G538"/>
    </row>
    <row r="539">
      <c s="103" r="B539"/>
      <c s="103" r="C539"/>
      <c s="103" r="D539"/>
      <c s="103" r="E539"/>
      <c s="103" r="F539"/>
      <c s="103" r="G539"/>
    </row>
    <row r="540">
      <c s="103" r="B540"/>
      <c s="103" r="C540"/>
      <c s="103" r="D540"/>
      <c s="103" r="E540"/>
      <c s="103" r="F540"/>
      <c s="103" r="G540"/>
    </row>
    <row r="541">
      <c s="103" r="B541"/>
      <c s="103" r="C541"/>
      <c s="103" r="D541"/>
      <c s="103" r="E541"/>
      <c s="103" r="F541"/>
      <c s="103" r="G541"/>
    </row>
    <row r="542">
      <c s="103" r="B542"/>
      <c s="103" r="C542"/>
      <c s="103" r="D542"/>
      <c s="103" r="E542"/>
      <c s="103" r="F542"/>
      <c s="103" r="G542"/>
    </row>
    <row r="543">
      <c s="103" r="B543"/>
      <c s="103" r="C543"/>
      <c s="103" r="D543"/>
      <c s="103" r="E543"/>
      <c s="103" r="F543"/>
      <c s="103" r="G543"/>
    </row>
    <row r="544">
      <c s="103" r="B544"/>
      <c s="103" r="C544"/>
      <c s="103" r="D544"/>
      <c s="103" r="E544"/>
      <c s="103" r="F544"/>
      <c s="103" r="G544"/>
    </row>
    <row r="545">
      <c s="103" r="B545"/>
      <c s="103" r="C545"/>
      <c s="103" r="D545"/>
      <c s="103" r="E545"/>
      <c s="103" r="F545"/>
      <c s="103" r="G545"/>
    </row>
    <row r="546">
      <c s="103" r="B546"/>
      <c s="103" r="C546"/>
      <c s="103" r="D546"/>
      <c s="103" r="E546"/>
      <c s="103" r="F546"/>
      <c s="103" r="G546"/>
    </row>
    <row r="547">
      <c s="103" r="B547"/>
      <c s="103" r="C547"/>
      <c s="103" r="D547"/>
      <c s="103" r="E547"/>
      <c s="103" r="F547"/>
      <c s="103" r="G547"/>
    </row>
    <row r="548">
      <c s="103" r="B548"/>
      <c s="103" r="C548"/>
      <c s="103" r="D548"/>
      <c s="103" r="E548"/>
      <c s="103" r="F548"/>
      <c s="103" r="G548"/>
    </row>
    <row r="549">
      <c s="103" r="B549"/>
      <c s="103" r="C549"/>
      <c s="103" r="D549"/>
      <c s="103" r="E549"/>
      <c s="103" r="F549"/>
      <c s="103" r="G549"/>
    </row>
    <row r="550">
      <c s="103" r="B550"/>
      <c s="103" r="C550"/>
      <c s="103" r="D550"/>
      <c s="103" r="E550"/>
      <c s="103" r="F550"/>
      <c s="103" r="G550"/>
    </row>
    <row r="551">
      <c s="103" r="B551"/>
      <c s="103" r="C551"/>
      <c s="103" r="D551"/>
      <c s="103" r="E551"/>
      <c s="103" r="F551"/>
      <c s="103" r="G551"/>
    </row>
    <row r="552">
      <c s="103" r="B552"/>
      <c s="103" r="C552"/>
      <c s="103" r="D552"/>
      <c s="103" r="E552"/>
      <c s="103" r="F552"/>
      <c s="103" r="G552"/>
    </row>
    <row r="553">
      <c s="103" r="B553"/>
      <c s="103" r="C553"/>
      <c s="103" r="D553"/>
      <c s="103" r="E553"/>
      <c s="103" r="F553"/>
      <c s="103" r="G553"/>
    </row>
    <row r="554">
      <c s="103" r="B554"/>
      <c s="103" r="C554"/>
      <c s="103" r="D554"/>
      <c s="103" r="E554"/>
      <c s="103" r="F554"/>
      <c s="103" r="G554"/>
    </row>
    <row r="555">
      <c s="103" r="B555"/>
      <c s="103" r="C555"/>
      <c s="103" r="D555"/>
      <c s="103" r="E555"/>
      <c s="103" r="F555"/>
      <c s="103" r="G555"/>
    </row>
    <row r="556">
      <c s="103" r="B556"/>
      <c s="103" r="C556"/>
      <c s="103" r="D556"/>
      <c s="103" r="E556"/>
      <c s="103" r="F556"/>
      <c s="103" r="G556"/>
    </row>
    <row r="557">
      <c s="103" r="B557"/>
      <c s="103" r="C557"/>
      <c s="103" r="D557"/>
      <c s="103" r="E557"/>
      <c s="103" r="F557"/>
      <c s="103" r="G557"/>
    </row>
    <row r="558">
      <c s="103" r="B558"/>
      <c s="103" r="C558"/>
      <c s="103" r="D558"/>
      <c s="103" r="E558"/>
      <c s="103" r="F558"/>
      <c s="103" r="G558"/>
    </row>
    <row r="559">
      <c s="103" r="B559"/>
      <c s="103" r="C559"/>
      <c s="103" r="D559"/>
      <c s="103" r="E559"/>
      <c s="103" r="F559"/>
      <c s="103" r="G559"/>
    </row>
    <row r="560">
      <c s="103" r="B560"/>
      <c s="103" r="C560"/>
      <c s="103" r="D560"/>
      <c s="103" r="E560"/>
      <c s="103" r="F560"/>
      <c s="103" r="G560"/>
    </row>
    <row r="561">
      <c s="103" r="B561"/>
      <c s="103" r="C561"/>
      <c s="103" r="D561"/>
      <c s="103" r="E561"/>
      <c s="103" r="F561"/>
      <c s="103" r="G561"/>
    </row>
    <row r="562">
      <c s="103" r="B562"/>
      <c s="103" r="C562"/>
      <c s="103" r="D562"/>
      <c s="103" r="E562"/>
      <c s="103" r="F562"/>
      <c s="103" r="G562"/>
    </row>
    <row r="563">
      <c s="103" r="B563"/>
      <c s="103" r="C563"/>
      <c s="103" r="D563"/>
      <c s="103" r="E563"/>
      <c s="103" r="F563"/>
      <c s="103" r="G563"/>
    </row>
    <row r="564">
      <c s="103" r="B564"/>
      <c s="103" r="C564"/>
      <c s="103" r="D564"/>
      <c s="103" r="E564"/>
      <c s="103" r="F564"/>
      <c s="103" r="G564"/>
    </row>
    <row r="565">
      <c s="103" r="B565"/>
      <c s="103" r="C565"/>
      <c s="103" r="D565"/>
      <c s="103" r="E565"/>
      <c s="103" r="F565"/>
      <c s="103" r="G565"/>
    </row>
    <row r="566">
      <c s="103" r="B566"/>
      <c s="103" r="C566"/>
      <c s="103" r="D566"/>
      <c s="103" r="E566"/>
      <c s="103" r="F566"/>
      <c s="103" r="G566"/>
    </row>
    <row r="567">
      <c s="103" r="B567"/>
      <c s="103" r="C567"/>
      <c s="103" r="D567"/>
      <c s="103" r="E567"/>
      <c s="103" r="F567"/>
      <c s="103" r="G567"/>
    </row>
    <row r="568">
      <c s="103" r="B568"/>
      <c s="103" r="C568"/>
      <c s="103" r="D568"/>
      <c s="103" r="E568"/>
      <c s="103" r="F568"/>
      <c s="103" r="G568"/>
    </row>
    <row r="569">
      <c s="103" r="B569"/>
      <c s="103" r="C569"/>
      <c s="103" r="D569"/>
      <c s="103" r="E569"/>
      <c s="103" r="F569"/>
      <c s="103" r="G569"/>
    </row>
    <row r="570">
      <c s="103" r="B570"/>
      <c s="103" r="C570"/>
      <c s="103" r="D570"/>
      <c s="103" r="E570"/>
      <c s="103" r="F570"/>
      <c s="103" r="G570"/>
    </row>
    <row r="571">
      <c s="103" r="B571"/>
      <c s="103" r="C571"/>
      <c s="103" r="D571"/>
      <c s="103" r="E571"/>
      <c s="103" r="F571"/>
      <c s="103" r="G571"/>
    </row>
    <row r="572">
      <c s="103" r="B572"/>
      <c s="103" r="C572"/>
      <c s="103" r="D572"/>
      <c s="103" r="E572"/>
      <c s="103" r="F572"/>
      <c s="103" r="G572"/>
    </row>
    <row r="573">
      <c s="103" r="B573"/>
      <c s="103" r="C573"/>
      <c s="103" r="D573"/>
      <c s="103" r="E573"/>
      <c s="103" r="F573"/>
      <c s="103" r="G573"/>
    </row>
    <row r="574">
      <c s="103" r="B574"/>
      <c s="103" r="C574"/>
      <c s="103" r="D574"/>
      <c s="103" r="E574"/>
      <c s="103" r="F574"/>
      <c s="103" r="G574"/>
    </row>
    <row r="575">
      <c s="103" r="B575"/>
      <c s="103" r="C575"/>
      <c s="103" r="D575"/>
      <c s="103" r="E575"/>
      <c s="103" r="F575"/>
      <c s="103" r="G575"/>
    </row>
    <row r="576">
      <c s="103" r="B576"/>
      <c s="103" r="C576"/>
      <c s="103" r="D576"/>
      <c s="103" r="E576"/>
      <c s="103" r="F576"/>
      <c s="103" r="G576"/>
    </row>
    <row r="577">
      <c s="103" r="B577"/>
      <c s="103" r="C577"/>
      <c s="103" r="D577"/>
      <c s="103" r="E577"/>
      <c s="103" r="F577"/>
      <c s="103" r="G577"/>
    </row>
    <row r="578">
      <c s="103" r="B578"/>
      <c s="103" r="C578"/>
      <c s="103" r="D578"/>
      <c s="103" r="E578"/>
      <c s="103" r="F578"/>
      <c s="103" r="G578"/>
    </row>
    <row r="579">
      <c s="103" r="B579"/>
      <c s="103" r="C579"/>
      <c s="103" r="D579"/>
      <c s="103" r="E579"/>
      <c s="103" r="F579"/>
      <c s="103" r="G579"/>
    </row>
    <row r="580">
      <c s="103" r="B580"/>
      <c s="103" r="C580"/>
      <c s="103" r="D580"/>
      <c s="103" r="E580"/>
      <c s="103" r="F580"/>
      <c s="103" r="G580"/>
    </row>
    <row r="581">
      <c s="103" r="B581"/>
      <c s="103" r="C581"/>
      <c s="103" r="D581"/>
      <c s="103" r="E581"/>
      <c s="103" r="F581"/>
      <c s="103" r="G581"/>
    </row>
    <row r="582">
      <c s="103" r="B582"/>
      <c s="103" r="C582"/>
      <c s="103" r="D582"/>
      <c s="103" r="E582"/>
      <c s="103" r="F582"/>
      <c s="103" r="G582"/>
    </row>
    <row r="583">
      <c s="103" r="B583"/>
      <c s="103" r="C583"/>
      <c s="103" r="D583"/>
      <c s="103" r="E583"/>
      <c s="103" r="F583"/>
      <c s="103" r="G583"/>
    </row>
    <row r="584">
      <c s="103" r="B584"/>
      <c s="103" r="C584"/>
      <c s="103" r="D584"/>
      <c s="103" r="E584"/>
      <c s="103" r="F584"/>
      <c s="103" r="G584"/>
    </row>
    <row r="585">
      <c s="103" r="B585"/>
      <c s="103" r="C585"/>
      <c s="103" r="D585"/>
      <c s="103" r="E585"/>
      <c s="103" r="F585"/>
      <c s="103" r="G585"/>
    </row>
    <row r="586">
      <c s="103" r="B586"/>
      <c s="103" r="C586"/>
      <c s="103" r="D586"/>
      <c s="103" r="E586"/>
      <c s="103" r="F586"/>
      <c s="103" r="G586"/>
    </row>
    <row r="587">
      <c s="103" r="B587"/>
      <c s="103" r="C587"/>
      <c s="103" r="D587"/>
      <c s="103" r="E587"/>
      <c s="103" r="F587"/>
      <c s="103" r="G587"/>
    </row>
    <row r="588">
      <c s="103" r="B588"/>
      <c s="103" r="C588"/>
      <c s="103" r="D588"/>
      <c s="103" r="E588"/>
      <c s="103" r="F588"/>
      <c s="103" r="G588"/>
    </row>
    <row r="589">
      <c s="103" r="B589"/>
      <c s="103" r="C589"/>
      <c s="103" r="D589"/>
      <c s="103" r="E589"/>
      <c s="103" r="F589"/>
      <c s="103" r="G589"/>
    </row>
    <row r="590">
      <c s="103" r="B590"/>
      <c s="103" r="C590"/>
      <c s="103" r="D590"/>
      <c s="103" r="E590"/>
      <c s="103" r="F590"/>
      <c s="103" r="G590"/>
    </row>
    <row r="591">
      <c s="103" r="B591"/>
      <c s="103" r="C591"/>
      <c s="103" r="D591"/>
      <c s="103" r="E591"/>
      <c s="103" r="F591"/>
      <c s="103" r="G591"/>
    </row>
    <row r="592">
      <c s="103" r="B592"/>
      <c s="103" r="C592"/>
      <c s="103" r="D592"/>
      <c s="103" r="E592"/>
      <c s="103" r="F592"/>
      <c s="103" r="G592"/>
    </row>
    <row r="593">
      <c s="103" r="B593"/>
      <c s="103" r="C593"/>
      <c s="103" r="D593"/>
      <c s="103" r="E593"/>
      <c s="103" r="F593"/>
      <c s="103" r="G593"/>
    </row>
    <row r="594">
      <c s="103" r="B594"/>
      <c s="103" r="C594"/>
      <c s="103" r="D594"/>
      <c s="103" r="E594"/>
      <c s="103" r="F594"/>
      <c s="103" r="G594"/>
    </row>
    <row r="595">
      <c s="103" r="B595"/>
      <c s="103" r="C595"/>
      <c s="103" r="D595"/>
      <c s="103" r="E595"/>
      <c s="103" r="F595"/>
      <c s="103" r="G595"/>
    </row>
    <row r="596">
      <c s="103" r="B596"/>
      <c s="103" r="C596"/>
      <c s="103" r="D596"/>
      <c s="103" r="E596"/>
      <c s="103" r="F596"/>
      <c s="103" r="G596"/>
    </row>
    <row r="597">
      <c s="103" r="B597"/>
      <c s="103" r="C597"/>
      <c s="103" r="D597"/>
      <c s="103" r="E597"/>
      <c s="103" r="F597"/>
      <c s="103" r="G597"/>
    </row>
    <row r="598">
      <c s="103" r="B598"/>
      <c s="103" r="C598"/>
      <c s="103" r="D598"/>
      <c s="103" r="E598"/>
      <c s="103" r="F598"/>
      <c s="103" r="G598"/>
    </row>
    <row r="599">
      <c s="103" r="B599"/>
      <c s="103" r="C599"/>
      <c s="103" r="D599"/>
      <c s="103" r="E599"/>
      <c s="103" r="F599"/>
      <c s="103" r="G599"/>
    </row>
    <row r="600">
      <c s="103" r="B600"/>
      <c s="103" r="C600"/>
      <c s="103" r="D600"/>
      <c s="103" r="E600"/>
      <c s="103" r="F600"/>
      <c s="103" r="G600"/>
    </row>
    <row r="601">
      <c s="103" r="B601"/>
      <c s="103" r="C601"/>
      <c s="103" r="D601"/>
      <c s="103" r="E601"/>
      <c s="103" r="F601"/>
      <c s="103" r="G601"/>
    </row>
    <row r="602">
      <c s="103" r="B602"/>
      <c s="103" r="C602"/>
      <c s="103" r="D602"/>
      <c s="103" r="E602"/>
      <c s="103" r="F602"/>
      <c s="103" r="G602"/>
    </row>
    <row r="603">
      <c s="103" r="B603"/>
      <c s="103" r="C603"/>
      <c s="103" r="D603"/>
      <c s="103" r="E603"/>
      <c s="103" r="F603"/>
      <c s="103" r="G603"/>
    </row>
    <row r="604">
      <c s="103" r="B604"/>
      <c s="103" r="C604"/>
      <c s="103" r="D604"/>
      <c s="103" r="E604"/>
      <c s="103" r="F604"/>
      <c s="103" r="G604"/>
    </row>
    <row r="605">
      <c s="103" r="B605"/>
      <c s="103" r="C605"/>
      <c s="103" r="D605"/>
      <c s="103" r="E605"/>
      <c s="103" r="F605"/>
      <c s="103" r="G605"/>
    </row>
    <row r="606">
      <c s="103" r="B606"/>
      <c s="103" r="C606"/>
      <c s="103" r="D606"/>
      <c s="103" r="E606"/>
      <c s="103" r="F606"/>
      <c s="103" r="G606"/>
    </row>
    <row r="607">
      <c s="103" r="B607"/>
      <c s="103" r="C607"/>
      <c s="103" r="D607"/>
      <c s="103" r="E607"/>
      <c s="103" r="F607"/>
      <c s="103" r="G607"/>
    </row>
    <row r="608">
      <c s="103" r="B608"/>
      <c s="103" r="C608"/>
      <c s="103" r="D608"/>
      <c s="103" r="E608"/>
      <c s="103" r="F608"/>
      <c s="103" r="G608"/>
    </row>
    <row r="609">
      <c s="103" r="B609"/>
      <c s="103" r="C609"/>
      <c s="103" r="D609"/>
      <c s="103" r="E609"/>
      <c s="103" r="F609"/>
      <c s="103" r="G609"/>
    </row>
    <row r="610">
      <c s="103" r="B610"/>
      <c s="103" r="C610"/>
      <c s="103" r="D610"/>
      <c s="103" r="E610"/>
      <c s="103" r="F610"/>
      <c s="103" r="G610"/>
    </row>
    <row r="611">
      <c s="103" r="B611"/>
      <c s="103" r="C611"/>
      <c s="103" r="D611"/>
      <c s="103" r="E611"/>
      <c s="103" r="F611"/>
      <c s="103" r="G611"/>
    </row>
    <row r="612">
      <c s="103" r="B612"/>
      <c s="103" r="C612"/>
      <c s="103" r="D612"/>
      <c s="103" r="E612"/>
      <c s="103" r="F612"/>
      <c s="103" r="G612"/>
    </row>
    <row r="613">
      <c s="103" r="B613"/>
      <c s="103" r="C613"/>
      <c s="103" r="D613"/>
      <c s="103" r="E613"/>
      <c s="103" r="F613"/>
      <c s="103" r="G613"/>
    </row>
    <row r="614">
      <c s="103" r="B614"/>
      <c s="103" r="C614"/>
      <c s="103" r="D614"/>
      <c s="103" r="E614"/>
      <c s="103" r="F614"/>
      <c s="103" r="G614"/>
    </row>
    <row r="615">
      <c s="103" r="B615"/>
      <c s="103" r="C615"/>
      <c s="103" r="D615"/>
      <c s="103" r="E615"/>
      <c s="103" r="F615"/>
      <c s="103" r="G615"/>
    </row>
    <row r="616">
      <c s="103" r="B616"/>
      <c s="103" r="C616"/>
      <c s="103" r="D616"/>
      <c s="103" r="E616"/>
      <c s="103" r="F616"/>
      <c s="103" r="G616"/>
    </row>
    <row r="617">
      <c s="103" r="B617"/>
      <c s="103" r="C617"/>
      <c s="103" r="D617"/>
      <c s="103" r="E617"/>
      <c s="103" r="F617"/>
      <c s="103" r="G617"/>
    </row>
    <row r="618">
      <c s="103" r="B618"/>
      <c s="103" r="C618"/>
      <c s="103" r="D618"/>
      <c s="103" r="E618"/>
      <c s="103" r="F618"/>
      <c s="103" r="G618"/>
    </row>
    <row r="619">
      <c s="103" r="B619"/>
      <c s="103" r="C619"/>
      <c s="103" r="D619"/>
      <c s="103" r="E619"/>
      <c s="103" r="F619"/>
      <c s="103" r="G619"/>
    </row>
    <row r="620">
      <c s="103" r="B620"/>
      <c s="103" r="C620"/>
      <c s="103" r="D620"/>
      <c s="103" r="E620"/>
      <c s="103" r="F620"/>
      <c s="103" r="G620"/>
    </row>
    <row r="621">
      <c s="103" r="B621"/>
      <c s="103" r="C621"/>
      <c s="103" r="D621"/>
      <c s="103" r="E621"/>
      <c s="103" r="F621"/>
      <c s="103" r="G621"/>
    </row>
    <row r="622">
      <c s="103" r="B622"/>
      <c s="103" r="C622"/>
      <c s="103" r="D622"/>
      <c s="103" r="E622"/>
      <c s="103" r="F622"/>
      <c s="103" r="G622"/>
    </row>
    <row r="623">
      <c s="103" r="B623"/>
      <c s="103" r="C623"/>
      <c s="103" r="D623"/>
      <c s="103" r="E623"/>
      <c s="103" r="F623"/>
      <c s="103" r="G623"/>
    </row>
    <row r="624">
      <c s="103" r="B624"/>
      <c s="103" r="C624"/>
      <c s="103" r="D624"/>
      <c s="103" r="E624"/>
      <c s="103" r="F624"/>
      <c s="103" r="G624"/>
    </row>
    <row r="625">
      <c s="103" r="B625"/>
      <c s="103" r="C625"/>
      <c s="103" r="D625"/>
      <c s="103" r="E625"/>
      <c s="103" r="F625"/>
      <c s="103" r="G625"/>
    </row>
    <row r="626">
      <c s="103" r="B626"/>
      <c s="103" r="C626"/>
      <c s="103" r="D626"/>
      <c s="103" r="E626"/>
      <c s="103" r="F626"/>
      <c s="103" r="G626"/>
    </row>
    <row r="627">
      <c s="103" r="B627"/>
      <c s="103" r="C627"/>
      <c s="103" r="D627"/>
      <c s="103" r="E627"/>
      <c s="103" r="F627"/>
      <c s="103" r="G627"/>
    </row>
    <row r="628">
      <c s="103" r="B628"/>
      <c s="103" r="C628"/>
      <c s="103" r="D628"/>
      <c s="103" r="E628"/>
      <c s="103" r="F628"/>
      <c s="103" r="G628"/>
    </row>
    <row r="629">
      <c s="103" r="B629"/>
      <c s="103" r="C629"/>
      <c s="103" r="D629"/>
      <c s="103" r="E629"/>
      <c s="103" r="F629"/>
      <c s="103" r="G629"/>
    </row>
    <row r="630">
      <c s="103" r="B630"/>
      <c s="103" r="C630"/>
      <c s="103" r="D630"/>
      <c s="103" r="E630"/>
      <c s="103" r="F630"/>
      <c s="103" r="G630"/>
    </row>
    <row r="631">
      <c s="103" r="B631"/>
      <c s="103" r="C631"/>
      <c s="103" r="D631"/>
      <c s="103" r="E631"/>
      <c s="103" r="F631"/>
      <c s="103" r="G631"/>
    </row>
    <row r="632">
      <c s="103" r="B632"/>
      <c s="103" r="C632"/>
      <c s="103" r="D632"/>
      <c s="103" r="E632"/>
      <c s="103" r="F632"/>
      <c s="103" r="G632"/>
    </row>
    <row r="633">
      <c s="103" r="B633"/>
      <c s="103" r="C633"/>
      <c s="103" r="D633"/>
      <c s="103" r="E633"/>
      <c s="103" r="F633"/>
      <c s="103" r="G633"/>
    </row>
    <row r="634">
      <c s="103" r="B634"/>
      <c s="103" r="C634"/>
      <c s="103" r="D634"/>
      <c s="103" r="E634"/>
      <c s="103" r="F634"/>
      <c s="103" r="G634"/>
    </row>
    <row r="635">
      <c s="103" r="B635"/>
      <c s="103" r="C635"/>
      <c s="103" r="D635"/>
      <c s="103" r="E635"/>
      <c s="103" r="F635"/>
      <c s="103" r="G635"/>
    </row>
    <row r="636">
      <c s="103" r="B636"/>
      <c s="103" r="C636"/>
      <c s="103" r="D636"/>
      <c s="103" r="E636"/>
      <c s="103" r="F636"/>
      <c s="103" r="G636"/>
    </row>
    <row r="637">
      <c s="103" r="B637"/>
      <c s="103" r="C637"/>
      <c s="103" r="D637"/>
      <c s="103" r="E637"/>
      <c s="103" r="F637"/>
      <c s="103" r="G637"/>
    </row>
    <row r="638">
      <c s="103" r="B638"/>
      <c s="103" r="C638"/>
      <c s="103" r="D638"/>
      <c s="103" r="E638"/>
      <c s="103" r="F638"/>
      <c s="103" r="G638"/>
    </row>
    <row r="639">
      <c s="103" r="B639"/>
      <c s="103" r="C639"/>
      <c s="103" r="D639"/>
      <c s="103" r="E639"/>
      <c s="103" r="F639"/>
      <c s="103" r="G639"/>
    </row>
    <row r="640">
      <c s="103" r="B640"/>
      <c s="103" r="C640"/>
      <c s="103" r="D640"/>
      <c s="103" r="E640"/>
      <c s="103" r="F640"/>
      <c s="103" r="G640"/>
    </row>
    <row r="641">
      <c s="103" r="B641"/>
      <c s="103" r="C641"/>
      <c s="103" r="D641"/>
      <c s="103" r="E641"/>
      <c s="103" r="F641"/>
      <c s="103" r="G641"/>
    </row>
    <row r="642">
      <c s="103" r="B642"/>
      <c s="103" r="C642"/>
      <c s="103" r="D642"/>
      <c s="103" r="E642"/>
      <c s="103" r="F642"/>
      <c s="103" r="G642"/>
    </row>
    <row r="643">
      <c s="103" r="B643"/>
      <c s="103" r="C643"/>
      <c s="103" r="D643"/>
      <c s="103" r="E643"/>
      <c s="103" r="F643"/>
      <c s="103" r="G643"/>
    </row>
    <row r="644">
      <c s="103" r="B644"/>
      <c s="103" r="C644"/>
      <c s="103" r="D644"/>
      <c s="103" r="E644"/>
      <c s="103" r="F644"/>
      <c s="103" r="G644"/>
    </row>
    <row r="645">
      <c s="103" r="B645"/>
      <c s="103" r="C645"/>
      <c s="103" r="D645"/>
      <c s="103" r="E645"/>
      <c s="103" r="F645"/>
      <c s="103" r="G645"/>
    </row>
    <row r="646">
      <c s="103" r="B646"/>
      <c s="103" r="C646"/>
      <c s="103" r="D646"/>
      <c s="103" r="E646"/>
      <c s="103" r="F646"/>
      <c s="103" r="G646"/>
    </row>
    <row r="647">
      <c s="103" r="B647"/>
      <c s="103" r="C647"/>
      <c s="103" r="D647"/>
      <c s="103" r="E647"/>
      <c s="103" r="F647"/>
      <c s="103" r="G647"/>
    </row>
    <row r="648">
      <c s="103" r="B648"/>
      <c s="103" r="C648"/>
      <c s="103" r="D648"/>
      <c s="103" r="E648"/>
      <c s="103" r="F648"/>
      <c s="103" r="G648"/>
    </row>
    <row r="649">
      <c s="103" r="B649"/>
      <c s="103" r="C649"/>
      <c s="103" r="D649"/>
      <c s="103" r="E649"/>
      <c s="103" r="F649"/>
      <c s="103" r="G649"/>
    </row>
    <row r="650">
      <c s="103" r="B650"/>
      <c s="103" r="C650"/>
      <c s="103" r="D650"/>
      <c s="103" r="E650"/>
      <c s="103" r="F650"/>
      <c s="103" r="G650"/>
    </row>
    <row r="651">
      <c s="103" r="B651"/>
      <c s="103" r="C651"/>
      <c s="103" r="D651"/>
      <c s="103" r="E651"/>
      <c s="103" r="F651"/>
      <c s="103" r="G651"/>
    </row>
    <row r="652">
      <c s="103" r="B652"/>
      <c s="103" r="C652"/>
      <c s="103" r="D652"/>
      <c s="103" r="E652"/>
      <c s="103" r="F652"/>
      <c s="103" r="G652"/>
    </row>
    <row r="653">
      <c s="103" r="B653"/>
      <c s="103" r="C653"/>
      <c s="103" r="D653"/>
      <c s="103" r="E653"/>
      <c s="103" r="F653"/>
      <c s="103" r="G653"/>
    </row>
    <row r="654">
      <c s="103" r="B654"/>
      <c s="103" r="C654"/>
      <c s="103" r="D654"/>
      <c s="103" r="E654"/>
      <c s="103" r="F654"/>
      <c s="103" r="G654"/>
    </row>
    <row r="655">
      <c s="103" r="B655"/>
      <c s="103" r="C655"/>
      <c s="103" r="D655"/>
      <c s="103" r="E655"/>
      <c s="103" r="F655"/>
      <c s="103" r="G655"/>
    </row>
    <row r="656">
      <c s="103" r="B656"/>
      <c s="103" r="C656"/>
      <c s="103" r="D656"/>
      <c s="103" r="E656"/>
      <c s="103" r="F656"/>
      <c s="103" r="G656"/>
    </row>
    <row r="657">
      <c s="103" r="B657"/>
      <c s="103" r="C657"/>
      <c s="103" r="D657"/>
      <c s="103" r="E657"/>
      <c s="103" r="F657"/>
      <c s="103" r="G657"/>
    </row>
    <row r="658">
      <c s="103" r="B658"/>
      <c s="103" r="C658"/>
      <c s="103" r="D658"/>
      <c s="103" r="E658"/>
      <c s="103" r="F658"/>
      <c s="103" r="G658"/>
    </row>
    <row r="659">
      <c s="103" r="B659"/>
      <c s="103" r="C659"/>
      <c s="103" r="D659"/>
      <c s="103" r="E659"/>
      <c s="103" r="F659"/>
      <c s="103" r="G659"/>
    </row>
    <row r="660">
      <c s="103" r="B660"/>
      <c s="103" r="C660"/>
      <c s="103" r="D660"/>
      <c s="103" r="E660"/>
      <c s="103" r="F660"/>
      <c s="103" r="G660"/>
    </row>
    <row r="661">
      <c s="103" r="B661"/>
      <c s="103" r="C661"/>
      <c s="103" r="D661"/>
      <c s="103" r="E661"/>
      <c s="103" r="F661"/>
      <c s="103" r="G661"/>
    </row>
    <row r="662">
      <c s="103" r="B662"/>
      <c s="103" r="C662"/>
      <c s="103" r="D662"/>
      <c s="103" r="E662"/>
      <c s="103" r="F662"/>
      <c s="103" r="G662"/>
    </row>
    <row r="663">
      <c s="103" r="B663"/>
      <c s="103" r="C663"/>
      <c s="103" r="D663"/>
      <c s="103" r="E663"/>
      <c s="103" r="F663"/>
      <c s="103" r="G663"/>
    </row>
    <row r="664">
      <c s="103" r="B664"/>
      <c s="103" r="C664"/>
      <c s="103" r="D664"/>
      <c s="103" r="E664"/>
      <c s="103" r="F664"/>
      <c s="103" r="G664"/>
    </row>
    <row r="665">
      <c s="103" r="B665"/>
      <c s="103" r="C665"/>
      <c s="103" r="D665"/>
      <c s="103" r="E665"/>
      <c s="103" r="F665"/>
      <c s="103" r="G665"/>
    </row>
    <row r="666">
      <c s="103" r="B666"/>
      <c s="103" r="C666"/>
      <c s="103" r="D666"/>
      <c s="103" r="E666"/>
      <c s="103" r="F666"/>
      <c s="103" r="G666"/>
    </row>
    <row r="667">
      <c s="103" r="B667"/>
      <c s="103" r="C667"/>
      <c s="103" r="D667"/>
      <c s="103" r="E667"/>
      <c s="103" r="F667"/>
      <c s="103" r="G667"/>
    </row>
    <row r="668">
      <c s="103" r="B668"/>
      <c s="103" r="C668"/>
      <c s="103" r="D668"/>
      <c s="103" r="E668"/>
      <c s="103" r="F668"/>
      <c s="103" r="G668"/>
    </row>
    <row r="669">
      <c s="103" r="B669"/>
      <c s="103" r="C669"/>
      <c s="103" r="D669"/>
      <c s="103" r="E669"/>
      <c s="103" r="F669"/>
      <c s="103" r="G669"/>
    </row>
    <row r="670">
      <c s="103" r="B670"/>
      <c s="103" r="C670"/>
      <c s="103" r="D670"/>
      <c s="103" r="E670"/>
      <c s="103" r="F670"/>
      <c s="103" r="G670"/>
    </row>
    <row r="671">
      <c s="103" r="B671"/>
      <c s="103" r="C671"/>
      <c s="103" r="D671"/>
      <c s="103" r="E671"/>
      <c s="103" r="F671"/>
      <c s="103" r="G671"/>
    </row>
    <row r="672">
      <c s="103" r="B672"/>
      <c s="103" r="C672"/>
      <c s="103" r="D672"/>
      <c s="103" r="E672"/>
      <c s="103" r="F672"/>
      <c s="103" r="G672"/>
    </row>
    <row r="673">
      <c s="103" r="B673"/>
      <c s="103" r="C673"/>
      <c s="103" r="D673"/>
      <c s="103" r="E673"/>
      <c s="103" r="F673"/>
      <c s="103" r="G673"/>
    </row>
    <row r="674">
      <c s="103" r="B674"/>
      <c s="103" r="C674"/>
      <c s="103" r="D674"/>
      <c s="103" r="E674"/>
      <c s="103" r="F674"/>
      <c s="103" r="G674"/>
    </row>
    <row r="675">
      <c s="103" r="B675"/>
      <c s="103" r="C675"/>
      <c s="103" r="D675"/>
      <c s="103" r="E675"/>
      <c s="103" r="F675"/>
      <c s="103" r="G675"/>
    </row>
    <row r="676">
      <c s="103" r="B676"/>
      <c s="103" r="C676"/>
      <c s="103" r="D676"/>
      <c s="103" r="E676"/>
      <c s="103" r="F676"/>
      <c s="103" r="G676"/>
    </row>
    <row r="677">
      <c s="103" r="B677"/>
      <c s="103" r="C677"/>
      <c s="103" r="D677"/>
      <c s="103" r="E677"/>
      <c s="103" r="F677"/>
      <c s="103" r="G677"/>
    </row>
    <row r="678">
      <c s="103" r="B678"/>
      <c s="103" r="C678"/>
      <c s="103" r="D678"/>
      <c s="103" r="E678"/>
      <c s="103" r="F678"/>
      <c s="103" r="G678"/>
    </row>
    <row r="679">
      <c s="103" r="B679"/>
      <c s="103" r="C679"/>
      <c s="103" r="D679"/>
      <c s="103" r="E679"/>
      <c s="103" r="F679"/>
      <c s="103" r="G679"/>
    </row>
    <row r="680">
      <c s="103" r="B680"/>
      <c s="103" r="C680"/>
      <c s="103" r="D680"/>
      <c s="103" r="E680"/>
      <c s="103" r="F680"/>
      <c s="103" r="G680"/>
    </row>
    <row r="681">
      <c s="103" r="B681"/>
      <c s="103" r="C681"/>
      <c s="103" r="D681"/>
      <c s="103" r="E681"/>
      <c s="103" r="F681"/>
      <c s="103" r="G681"/>
    </row>
    <row r="682">
      <c s="103" r="B682"/>
      <c s="103" r="C682"/>
      <c s="103" r="D682"/>
      <c s="103" r="E682"/>
      <c s="103" r="F682"/>
      <c s="103" r="G682"/>
    </row>
    <row r="683">
      <c s="103" r="B683"/>
      <c s="103" r="C683"/>
      <c s="103" r="D683"/>
      <c s="103" r="E683"/>
      <c s="103" r="F683"/>
      <c s="103" r="G683"/>
    </row>
    <row r="684">
      <c s="103" r="B684"/>
      <c s="103" r="C684"/>
      <c s="103" r="D684"/>
      <c s="103" r="E684"/>
      <c s="103" r="F684"/>
      <c s="103" r="G684"/>
    </row>
    <row r="685">
      <c s="103" r="B685"/>
      <c s="103" r="C685"/>
      <c s="103" r="D685"/>
      <c s="103" r="E685"/>
      <c s="103" r="F685"/>
      <c s="103" r="G685"/>
    </row>
    <row r="686">
      <c s="103" r="B686"/>
      <c s="103" r="C686"/>
      <c s="103" r="D686"/>
      <c s="103" r="E686"/>
      <c s="103" r="F686"/>
      <c s="103" r="G686"/>
    </row>
    <row r="687">
      <c s="103" r="B687"/>
      <c s="103" r="C687"/>
      <c s="103" r="D687"/>
      <c s="103" r="E687"/>
      <c s="103" r="F687"/>
      <c s="103" r="G687"/>
    </row>
    <row r="688">
      <c s="103" r="B688"/>
      <c s="103" r="C688"/>
      <c s="103" r="D688"/>
      <c s="103" r="E688"/>
      <c s="103" r="F688"/>
      <c s="103" r="G688"/>
    </row>
    <row r="689">
      <c s="103" r="B689"/>
      <c s="103" r="C689"/>
      <c s="103" r="D689"/>
      <c s="103" r="E689"/>
      <c s="103" r="F689"/>
      <c s="103" r="G689"/>
    </row>
    <row r="690">
      <c s="103" r="B690"/>
      <c s="103" r="C690"/>
      <c s="103" r="D690"/>
      <c s="103" r="E690"/>
      <c s="103" r="F690"/>
      <c s="103" r="G690"/>
    </row>
    <row r="691">
      <c s="103" r="B691"/>
      <c s="103" r="C691"/>
      <c s="103" r="D691"/>
      <c s="103" r="E691"/>
      <c s="103" r="F691"/>
      <c s="103" r="G691"/>
    </row>
    <row r="692">
      <c s="103" r="B692"/>
      <c s="103" r="C692"/>
      <c s="103" r="D692"/>
      <c s="103" r="E692"/>
      <c s="103" r="F692"/>
      <c s="103" r="G692"/>
    </row>
    <row r="693">
      <c s="103" r="B693"/>
      <c s="103" r="C693"/>
      <c s="103" r="D693"/>
      <c s="103" r="E693"/>
      <c s="103" r="F693"/>
      <c s="103" r="G693"/>
    </row>
    <row r="694">
      <c s="103" r="B694"/>
      <c s="103" r="C694"/>
      <c s="103" r="D694"/>
      <c s="103" r="E694"/>
      <c s="103" r="F694"/>
      <c s="103" r="G694"/>
    </row>
    <row r="695">
      <c s="103" r="B695"/>
      <c s="103" r="C695"/>
      <c s="103" r="D695"/>
      <c s="103" r="E695"/>
      <c s="103" r="F695"/>
      <c s="103" r="G695"/>
    </row>
    <row r="696">
      <c s="103" r="B696"/>
      <c s="103" r="C696"/>
      <c s="103" r="D696"/>
      <c s="103" r="E696"/>
      <c s="103" r="F696"/>
      <c s="103" r="G696"/>
    </row>
    <row r="697">
      <c s="103" r="B697"/>
      <c s="103" r="C697"/>
      <c s="103" r="D697"/>
      <c s="103" r="E697"/>
      <c s="103" r="F697"/>
      <c s="103" r="G697"/>
    </row>
    <row r="698">
      <c s="103" r="B698"/>
      <c s="103" r="C698"/>
      <c s="103" r="D698"/>
      <c s="103" r="E698"/>
      <c s="103" r="F698"/>
      <c s="103" r="G698"/>
    </row>
    <row r="699">
      <c s="103" r="B699"/>
      <c s="103" r="C699"/>
      <c s="103" r="D699"/>
      <c s="103" r="E699"/>
      <c s="103" r="F699"/>
      <c s="103" r="G699"/>
    </row>
    <row r="700">
      <c s="103" r="B700"/>
      <c s="103" r="C700"/>
      <c s="103" r="D700"/>
      <c s="103" r="E700"/>
      <c s="103" r="F700"/>
      <c s="103" r="G700"/>
    </row>
    <row r="701">
      <c s="103" r="B701"/>
      <c s="103" r="C701"/>
      <c s="103" r="D701"/>
      <c s="103" r="E701"/>
      <c s="103" r="F701"/>
      <c s="103" r="G701"/>
    </row>
    <row r="702">
      <c s="103" r="B702"/>
      <c s="103" r="C702"/>
      <c s="103" r="D702"/>
      <c s="103" r="E702"/>
      <c s="103" r="F702"/>
      <c s="103" r="G702"/>
    </row>
    <row r="703">
      <c s="103" r="B703"/>
      <c s="103" r="C703"/>
      <c s="103" r="D703"/>
      <c s="103" r="E703"/>
      <c s="103" r="F703"/>
      <c s="103" r="G703"/>
    </row>
    <row r="704">
      <c s="103" r="B704"/>
      <c s="103" r="C704"/>
      <c s="103" r="D704"/>
      <c s="103" r="E704"/>
      <c s="103" r="F704"/>
      <c s="103" r="G704"/>
    </row>
    <row r="705">
      <c s="103" r="B705"/>
      <c s="103" r="C705"/>
      <c s="103" r="D705"/>
      <c s="103" r="E705"/>
      <c s="103" r="F705"/>
      <c s="103" r="G705"/>
    </row>
    <row r="706">
      <c s="103" r="B706"/>
      <c s="103" r="C706"/>
      <c s="103" r="D706"/>
      <c s="103" r="E706"/>
      <c s="103" r="F706"/>
      <c s="103" r="G706"/>
    </row>
    <row r="707">
      <c s="103" r="B707"/>
      <c s="103" r="C707"/>
      <c s="103" r="D707"/>
      <c s="103" r="E707"/>
      <c s="103" r="F707"/>
      <c s="103" r="G707"/>
    </row>
    <row r="708">
      <c s="103" r="B708"/>
      <c s="103" r="C708"/>
      <c s="103" r="D708"/>
      <c s="103" r="E708"/>
      <c s="103" r="F708"/>
      <c s="103" r="G708"/>
    </row>
    <row r="709">
      <c s="103" r="B709"/>
      <c s="103" r="C709"/>
      <c s="103" r="D709"/>
      <c s="103" r="E709"/>
      <c s="103" r="F709"/>
      <c s="103" r="G709"/>
    </row>
    <row r="710">
      <c s="103" r="B710"/>
      <c s="103" r="C710"/>
      <c s="103" r="D710"/>
      <c s="103" r="E710"/>
      <c s="103" r="F710"/>
      <c s="103" r="G710"/>
    </row>
    <row r="711">
      <c s="103" r="B711"/>
      <c s="103" r="C711"/>
      <c s="103" r="D711"/>
      <c s="103" r="E711"/>
      <c s="103" r="F711"/>
      <c s="103" r="G711"/>
    </row>
    <row r="712">
      <c s="103" r="B712"/>
      <c s="103" r="C712"/>
      <c s="103" r="D712"/>
      <c s="103" r="E712"/>
      <c s="103" r="F712"/>
      <c s="103" r="G712"/>
    </row>
    <row r="713">
      <c s="103" r="B713"/>
      <c s="103" r="C713"/>
      <c s="103" r="D713"/>
      <c s="103" r="E713"/>
      <c s="103" r="F713"/>
      <c s="103" r="G713"/>
    </row>
    <row r="714">
      <c s="103" r="B714"/>
      <c s="103" r="C714"/>
      <c s="103" r="D714"/>
      <c s="103" r="E714"/>
      <c s="103" r="F714"/>
      <c s="103" r="G714"/>
    </row>
    <row r="715">
      <c s="103" r="B715"/>
      <c s="103" r="C715"/>
      <c s="103" r="D715"/>
      <c s="103" r="E715"/>
      <c s="103" r="F715"/>
      <c s="103" r="G715"/>
    </row>
    <row r="716">
      <c s="103" r="B716"/>
      <c s="103" r="C716"/>
      <c s="103" r="D716"/>
      <c s="103" r="E716"/>
      <c s="103" r="F716"/>
      <c s="103" r="G716"/>
    </row>
    <row r="717">
      <c s="103" r="B717"/>
      <c s="103" r="C717"/>
      <c s="103" r="D717"/>
      <c s="103" r="E717"/>
      <c s="103" r="F717"/>
      <c s="103" r="G717"/>
    </row>
    <row r="718">
      <c s="103" r="B718"/>
      <c s="103" r="C718"/>
      <c s="103" r="D718"/>
      <c s="103" r="E718"/>
      <c s="103" r="F718"/>
      <c s="103" r="G718"/>
    </row>
    <row r="719">
      <c s="103" r="B719"/>
      <c s="103" r="C719"/>
      <c s="103" r="D719"/>
      <c s="103" r="E719"/>
      <c s="103" r="F719"/>
      <c s="103" r="G719"/>
    </row>
    <row r="720">
      <c s="103" r="B720"/>
      <c s="103" r="C720"/>
      <c s="103" r="D720"/>
      <c s="103" r="E720"/>
      <c s="103" r="F720"/>
      <c s="103" r="G720"/>
    </row>
    <row r="721">
      <c s="103" r="B721"/>
      <c s="103" r="C721"/>
      <c s="103" r="D721"/>
      <c s="103" r="E721"/>
      <c s="103" r="F721"/>
      <c s="103" r="G721"/>
    </row>
    <row r="722">
      <c s="103" r="B722"/>
      <c s="103" r="C722"/>
      <c s="103" r="D722"/>
      <c s="103" r="E722"/>
      <c s="103" r="F722"/>
      <c s="103" r="G722"/>
    </row>
    <row r="723">
      <c s="103" r="B723"/>
      <c s="103" r="C723"/>
      <c s="103" r="D723"/>
      <c s="103" r="E723"/>
      <c s="103" r="F723"/>
      <c s="103" r="G723"/>
    </row>
    <row r="724">
      <c s="103" r="B724"/>
      <c s="103" r="C724"/>
      <c s="103" r="D724"/>
      <c s="103" r="E724"/>
      <c s="103" r="F724"/>
      <c s="103" r="G724"/>
    </row>
    <row r="725">
      <c s="103" r="B725"/>
      <c s="103" r="C725"/>
      <c s="103" r="D725"/>
      <c s="103" r="E725"/>
      <c s="103" r="F725"/>
      <c s="103" r="G725"/>
    </row>
    <row r="726">
      <c s="103" r="B726"/>
      <c s="103" r="C726"/>
      <c s="103" r="D726"/>
      <c s="103" r="E726"/>
      <c s="103" r="F726"/>
      <c s="103" r="G726"/>
    </row>
    <row r="727">
      <c s="103" r="B727"/>
      <c s="103" r="C727"/>
      <c s="103" r="D727"/>
      <c s="103" r="E727"/>
      <c s="103" r="F727"/>
      <c s="103" r="G727"/>
    </row>
    <row r="728">
      <c s="103" r="B728"/>
      <c s="103" r="C728"/>
      <c s="103" r="D728"/>
      <c s="103" r="E728"/>
      <c s="103" r="F728"/>
      <c s="103" r="G728"/>
    </row>
    <row r="729">
      <c s="103" r="B729"/>
      <c s="103" r="C729"/>
      <c s="103" r="D729"/>
      <c s="103" r="E729"/>
      <c s="103" r="F729"/>
      <c s="103" r="G729"/>
    </row>
    <row r="730">
      <c s="103" r="B730"/>
      <c s="103" r="C730"/>
      <c s="103" r="D730"/>
      <c s="103" r="E730"/>
      <c s="103" r="F730"/>
      <c s="103" r="G730"/>
    </row>
    <row r="731">
      <c s="103" r="B731"/>
      <c s="103" r="C731"/>
      <c s="103" r="D731"/>
      <c s="103" r="E731"/>
      <c s="103" r="F731"/>
      <c s="103" r="G731"/>
    </row>
    <row r="732">
      <c s="103" r="B732"/>
      <c s="103" r="C732"/>
      <c s="103" r="D732"/>
      <c s="103" r="E732"/>
      <c s="103" r="F732"/>
      <c s="103" r="G732"/>
    </row>
    <row r="733">
      <c s="103" r="B733"/>
      <c s="103" r="C733"/>
      <c s="103" r="D733"/>
      <c s="103" r="E733"/>
      <c s="103" r="F733"/>
      <c s="103" r="G733"/>
    </row>
    <row r="734">
      <c s="103" r="B734"/>
      <c s="103" r="C734"/>
      <c s="103" r="D734"/>
      <c s="103" r="E734"/>
      <c s="103" r="F734"/>
      <c s="103" r="G734"/>
    </row>
    <row r="735">
      <c s="103" r="B735"/>
      <c s="103" r="C735"/>
      <c s="103" r="D735"/>
      <c s="103" r="E735"/>
      <c s="103" r="F735"/>
      <c s="103" r="G735"/>
    </row>
    <row r="736">
      <c s="103" r="B736"/>
      <c s="103" r="C736"/>
      <c s="103" r="D736"/>
      <c s="103" r="E736"/>
      <c s="103" r="F736"/>
      <c s="103" r="G736"/>
    </row>
    <row r="737">
      <c s="103" r="B737"/>
      <c s="103" r="C737"/>
      <c s="103" r="D737"/>
      <c s="103" r="E737"/>
      <c s="103" r="F737"/>
      <c s="103" r="G737"/>
    </row>
    <row r="738">
      <c s="103" r="B738"/>
      <c s="103" r="C738"/>
      <c s="103" r="D738"/>
      <c s="103" r="E738"/>
      <c s="103" r="F738"/>
      <c s="103" r="G738"/>
    </row>
    <row r="739">
      <c s="103" r="B739"/>
      <c s="103" r="C739"/>
      <c s="103" r="D739"/>
      <c s="103" r="E739"/>
      <c s="103" r="F739"/>
      <c s="103" r="G739"/>
    </row>
    <row r="740">
      <c s="103" r="B740"/>
      <c s="103" r="C740"/>
      <c s="103" r="D740"/>
      <c s="103" r="E740"/>
      <c s="103" r="F740"/>
      <c s="103" r="G740"/>
    </row>
    <row r="741">
      <c s="103" r="B741"/>
      <c s="103" r="C741"/>
      <c s="103" r="D741"/>
      <c s="103" r="E741"/>
      <c s="103" r="F741"/>
      <c s="103" r="G741"/>
    </row>
    <row r="742">
      <c s="103" r="B742"/>
      <c s="103" r="C742"/>
      <c s="103" r="D742"/>
      <c s="103" r="E742"/>
      <c s="103" r="F742"/>
      <c s="103" r="G742"/>
    </row>
    <row r="743">
      <c s="103" r="B743"/>
      <c s="103" r="C743"/>
      <c s="103" r="D743"/>
      <c s="103" r="E743"/>
      <c s="103" r="F743"/>
      <c s="103" r="G743"/>
    </row>
    <row r="744">
      <c s="103" r="B744"/>
      <c s="103" r="C744"/>
      <c s="103" r="D744"/>
      <c s="103" r="E744"/>
      <c s="103" r="F744"/>
      <c s="103" r="G744"/>
    </row>
    <row r="745">
      <c s="103" r="B745"/>
      <c s="103" r="C745"/>
      <c s="103" r="D745"/>
      <c s="103" r="E745"/>
      <c s="103" r="F745"/>
      <c s="103" r="G745"/>
    </row>
    <row r="746">
      <c s="103" r="B746"/>
      <c s="103" r="C746"/>
      <c s="103" r="D746"/>
      <c s="103" r="E746"/>
      <c s="103" r="F746"/>
      <c s="103" r="G746"/>
    </row>
    <row r="747">
      <c s="103" r="B747"/>
      <c s="103" r="C747"/>
      <c s="103" r="D747"/>
      <c s="103" r="E747"/>
      <c s="103" r="F747"/>
      <c s="103" r="G747"/>
    </row>
    <row r="748">
      <c s="103" r="B748"/>
      <c s="103" r="C748"/>
      <c s="103" r="D748"/>
      <c s="103" r="E748"/>
      <c s="103" r="F748"/>
      <c s="103" r="G748"/>
    </row>
    <row r="749">
      <c s="103" r="B749"/>
      <c s="103" r="C749"/>
      <c s="103" r="D749"/>
      <c s="103" r="E749"/>
      <c s="103" r="F749"/>
      <c s="103" r="G749"/>
    </row>
    <row r="750">
      <c s="103" r="B750"/>
      <c s="103" r="C750"/>
      <c s="103" r="D750"/>
      <c s="103" r="E750"/>
      <c s="103" r="F750"/>
      <c s="103" r="G750"/>
    </row>
    <row r="751">
      <c s="103" r="B751"/>
      <c s="103" r="C751"/>
      <c s="103" r="D751"/>
      <c s="103" r="E751"/>
      <c s="103" r="F751"/>
      <c s="103" r="G751"/>
    </row>
    <row r="752">
      <c s="103" r="B752"/>
      <c s="103" r="C752"/>
      <c s="103" r="D752"/>
      <c s="103" r="E752"/>
      <c s="103" r="F752"/>
      <c s="103" r="G752"/>
    </row>
    <row r="753">
      <c s="103" r="B753"/>
      <c s="103" r="C753"/>
      <c s="103" r="D753"/>
      <c s="103" r="E753"/>
      <c s="103" r="F753"/>
      <c s="103" r="G753"/>
    </row>
    <row r="754">
      <c s="103" r="B754"/>
      <c s="103" r="C754"/>
      <c s="103" r="D754"/>
      <c s="103" r="E754"/>
      <c s="103" r="F754"/>
      <c s="103" r="G754"/>
    </row>
    <row r="755">
      <c s="103" r="B755"/>
      <c s="103" r="C755"/>
      <c s="103" r="D755"/>
      <c s="103" r="E755"/>
      <c s="103" r="F755"/>
      <c s="103" r="G755"/>
    </row>
    <row r="756">
      <c s="103" r="B756"/>
      <c s="103" r="C756"/>
      <c s="103" r="D756"/>
      <c s="103" r="E756"/>
      <c s="103" r="F756"/>
      <c s="103" r="G756"/>
    </row>
    <row r="757">
      <c s="103" r="B757"/>
      <c s="103" r="C757"/>
      <c s="103" r="D757"/>
      <c s="103" r="E757"/>
      <c s="103" r="F757"/>
      <c s="103" r="G757"/>
    </row>
    <row r="758">
      <c s="103" r="B758"/>
      <c s="103" r="C758"/>
      <c s="103" r="D758"/>
      <c s="103" r="E758"/>
      <c s="103" r="F758"/>
      <c s="103" r="G758"/>
    </row>
    <row r="759">
      <c s="103" r="B759"/>
      <c s="103" r="C759"/>
      <c s="103" r="D759"/>
      <c s="103" r="E759"/>
      <c s="103" r="F759"/>
      <c s="103" r="G759"/>
    </row>
    <row r="760">
      <c s="103" r="B760"/>
      <c s="103" r="C760"/>
      <c s="103" r="D760"/>
      <c s="103" r="E760"/>
      <c s="103" r="F760"/>
      <c s="103" r="G760"/>
    </row>
    <row r="761">
      <c s="103" r="B761"/>
      <c s="103" r="C761"/>
      <c s="103" r="D761"/>
      <c s="103" r="E761"/>
      <c s="103" r="F761"/>
      <c s="103" r="G761"/>
    </row>
    <row r="762">
      <c s="103" r="B762"/>
      <c s="103" r="C762"/>
      <c s="103" r="D762"/>
      <c s="103" r="E762"/>
      <c s="103" r="F762"/>
      <c s="103" r="G762"/>
    </row>
    <row r="763">
      <c s="103" r="B763"/>
      <c s="103" r="C763"/>
      <c s="103" r="D763"/>
      <c s="103" r="E763"/>
      <c s="103" r="F763"/>
      <c s="103" r="G763"/>
    </row>
    <row r="764">
      <c s="103" r="B764"/>
      <c s="103" r="C764"/>
      <c s="103" r="D764"/>
      <c s="103" r="E764"/>
      <c s="103" r="F764"/>
      <c s="103" r="G764"/>
    </row>
    <row r="765">
      <c s="103" r="B765"/>
      <c s="103" r="C765"/>
      <c s="103" r="D765"/>
      <c s="103" r="E765"/>
      <c s="103" r="F765"/>
      <c s="103" r="G765"/>
    </row>
    <row r="766">
      <c s="103" r="B766"/>
      <c s="103" r="C766"/>
      <c s="103" r="D766"/>
      <c s="103" r="E766"/>
      <c s="103" r="F766"/>
      <c s="103" r="G766"/>
    </row>
    <row r="767">
      <c s="103" r="B767"/>
      <c s="103" r="C767"/>
      <c s="103" r="D767"/>
      <c s="103" r="E767"/>
      <c s="103" r="F767"/>
      <c s="103" r="G767"/>
    </row>
    <row r="768">
      <c s="103" r="B768"/>
      <c s="103" r="C768"/>
      <c s="103" r="D768"/>
      <c s="103" r="E768"/>
      <c s="103" r="F768"/>
      <c s="103" r="G768"/>
    </row>
    <row r="769">
      <c s="103" r="B769"/>
      <c s="103" r="C769"/>
      <c s="103" r="D769"/>
      <c s="103" r="E769"/>
      <c s="103" r="F769"/>
      <c s="103" r="G769"/>
    </row>
    <row r="770">
      <c s="103" r="B770"/>
      <c s="103" r="C770"/>
      <c s="103" r="D770"/>
      <c s="103" r="E770"/>
      <c s="103" r="F770"/>
      <c s="103" r="G770"/>
    </row>
    <row r="771">
      <c s="103" r="B771"/>
      <c s="103" r="C771"/>
      <c s="103" r="D771"/>
      <c s="103" r="E771"/>
      <c s="103" r="F771"/>
      <c s="103" r="G771"/>
    </row>
    <row r="772">
      <c s="103" r="B772"/>
      <c s="103" r="C772"/>
      <c s="103" r="D772"/>
      <c s="103" r="E772"/>
      <c s="103" r="F772"/>
      <c s="103" r="G772"/>
    </row>
    <row r="773">
      <c s="103" r="B773"/>
      <c s="103" r="C773"/>
      <c s="103" r="D773"/>
      <c s="103" r="E773"/>
      <c s="103" r="F773"/>
      <c s="103" r="G773"/>
    </row>
    <row r="774">
      <c s="103" r="B774"/>
      <c s="103" r="C774"/>
      <c s="103" r="D774"/>
      <c s="103" r="E774"/>
      <c s="103" r="F774"/>
      <c s="103" r="G774"/>
    </row>
    <row r="775">
      <c s="103" r="B775"/>
      <c s="103" r="C775"/>
      <c s="103" r="D775"/>
      <c s="103" r="E775"/>
      <c s="103" r="F775"/>
      <c s="103" r="G775"/>
    </row>
    <row r="776">
      <c s="103" r="B776"/>
      <c s="103" r="C776"/>
      <c s="103" r="D776"/>
      <c s="103" r="E776"/>
      <c s="103" r="F776"/>
      <c s="103" r="G776"/>
    </row>
    <row r="777">
      <c s="103" r="B777"/>
      <c s="103" r="C777"/>
      <c s="103" r="D777"/>
      <c s="103" r="E777"/>
      <c s="103" r="F777"/>
      <c s="103" r="G777"/>
    </row>
    <row r="778">
      <c s="103" r="B778"/>
      <c s="103" r="C778"/>
      <c s="103" r="D778"/>
      <c s="103" r="E778"/>
      <c s="103" r="F778"/>
      <c s="103" r="G778"/>
    </row>
    <row r="779">
      <c s="103" r="B779"/>
      <c s="103" r="C779"/>
      <c s="103" r="D779"/>
      <c s="103" r="E779"/>
      <c s="103" r="F779"/>
      <c s="103" r="G779"/>
    </row>
    <row r="780">
      <c s="103" r="B780"/>
      <c s="103" r="C780"/>
      <c s="103" r="D780"/>
      <c s="103" r="E780"/>
      <c s="103" r="F780"/>
      <c s="103" r="G780"/>
    </row>
    <row r="781">
      <c s="103" r="B781"/>
      <c s="103" r="C781"/>
      <c s="103" r="D781"/>
      <c s="103" r="E781"/>
      <c s="103" r="F781"/>
      <c s="103" r="G781"/>
    </row>
    <row r="782">
      <c s="103" r="B782"/>
      <c s="103" r="C782"/>
      <c s="103" r="D782"/>
      <c s="103" r="E782"/>
      <c s="103" r="F782"/>
      <c s="103" r="G782"/>
    </row>
    <row r="783">
      <c s="103" r="B783"/>
      <c s="103" r="C783"/>
      <c s="103" r="D783"/>
      <c s="103" r="E783"/>
      <c s="103" r="F783"/>
      <c s="103" r="G783"/>
    </row>
    <row r="784">
      <c s="103" r="B784"/>
      <c s="103" r="C784"/>
      <c s="103" r="D784"/>
      <c s="103" r="E784"/>
      <c s="103" r="F784"/>
      <c s="103" r="G784"/>
    </row>
    <row r="785">
      <c s="103" r="B785"/>
      <c s="103" r="C785"/>
      <c s="103" r="D785"/>
      <c s="103" r="E785"/>
      <c s="103" r="F785"/>
      <c s="103" r="G785"/>
    </row>
    <row r="786">
      <c s="103" r="B786"/>
      <c s="103" r="C786"/>
      <c s="103" r="D786"/>
      <c s="103" r="E786"/>
      <c s="103" r="F786"/>
      <c s="103" r="G786"/>
    </row>
    <row r="787">
      <c s="103" r="B787"/>
      <c s="103" r="C787"/>
      <c s="103" r="D787"/>
      <c s="103" r="E787"/>
      <c s="103" r="F787"/>
      <c s="103" r="G787"/>
    </row>
    <row r="788">
      <c s="103" r="B788"/>
      <c s="103" r="C788"/>
      <c s="103" r="D788"/>
      <c s="103" r="E788"/>
      <c s="103" r="F788"/>
      <c s="103" r="G788"/>
    </row>
    <row r="789">
      <c s="103" r="B789"/>
      <c s="103" r="C789"/>
      <c s="103" r="D789"/>
      <c s="103" r="E789"/>
      <c s="103" r="F789"/>
      <c s="103" r="G789"/>
    </row>
    <row r="790">
      <c s="103" r="B790"/>
      <c s="103" r="C790"/>
      <c s="103" r="D790"/>
      <c s="103" r="E790"/>
      <c s="103" r="F790"/>
      <c s="103" r="G790"/>
    </row>
    <row r="791">
      <c s="103" r="B791"/>
      <c s="103" r="C791"/>
      <c s="103" r="D791"/>
      <c s="103" r="E791"/>
      <c s="103" r="F791"/>
      <c s="103" r="G791"/>
    </row>
    <row r="792">
      <c s="103" r="B792"/>
      <c s="103" r="C792"/>
      <c s="103" r="D792"/>
      <c s="103" r="E792"/>
      <c s="103" r="F792"/>
      <c s="103" r="G792"/>
    </row>
    <row r="793">
      <c s="103" r="B793"/>
      <c s="103" r="C793"/>
      <c s="103" r="D793"/>
      <c s="103" r="E793"/>
      <c s="103" r="F793"/>
      <c s="103" r="G793"/>
    </row>
    <row r="794">
      <c s="103" r="B794"/>
      <c s="103" r="C794"/>
      <c s="103" r="D794"/>
      <c s="103" r="E794"/>
      <c s="103" r="F794"/>
      <c s="103" r="G794"/>
    </row>
    <row r="795">
      <c s="103" r="B795"/>
      <c s="103" r="C795"/>
      <c s="103" r="D795"/>
      <c s="103" r="E795"/>
      <c s="103" r="F795"/>
      <c s="103" r="G795"/>
    </row>
    <row r="796">
      <c s="103" r="B796"/>
      <c s="103" r="C796"/>
      <c s="103" r="D796"/>
      <c s="103" r="E796"/>
      <c s="103" r="F796"/>
      <c s="103" r="G796"/>
    </row>
    <row r="797">
      <c s="103" r="B797"/>
      <c s="103" r="C797"/>
      <c s="103" r="D797"/>
      <c s="103" r="E797"/>
      <c s="103" r="F797"/>
      <c s="103" r="G797"/>
    </row>
    <row r="798">
      <c s="103" r="B798"/>
      <c s="103" r="C798"/>
      <c s="103" r="D798"/>
      <c s="103" r="E798"/>
      <c s="103" r="F798"/>
      <c s="103" r="G798"/>
    </row>
    <row r="799">
      <c s="103" r="B799"/>
      <c s="103" r="C799"/>
      <c s="103" r="D799"/>
      <c s="103" r="E799"/>
      <c s="103" r="F799"/>
      <c s="103" r="G799"/>
    </row>
    <row r="800">
      <c s="103" r="B800"/>
      <c s="103" r="C800"/>
      <c s="103" r="D800"/>
      <c s="103" r="E800"/>
      <c s="103" r="F800"/>
      <c s="103" r="G800"/>
    </row>
    <row r="801">
      <c s="103" r="B801"/>
      <c s="103" r="C801"/>
      <c s="103" r="D801"/>
      <c s="103" r="E801"/>
      <c s="103" r="F801"/>
      <c s="103" r="G801"/>
    </row>
    <row r="802">
      <c s="103" r="B802"/>
      <c s="103" r="C802"/>
      <c s="103" r="D802"/>
      <c s="103" r="E802"/>
      <c s="103" r="F802"/>
      <c s="103" r="G802"/>
    </row>
    <row r="803">
      <c s="103" r="B803"/>
      <c s="103" r="C803"/>
      <c s="103" r="D803"/>
      <c s="103" r="E803"/>
      <c s="103" r="F803"/>
      <c s="103" r="G803"/>
    </row>
    <row r="804">
      <c s="103" r="B804"/>
      <c s="103" r="C804"/>
      <c s="103" r="D804"/>
      <c s="103" r="E804"/>
      <c s="103" r="F804"/>
      <c s="103" r="G804"/>
    </row>
    <row r="805">
      <c s="103" r="B805"/>
      <c s="103" r="C805"/>
      <c s="103" r="D805"/>
      <c s="103" r="E805"/>
      <c s="103" r="F805"/>
      <c s="103" r="G805"/>
    </row>
    <row r="806">
      <c s="103" r="B806"/>
      <c s="103" r="C806"/>
      <c s="103" r="D806"/>
      <c s="103" r="E806"/>
      <c s="103" r="F806"/>
      <c s="103" r="G806"/>
    </row>
    <row r="807">
      <c s="103" r="B807"/>
      <c s="103" r="C807"/>
      <c s="103" r="D807"/>
      <c s="103" r="E807"/>
      <c s="103" r="F807"/>
      <c s="103" r="G807"/>
    </row>
    <row r="808">
      <c s="103" r="B808"/>
      <c s="103" r="C808"/>
      <c s="103" r="D808"/>
      <c s="103" r="E808"/>
      <c s="103" r="F808"/>
      <c s="103" r="G808"/>
    </row>
    <row r="809">
      <c s="103" r="B809"/>
      <c s="103" r="C809"/>
      <c s="103" r="D809"/>
      <c s="103" r="E809"/>
      <c s="103" r="F809"/>
      <c s="103" r="G809"/>
    </row>
    <row r="810">
      <c s="103" r="B810"/>
      <c s="103" r="C810"/>
      <c s="103" r="D810"/>
      <c s="103" r="E810"/>
      <c s="103" r="F810"/>
      <c s="103" r="G810"/>
    </row>
    <row r="811">
      <c s="103" r="B811"/>
      <c s="103" r="C811"/>
      <c s="103" r="D811"/>
      <c s="103" r="E811"/>
      <c s="103" r="F811"/>
      <c s="103" r="G811"/>
    </row>
    <row r="812">
      <c s="103" r="B812"/>
      <c s="103" r="C812"/>
      <c s="103" r="D812"/>
      <c s="103" r="E812"/>
      <c s="103" r="F812"/>
      <c s="103" r="G812"/>
    </row>
    <row r="813">
      <c s="103" r="B813"/>
      <c s="103" r="C813"/>
      <c s="103" r="D813"/>
      <c s="103" r="E813"/>
      <c s="103" r="F813"/>
      <c s="103" r="G813"/>
    </row>
    <row r="814">
      <c s="103" r="B814"/>
      <c s="103" r="C814"/>
      <c s="103" r="D814"/>
      <c s="103" r="E814"/>
      <c s="103" r="F814"/>
      <c s="103" r="G814"/>
    </row>
    <row r="815">
      <c s="103" r="B815"/>
      <c s="103" r="C815"/>
      <c s="103" r="D815"/>
      <c s="103" r="E815"/>
      <c s="103" r="F815"/>
      <c s="103" r="G815"/>
    </row>
    <row r="816">
      <c s="103" r="B816"/>
      <c s="103" r="C816"/>
      <c s="103" r="D816"/>
      <c s="103" r="E816"/>
      <c s="103" r="F816"/>
      <c s="103" r="G816"/>
    </row>
    <row r="817">
      <c s="103" r="B817"/>
      <c s="103" r="C817"/>
      <c s="103" r="D817"/>
      <c s="103" r="E817"/>
      <c s="103" r="F817"/>
      <c s="103" r="G817"/>
    </row>
    <row r="818">
      <c s="103" r="B818"/>
      <c s="103" r="C818"/>
      <c s="103" r="D818"/>
      <c s="103" r="E818"/>
      <c s="103" r="F818"/>
      <c s="103" r="G818"/>
    </row>
    <row r="819">
      <c s="103" r="B819"/>
      <c s="103" r="C819"/>
      <c s="103" r="D819"/>
      <c s="103" r="E819"/>
      <c s="103" r="F819"/>
      <c s="103" r="G819"/>
    </row>
    <row r="820">
      <c s="103" r="B820"/>
      <c s="103" r="C820"/>
      <c s="103" r="D820"/>
      <c s="103" r="E820"/>
      <c s="103" r="F820"/>
      <c s="103" r="G820"/>
    </row>
    <row r="821">
      <c s="103" r="B821"/>
      <c s="103" r="C821"/>
      <c s="103" r="D821"/>
      <c s="103" r="E821"/>
      <c s="103" r="F821"/>
      <c s="103" r="G821"/>
    </row>
    <row r="822">
      <c s="103" r="B822"/>
      <c s="103" r="C822"/>
      <c s="103" r="D822"/>
      <c s="103" r="E822"/>
      <c s="103" r="F822"/>
      <c s="103" r="G822"/>
    </row>
    <row r="823">
      <c s="103" r="B823"/>
      <c s="103" r="C823"/>
      <c s="103" r="D823"/>
      <c s="103" r="E823"/>
      <c s="103" r="F823"/>
      <c s="103" r="G823"/>
    </row>
    <row r="824">
      <c s="103" r="B824"/>
      <c s="103" r="C824"/>
      <c s="103" r="D824"/>
      <c s="103" r="E824"/>
      <c s="103" r="F824"/>
      <c s="103" r="G824"/>
    </row>
    <row r="825">
      <c s="103" r="B825"/>
      <c s="103" r="C825"/>
      <c s="103" r="D825"/>
      <c s="103" r="E825"/>
      <c s="103" r="F825"/>
      <c s="103" r="G825"/>
    </row>
    <row r="826">
      <c s="103" r="B826"/>
      <c s="103" r="C826"/>
      <c s="103" r="D826"/>
      <c s="103" r="E826"/>
      <c s="103" r="F826"/>
      <c s="103" r="G826"/>
    </row>
    <row r="827">
      <c s="103" r="B827"/>
      <c s="103" r="C827"/>
      <c s="103" r="D827"/>
      <c s="103" r="E827"/>
      <c s="103" r="F827"/>
      <c s="103" r="G827"/>
    </row>
    <row r="828">
      <c s="103" r="B828"/>
      <c s="103" r="C828"/>
      <c s="103" r="D828"/>
      <c s="103" r="E828"/>
      <c s="103" r="F828"/>
      <c s="103" r="G828"/>
    </row>
    <row r="829">
      <c s="103" r="B829"/>
      <c s="103" r="C829"/>
      <c s="103" r="D829"/>
      <c s="103" r="E829"/>
      <c s="103" r="F829"/>
      <c s="103" r="G829"/>
    </row>
    <row r="830">
      <c s="103" r="B830"/>
      <c s="103" r="C830"/>
      <c s="103" r="D830"/>
      <c s="103" r="E830"/>
      <c s="103" r="F830"/>
      <c s="103" r="G830"/>
    </row>
    <row r="831">
      <c s="103" r="B831"/>
      <c s="103" r="C831"/>
      <c s="103" r="D831"/>
      <c s="103" r="E831"/>
      <c s="103" r="F831"/>
      <c s="103" r="G831"/>
    </row>
    <row r="832">
      <c s="103" r="B832"/>
      <c s="103" r="C832"/>
      <c s="103" r="D832"/>
      <c s="103" r="E832"/>
      <c s="103" r="F832"/>
      <c s="103" r="G832"/>
    </row>
    <row r="833">
      <c s="103" r="B833"/>
      <c s="103" r="C833"/>
      <c s="103" r="D833"/>
      <c s="103" r="E833"/>
      <c s="103" r="F833"/>
      <c s="103" r="G833"/>
    </row>
    <row r="834">
      <c s="103" r="B834"/>
      <c s="103" r="C834"/>
      <c s="103" r="D834"/>
      <c s="103" r="E834"/>
      <c s="103" r="F834"/>
      <c s="103" r="G834"/>
    </row>
    <row r="835">
      <c s="103" r="B835"/>
      <c s="103" r="C835"/>
      <c s="103" r="D835"/>
      <c s="103" r="E835"/>
      <c s="103" r="F835"/>
      <c s="103" r="G835"/>
    </row>
    <row r="836">
      <c s="103" r="B836"/>
      <c s="103" r="C836"/>
      <c s="103" r="D836"/>
      <c s="103" r="E836"/>
      <c s="103" r="F836"/>
      <c s="103" r="G836"/>
    </row>
    <row r="837">
      <c s="103" r="B837"/>
      <c s="103" r="C837"/>
      <c s="103" r="D837"/>
      <c s="103" r="E837"/>
      <c s="103" r="F837"/>
      <c s="103" r="G837"/>
    </row>
    <row r="838">
      <c s="103" r="B838"/>
      <c s="103" r="C838"/>
      <c s="103" r="D838"/>
      <c s="103" r="E838"/>
      <c s="103" r="F838"/>
      <c s="103" r="G838"/>
    </row>
    <row r="839">
      <c s="103" r="B839"/>
      <c s="103" r="C839"/>
      <c s="103" r="D839"/>
      <c s="103" r="E839"/>
      <c s="103" r="F839"/>
      <c s="103" r="G839"/>
    </row>
    <row r="840">
      <c s="103" r="B840"/>
      <c s="103" r="C840"/>
      <c s="103" r="D840"/>
      <c s="103" r="E840"/>
      <c s="103" r="F840"/>
      <c s="103" r="G840"/>
    </row>
    <row r="841">
      <c s="103" r="B841"/>
      <c s="103" r="C841"/>
      <c s="103" r="D841"/>
      <c s="103" r="E841"/>
      <c s="103" r="F841"/>
      <c s="103" r="G841"/>
    </row>
    <row r="842">
      <c s="103" r="B842"/>
      <c s="103" r="C842"/>
      <c s="103" r="D842"/>
      <c s="103" r="E842"/>
      <c s="103" r="F842"/>
      <c s="103" r="G842"/>
    </row>
    <row r="843">
      <c s="103" r="B843"/>
      <c s="103" r="C843"/>
      <c s="103" r="D843"/>
      <c s="103" r="E843"/>
      <c s="103" r="F843"/>
      <c s="103" r="G843"/>
    </row>
    <row r="844">
      <c s="103" r="B844"/>
      <c s="103" r="C844"/>
      <c s="103" r="D844"/>
      <c s="103" r="E844"/>
      <c s="103" r="F844"/>
      <c s="103" r="G844"/>
    </row>
    <row r="845">
      <c s="103" r="B845"/>
      <c s="103" r="C845"/>
      <c s="103" r="D845"/>
      <c s="103" r="E845"/>
      <c s="103" r="F845"/>
      <c s="103" r="G845"/>
    </row>
    <row r="846">
      <c s="103" r="B846"/>
      <c s="103" r="C846"/>
      <c s="103" r="D846"/>
      <c s="103" r="E846"/>
      <c s="103" r="F846"/>
      <c s="103" r="G846"/>
    </row>
    <row r="847">
      <c s="103" r="B847"/>
      <c s="103" r="C847"/>
      <c s="103" r="D847"/>
      <c s="103" r="E847"/>
      <c s="103" r="F847"/>
      <c s="103" r="G847"/>
    </row>
    <row r="848">
      <c s="103" r="B848"/>
      <c s="103" r="C848"/>
      <c s="103" r="D848"/>
      <c s="103" r="E848"/>
      <c s="103" r="F848"/>
      <c s="103" r="G848"/>
    </row>
    <row r="849">
      <c s="103" r="B849"/>
      <c s="103" r="C849"/>
      <c s="103" r="D849"/>
      <c s="103" r="E849"/>
      <c s="103" r="F849"/>
      <c s="103" r="G849"/>
    </row>
    <row r="850">
      <c s="103" r="B850"/>
      <c s="103" r="C850"/>
      <c s="103" r="D850"/>
      <c s="103" r="E850"/>
      <c s="103" r="F850"/>
      <c s="103" r="G850"/>
    </row>
    <row r="851">
      <c s="103" r="B851"/>
      <c s="103" r="C851"/>
      <c s="103" r="D851"/>
      <c s="103" r="E851"/>
      <c s="103" r="F851"/>
      <c s="103" r="G851"/>
    </row>
    <row r="852">
      <c s="103" r="B852"/>
      <c s="103" r="C852"/>
      <c s="103" r="D852"/>
      <c s="103" r="E852"/>
      <c s="103" r="F852"/>
      <c s="103" r="G852"/>
    </row>
    <row r="853">
      <c s="103" r="B853"/>
      <c s="103" r="C853"/>
      <c s="103" r="D853"/>
      <c s="103" r="E853"/>
      <c s="103" r="F853"/>
      <c s="103" r="G853"/>
    </row>
    <row r="854">
      <c s="103" r="B854"/>
      <c s="103" r="C854"/>
      <c s="103" r="D854"/>
      <c s="103" r="E854"/>
      <c s="103" r="F854"/>
      <c s="103" r="G854"/>
    </row>
    <row r="855">
      <c s="103" r="B855"/>
      <c s="103" r="C855"/>
      <c s="103" r="D855"/>
      <c s="103" r="E855"/>
      <c s="103" r="F855"/>
      <c s="103" r="G855"/>
    </row>
    <row r="856">
      <c s="103" r="B856"/>
      <c s="103" r="C856"/>
      <c s="103" r="D856"/>
      <c s="103" r="E856"/>
      <c s="103" r="F856"/>
      <c s="103" r="G856"/>
    </row>
    <row r="857">
      <c s="103" r="B857"/>
      <c s="103" r="C857"/>
      <c s="103" r="D857"/>
      <c s="103" r="E857"/>
      <c s="103" r="F857"/>
      <c s="103" r="G857"/>
    </row>
    <row r="858">
      <c s="103" r="B858"/>
      <c s="103" r="C858"/>
      <c s="103" r="D858"/>
      <c s="103" r="E858"/>
      <c s="103" r="F858"/>
      <c s="103" r="G858"/>
    </row>
    <row r="859">
      <c s="103" r="B859"/>
      <c s="103" r="C859"/>
      <c s="103" r="D859"/>
      <c s="103" r="E859"/>
      <c s="103" r="F859"/>
      <c s="103" r="G859"/>
    </row>
    <row r="860">
      <c s="103" r="B860"/>
      <c s="103" r="C860"/>
      <c s="103" r="D860"/>
      <c s="103" r="E860"/>
      <c s="103" r="F860"/>
      <c s="103" r="G860"/>
    </row>
    <row r="861">
      <c s="103" r="B861"/>
      <c s="103" r="C861"/>
      <c s="103" r="D861"/>
      <c s="103" r="E861"/>
      <c s="103" r="F861"/>
      <c s="103" r="G861"/>
    </row>
    <row r="862">
      <c s="103" r="B862"/>
      <c s="103" r="C862"/>
      <c s="103" r="D862"/>
      <c s="103" r="E862"/>
      <c s="103" r="F862"/>
      <c s="103" r="G862"/>
    </row>
    <row r="863">
      <c s="103" r="B863"/>
      <c s="103" r="C863"/>
      <c s="103" r="D863"/>
      <c s="103" r="E863"/>
      <c s="103" r="F863"/>
      <c s="103" r="G863"/>
    </row>
    <row r="864">
      <c s="103" r="B864"/>
      <c s="103" r="C864"/>
      <c s="103" r="D864"/>
      <c s="103" r="E864"/>
      <c s="103" r="F864"/>
      <c s="103" r="G864"/>
    </row>
    <row r="865">
      <c s="103" r="B865"/>
      <c s="103" r="C865"/>
      <c s="103" r="D865"/>
      <c s="103" r="E865"/>
      <c s="103" r="F865"/>
      <c s="103" r="G865"/>
    </row>
    <row r="866">
      <c s="103" r="B866"/>
      <c s="103" r="C866"/>
      <c s="103" r="D866"/>
      <c s="103" r="E866"/>
      <c s="103" r="F866"/>
      <c s="103" r="G866"/>
    </row>
    <row r="867">
      <c s="103" r="B867"/>
      <c s="103" r="C867"/>
      <c s="103" r="D867"/>
      <c s="103" r="E867"/>
      <c s="103" r="F867"/>
      <c s="103" r="G867"/>
    </row>
    <row r="868">
      <c s="103" r="B868"/>
      <c s="103" r="C868"/>
      <c s="103" r="D868"/>
      <c s="103" r="E868"/>
      <c s="103" r="F868"/>
      <c s="103" r="G868"/>
    </row>
    <row r="869">
      <c s="103" r="B869"/>
      <c s="103" r="C869"/>
      <c s="103" r="D869"/>
      <c s="103" r="E869"/>
      <c s="103" r="F869"/>
      <c s="103" r="G869"/>
    </row>
    <row r="870">
      <c s="103" r="B870"/>
      <c s="103" r="C870"/>
      <c s="103" r="D870"/>
      <c s="103" r="E870"/>
      <c s="103" r="F870"/>
      <c s="103" r="G870"/>
    </row>
    <row r="871">
      <c s="103" r="B871"/>
      <c s="103" r="C871"/>
      <c s="103" r="D871"/>
      <c s="103" r="E871"/>
      <c s="103" r="F871"/>
      <c s="103" r="G871"/>
    </row>
    <row r="872">
      <c s="103" r="B872"/>
      <c s="103" r="C872"/>
      <c s="103" r="D872"/>
      <c s="103" r="E872"/>
      <c s="103" r="F872"/>
      <c s="103" r="G872"/>
    </row>
    <row r="873">
      <c s="103" r="B873"/>
      <c s="103" r="C873"/>
      <c s="103" r="D873"/>
      <c s="103" r="E873"/>
      <c s="103" r="F873"/>
      <c s="103" r="G873"/>
    </row>
    <row r="874">
      <c s="103" r="B874"/>
      <c s="103" r="C874"/>
      <c s="103" r="D874"/>
      <c s="103" r="E874"/>
      <c s="103" r="F874"/>
      <c s="103" r="G874"/>
    </row>
    <row r="875">
      <c s="103" r="B875"/>
      <c s="103" r="C875"/>
      <c s="103" r="D875"/>
      <c s="103" r="E875"/>
      <c s="103" r="F875"/>
      <c s="103" r="G875"/>
    </row>
    <row r="876">
      <c s="103" r="B876"/>
      <c s="103" r="C876"/>
      <c s="103" r="D876"/>
      <c s="103" r="E876"/>
      <c s="103" r="F876"/>
      <c s="103" r="G876"/>
    </row>
    <row r="877">
      <c s="103" r="B877"/>
      <c s="103" r="C877"/>
      <c s="103" r="D877"/>
      <c s="103" r="E877"/>
      <c s="103" r="F877"/>
      <c s="103" r="G877"/>
    </row>
    <row r="878">
      <c s="103" r="B878"/>
      <c s="103" r="C878"/>
      <c s="103" r="D878"/>
      <c s="103" r="E878"/>
      <c s="103" r="F878"/>
      <c s="103" r="G878"/>
    </row>
    <row r="879">
      <c s="103" r="B879"/>
      <c s="103" r="C879"/>
      <c s="103" r="D879"/>
      <c s="103" r="E879"/>
      <c s="103" r="F879"/>
      <c s="103" r="G879"/>
    </row>
    <row r="880">
      <c s="103" r="B880"/>
      <c s="103" r="C880"/>
      <c s="103" r="D880"/>
      <c s="103" r="E880"/>
      <c s="103" r="F880"/>
      <c s="103" r="G880"/>
    </row>
    <row r="881">
      <c s="103" r="B881"/>
      <c s="103" r="C881"/>
      <c s="103" r="D881"/>
      <c s="103" r="E881"/>
      <c s="103" r="F881"/>
      <c s="103" r="G881"/>
    </row>
    <row r="882">
      <c s="103" r="B882"/>
      <c s="103" r="C882"/>
      <c s="103" r="D882"/>
      <c s="103" r="E882"/>
      <c s="103" r="F882"/>
      <c s="103" r="G882"/>
    </row>
    <row r="883">
      <c s="103" r="B883"/>
      <c s="103" r="C883"/>
      <c s="103" r="D883"/>
      <c s="103" r="E883"/>
      <c s="103" r="F883"/>
      <c s="103" r="G883"/>
    </row>
    <row r="884">
      <c s="103" r="B884"/>
      <c s="103" r="C884"/>
      <c s="103" r="D884"/>
      <c s="103" r="E884"/>
      <c s="103" r="F884"/>
      <c s="103" r="G884"/>
    </row>
    <row r="885">
      <c s="103" r="B885"/>
      <c s="103" r="C885"/>
      <c s="103" r="D885"/>
      <c s="103" r="E885"/>
      <c s="103" r="F885"/>
      <c s="103" r="G885"/>
    </row>
    <row r="886">
      <c s="103" r="B886"/>
      <c s="103" r="C886"/>
      <c s="103" r="D886"/>
      <c s="103" r="E886"/>
      <c s="103" r="F886"/>
      <c s="103" r="G886"/>
    </row>
    <row r="887">
      <c s="103" r="B887"/>
      <c s="103" r="C887"/>
      <c s="103" r="D887"/>
      <c s="103" r="E887"/>
      <c s="103" r="F887"/>
      <c s="103" r="G887"/>
    </row>
    <row r="888">
      <c s="103" r="B888"/>
      <c s="103" r="C888"/>
      <c s="103" r="D888"/>
      <c s="103" r="E888"/>
      <c s="103" r="F888"/>
      <c s="103" r="G888"/>
    </row>
    <row r="889">
      <c s="103" r="B889"/>
      <c s="103" r="C889"/>
      <c s="103" r="D889"/>
      <c s="103" r="E889"/>
      <c s="103" r="F889"/>
      <c s="103" r="G889"/>
    </row>
    <row r="890">
      <c s="103" r="B890"/>
      <c s="103" r="C890"/>
      <c s="103" r="D890"/>
      <c s="103" r="E890"/>
      <c s="103" r="F890"/>
      <c s="103" r="G890"/>
    </row>
    <row r="891">
      <c s="103" r="B891"/>
      <c s="103" r="C891"/>
      <c s="103" r="D891"/>
      <c s="103" r="E891"/>
      <c s="103" r="F891"/>
      <c s="103" r="G891"/>
    </row>
    <row r="892">
      <c s="103" r="B892"/>
      <c s="103" r="C892"/>
      <c s="103" r="D892"/>
      <c s="103" r="E892"/>
      <c s="103" r="F892"/>
      <c s="103" r="G892"/>
    </row>
    <row r="893">
      <c s="103" r="B893"/>
      <c s="103" r="C893"/>
      <c s="103" r="D893"/>
      <c s="103" r="E893"/>
      <c s="103" r="F893"/>
      <c s="103" r="G893"/>
    </row>
    <row r="894">
      <c s="103" r="B894"/>
      <c s="103" r="C894"/>
      <c s="103" r="D894"/>
      <c s="103" r="E894"/>
      <c s="103" r="F894"/>
      <c s="103" r="G894"/>
    </row>
    <row r="895">
      <c s="103" r="B895"/>
      <c s="103" r="C895"/>
      <c s="103" r="D895"/>
      <c s="103" r="E895"/>
      <c s="103" r="F895"/>
      <c s="103" r="G895"/>
    </row>
    <row r="896">
      <c s="103" r="B896"/>
      <c s="103" r="C896"/>
      <c s="103" r="D896"/>
      <c s="103" r="E896"/>
      <c s="103" r="F896"/>
      <c s="103" r="G896"/>
    </row>
    <row r="897">
      <c s="103" r="B897"/>
      <c s="103" r="C897"/>
      <c s="103" r="D897"/>
      <c s="103" r="E897"/>
      <c s="103" r="F897"/>
      <c s="103" r="G897"/>
    </row>
    <row r="898">
      <c s="103" r="B898"/>
      <c s="103" r="C898"/>
      <c s="103" r="D898"/>
      <c s="103" r="E898"/>
      <c s="103" r="F898"/>
      <c s="103" r="G898"/>
    </row>
    <row r="899">
      <c s="103" r="B899"/>
      <c s="103" r="C899"/>
      <c s="103" r="D899"/>
      <c s="103" r="E899"/>
      <c s="103" r="F899"/>
      <c s="103" r="G899"/>
    </row>
    <row r="900">
      <c s="103" r="B900"/>
      <c s="103" r="C900"/>
      <c s="103" r="D900"/>
      <c s="103" r="E900"/>
      <c s="103" r="F900"/>
      <c s="103" r="G900"/>
    </row>
    <row r="901">
      <c s="103" r="B901"/>
      <c s="103" r="C901"/>
      <c s="103" r="D901"/>
      <c s="103" r="E901"/>
      <c s="103" r="F901"/>
      <c s="103" r="G901"/>
    </row>
    <row r="902">
      <c s="103" r="B902"/>
      <c s="103" r="C902"/>
      <c s="103" r="D902"/>
      <c s="103" r="E902"/>
      <c s="103" r="F902"/>
      <c s="103" r="G902"/>
    </row>
    <row r="903">
      <c s="103" r="B903"/>
      <c s="103" r="C903"/>
      <c s="103" r="D903"/>
      <c s="103" r="E903"/>
      <c s="103" r="F903"/>
      <c s="103" r="G903"/>
    </row>
    <row r="904">
      <c s="103" r="B904"/>
      <c s="103" r="C904"/>
      <c s="103" r="D904"/>
      <c s="103" r="E904"/>
      <c s="103" r="F904"/>
      <c s="103" r="G904"/>
    </row>
    <row r="905">
      <c s="103" r="B905"/>
      <c s="103" r="C905"/>
      <c s="103" r="D905"/>
      <c s="103" r="E905"/>
      <c s="103" r="F905"/>
      <c s="103" r="G905"/>
    </row>
    <row r="906">
      <c s="103" r="B906"/>
      <c s="103" r="C906"/>
      <c s="103" r="D906"/>
      <c s="103" r="E906"/>
      <c s="103" r="F906"/>
      <c s="103" r="G906"/>
    </row>
    <row r="907">
      <c s="103" r="B907"/>
      <c s="103" r="C907"/>
      <c s="103" r="D907"/>
      <c s="103" r="E907"/>
      <c s="103" r="F907"/>
      <c s="103" r="G907"/>
    </row>
    <row r="908">
      <c s="103" r="B908"/>
      <c s="103" r="C908"/>
      <c s="103" r="D908"/>
      <c s="103" r="E908"/>
      <c s="103" r="F908"/>
      <c s="103" r="G908"/>
    </row>
    <row r="909">
      <c s="103" r="B909"/>
      <c s="103" r="C909"/>
      <c s="103" r="D909"/>
      <c s="103" r="E909"/>
      <c s="103" r="F909"/>
      <c s="103" r="G909"/>
    </row>
    <row r="910">
      <c s="103" r="B910"/>
      <c s="103" r="C910"/>
      <c s="103" r="D910"/>
      <c s="103" r="E910"/>
      <c s="103" r="F910"/>
      <c s="103" r="G910"/>
    </row>
    <row r="911">
      <c s="103" r="B911"/>
      <c s="103" r="C911"/>
      <c s="103" r="D911"/>
      <c s="103" r="E911"/>
      <c s="103" r="F911"/>
      <c s="103" r="G911"/>
    </row>
    <row r="912">
      <c s="103" r="B912"/>
      <c s="103" r="C912"/>
      <c s="103" r="D912"/>
      <c s="103" r="E912"/>
      <c s="103" r="F912"/>
      <c s="103" r="G912"/>
    </row>
    <row r="913">
      <c s="103" r="B913"/>
      <c s="103" r="C913"/>
      <c s="103" r="D913"/>
      <c s="103" r="E913"/>
      <c s="103" r="F913"/>
      <c s="103" r="G913"/>
    </row>
    <row r="914">
      <c s="103" r="B914"/>
      <c s="103" r="C914"/>
      <c s="103" r="D914"/>
      <c s="103" r="E914"/>
      <c s="103" r="F914"/>
      <c s="103" r="G914"/>
    </row>
    <row r="915">
      <c s="103" r="B915"/>
      <c s="103" r="C915"/>
      <c s="103" r="D915"/>
      <c s="103" r="E915"/>
      <c s="103" r="F915"/>
      <c s="103" r="G915"/>
    </row>
    <row r="916">
      <c s="103" r="B916"/>
      <c s="103" r="C916"/>
      <c s="103" r="D916"/>
      <c s="103" r="E916"/>
      <c s="103" r="F916"/>
      <c s="103" r="G916"/>
    </row>
    <row r="917">
      <c s="103" r="B917"/>
      <c s="103" r="C917"/>
      <c s="103" r="D917"/>
      <c s="103" r="E917"/>
      <c s="103" r="F917"/>
      <c s="103" r="G917"/>
    </row>
    <row r="918">
      <c s="103" r="B918"/>
      <c s="103" r="C918"/>
      <c s="103" r="D918"/>
      <c s="103" r="E918"/>
      <c s="103" r="F918"/>
      <c s="103" r="G918"/>
    </row>
    <row r="919">
      <c s="103" r="B919"/>
      <c s="103" r="C919"/>
      <c s="103" r="D919"/>
      <c s="103" r="E919"/>
      <c s="103" r="F919"/>
      <c s="103" r="G919"/>
    </row>
    <row r="920">
      <c s="103" r="B920"/>
      <c s="103" r="C920"/>
      <c s="103" r="D920"/>
      <c s="103" r="E920"/>
      <c s="103" r="F920"/>
      <c s="103" r="G920"/>
    </row>
    <row r="921">
      <c s="103" r="B921"/>
      <c s="103" r="C921"/>
      <c s="103" r="D921"/>
      <c s="103" r="E921"/>
      <c s="103" r="F921"/>
      <c s="103" r="G921"/>
    </row>
    <row r="922">
      <c s="103" r="B922"/>
      <c s="103" r="C922"/>
      <c s="103" r="D922"/>
      <c s="103" r="E922"/>
      <c s="103" r="F922"/>
      <c s="103" r="G922"/>
    </row>
    <row r="923">
      <c s="103" r="B923"/>
      <c s="103" r="C923"/>
      <c s="103" r="D923"/>
      <c s="103" r="E923"/>
      <c s="103" r="F923"/>
      <c s="103" r="G923"/>
    </row>
    <row r="924">
      <c s="103" r="B924"/>
      <c s="103" r="C924"/>
      <c s="103" r="D924"/>
      <c s="103" r="E924"/>
      <c s="103" r="F924"/>
      <c s="103" r="G924"/>
    </row>
    <row r="925">
      <c s="103" r="B925"/>
      <c s="103" r="C925"/>
      <c s="103" r="D925"/>
      <c s="103" r="E925"/>
      <c s="103" r="F925"/>
      <c s="103" r="G925"/>
    </row>
    <row r="926">
      <c s="103" r="B926"/>
      <c s="103" r="C926"/>
      <c s="103" r="D926"/>
      <c s="103" r="E926"/>
      <c s="103" r="F926"/>
      <c s="103" r="G926"/>
    </row>
    <row r="927">
      <c s="103" r="B927"/>
      <c s="103" r="C927"/>
      <c s="103" r="D927"/>
      <c s="103" r="E927"/>
      <c s="103" r="F927"/>
      <c s="103" r="G927"/>
    </row>
    <row r="928">
      <c s="103" r="B928"/>
      <c s="103" r="C928"/>
      <c s="103" r="D928"/>
      <c s="103" r="E928"/>
      <c s="103" r="F928"/>
      <c s="103" r="G928"/>
    </row>
    <row r="929">
      <c s="103" r="B929"/>
      <c s="103" r="C929"/>
      <c s="103" r="D929"/>
      <c s="103" r="E929"/>
      <c s="103" r="F929"/>
      <c s="103" r="G929"/>
    </row>
    <row r="930">
      <c s="103" r="B930"/>
      <c s="103" r="C930"/>
      <c s="103" r="D930"/>
      <c s="103" r="E930"/>
      <c s="103" r="F930"/>
      <c s="103" r="G930"/>
    </row>
    <row r="931">
      <c s="103" r="B931"/>
      <c s="103" r="C931"/>
      <c s="103" r="D931"/>
      <c s="103" r="E931"/>
      <c s="103" r="F931"/>
      <c s="103" r="G931"/>
    </row>
    <row r="932">
      <c s="103" r="B932"/>
      <c s="103" r="C932"/>
      <c s="103" r="D932"/>
      <c s="103" r="E932"/>
      <c s="103" r="F932"/>
      <c s="103" r="G932"/>
    </row>
    <row r="933">
      <c s="103" r="B933"/>
      <c s="103" r="C933"/>
      <c s="103" r="D933"/>
      <c s="103" r="E933"/>
      <c s="103" r="F933"/>
      <c s="103" r="G933"/>
    </row>
    <row r="934">
      <c s="103" r="B934"/>
      <c s="103" r="C934"/>
      <c s="103" r="D934"/>
      <c s="103" r="E934"/>
      <c s="103" r="F934"/>
      <c s="103" r="G934"/>
    </row>
    <row r="935">
      <c s="103" r="B935"/>
      <c s="103" r="C935"/>
      <c s="103" r="D935"/>
      <c s="103" r="E935"/>
      <c s="103" r="F935"/>
      <c s="103" r="G935"/>
    </row>
    <row r="936">
      <c s="103" r="B936"/>
      <c s="103" r="C936"/>
      <c s="103" r="D936"/>
      <c s="103" r="E936"/>
      <c s="103" r="F936"/>
      <c s="103" r="G936"/>
    </row>
    <row r="937">
      <c s="103" r="B937"/>
      <c s="103" r="C937"/>
      <c s="103" r="D937"/>
      <c s="103" r="E937"/>
      <c s="103" r="F937"/>
      <c s="103" r="G937"/>
    </row>
    <row r="938">
      <c s="103" r="B938"/>
      <c s="103" r="C938"/>
      <c s="103" r="D938"/>
      <c s="103" r="E938"/>
      <c s="103" r="F938"/>
      <c s="103" r="G938"/>
    </row>
    <row r="939">
      <c s="103" r="B939"/>
      <c s="103" r="C939"/>
      <c s="103" r="D939"/>
      <c s="103" r="E939"/>
      <c s="103" r="F939"/>
      <c s="103" r="G939"/>
    </row>
    <row r="940">
      <c s="103" r="B940"/>
      <c s="103" r="C940"/>
      <c s="103" r="D940"/>
      <c s="103" r="E940"/>
      <c s="103" r="F940"/>
      <c s="103" r="G940"/>
    </row>
    <row r="941">
      <c s="103" r="B941"/>
      <c s="103" r="C941"/>
      <c s="103" r="D941"/>
      <c s="103" r="E941"/>
      <c s="103" r="F941"/>
      <c s="103" r="G941"/>
    </row>
    <row r="942">
      <c s="103" r="B942"/>
      <c s="103" r="C942"/>
      <c s="103" r="D942"/>
      <c s="103" r="E942"/>
      <c s="103" r="F942"/>
      <c s="103" r="G942"/>
    </row>
    <row r="943">
      <c s="103" r="B943"/>
      <c s="103" r="C943"/>
      <c s="103" r="D943"/>
      <c s="103" r="E943"/>
      <c s="103" r="F943"/>
      <c s="103" r="G943"/>
    </row>
    <row r="944">
      <c s="103" r="B944"/>
      <c s="103" r="C944"/>
      <c s="103" r="D944"/>
      <c s="103" r="E944"/>
      <c s="103" r="F944"/>
      <c s="103" r="G944"/>
    </row>
    <row r="945">
      <c s="103" r="B945"/>
      <c s="103" r="C945"/>
      <c s="103" r="D945"/>
      <c s="103" r="E945"/>
      <c s="103" r="F945"/>
      <c s="103" r="G945"/>
    </row>
    <row r="946">
      <c s="103" r="B946"/>
      <c s="103" r="C946"/>
      <c s="103" r="D946"/>
      <c s="103" r="E946"/>
      <c s="103" r="F946"/>
      <c s="103" r="G946"/>
    </row>
    <row r="947">
      <c s="103" r="B947"/>
      <c s="103" r="C947"/>
      <c s="103" r="D947"/>
      <c s="103" r="E947"/>
      <c s="103" r="F947"/>
      <c s="103" r="G947"/>
    </row>
    <row r="948">
      <c s="103" r="B948"/>
      <c s="103" r="C948"/>
      <c s="103" r="D948"/>
      <c s="103" r="E948"/>
      <c s="103" r="F948"/>
      <c s="103" r="G948"/>
    </row>
    <row r="949">
      <c s="103" r="B949"/>
      <c s="103" r="C949"/>
      <c s="103" r="D949"/>
      <c s="103" r="E949"/>
      <c s="103" r="F949"/>
      <c s="103" r="G949"/>
    </row>
    <row r="950">
      <c s="103" r="B950"/>
      <c s="103" r="C950"/>
      <c s="103" r="D950"/>
      <c s="103" r="E950"/>
      <c s="103" r="F950"/>
      <c s="103" r="G950"/>
    </row>
    <row r="951">
      <c s="103" r="B951"/>
      <c s="103" r="C951"/>
      <c s="103" r="D951"/>
      <c s="103" r="E951"/>
      <c s="103" r="F951"/>
      <c s="103" r="G951"/>
    </row>
    <row r="952">
      <c s="103" r="B952"/>
      <c s="103" r="C952"/>
      <c s="103" r="D952"/>
      <c s="103" r="E952"/>
      <c s="103" r="F952"/>
      <c s="103" r="G952"/>
    </row>
    <row r="953">
      <c s="103" r="B953"/>
      <c s="103" r="C953"/>
      <c s="103" r="D953"/>
      <c s="103" r="E953"/>
      <c s="103" r="F953"/>
      <c s="103" r="G953"/>
    </row>
    <row r="954">
      <c s="103" r="B954"/>
      <c s="103" r="C954"/>
      <c s="103" r="D954"/>
      <c s="103" r="E954"/>
      <c s="103" r="F954"/>
      <c s="103" r="G954"/>
    </row>
    <row r="955">
      <c s="103" r="B955"/>
      <c s="103" r="C955"/>
      <c s="103" r="D955"/>
      <c s="103" r="E955"/>
      <c s="103" r="F955"/>
      <c s="103" r="G955"/>
    </row>
    <row r="956">
      <c s="103" r="B956"/>
      <c s="103" r="C956"/>
      <c s="103" r="D956"/>
      <c s="103" r="E956"/>
      <c s="103" r="F956"/>
      <c s="103" r="G956"/>
    </row>
    <row r="957">
      <c s="103" r="B957"/>
      <c s="103" r="C957"/>
      <c s="103" r="D957"/>
      <c s="103" r="E957"/>
      <c s="103" r="F957"/>
      <c s="103" r="G957"/>
    </row>
    <row r="958">
      <c s="103" r="B958"/>
      <c s="103" r="C958"/>
      <c s="103" r="D958"/>
      <c s="103" r="E958"/>
      <c s="103" r="F958"/>
      <c s="103" r="G958"/>
    </row>
    <row r="959">
      <c s="103" r="B959"/>
      <c s="103" r="C959"/>
      <c s="103" r="D959"/>
      <c s="103" r="E959"/>
      <c s="103" r="F959"/>
      <c s="103" r="G959"/>
    </row>
    <row r="960">
      <c s="103" r="B960"/>
      <c s="103" r="C960"/>
      <c s="103" r="D960"/>
      <c s="103" r="E960"/>
      <c s="103" r="F960"/>
      <c s="103" r="G960"/>
    </row>
    <row r="961">
      <c s="103" r="B961"/>
      <c s="103" r="C961"/>
      <c s="103" r="D961"/>
      <c s="103" r="E961"/>
      <c s="103" r="F961"/>
      <c s="103" r="G961"/>
    </row>
    <row r="962">
      <c s="103" r="B962"/>
      <c s="103" r="C962"/>
      <c s="103" r="D962"/>
      <c s="103" r="E962"/>
      <c s="103" r="F962"/>
      <c s="103" r="G962"/>
    </row>
    <row r="963">
      <c s="103" r="B963"/>
      <c s="103" r="C963"/>
      <c s="103" r="D963"/>
      <c s="103" r="E963"/>
      <c s="103" r="F963"/>
      <c s="103" r="G963"/>
    </row>
    <row r="964">
      <c s="103" r="B964"/>
      <c s="103" r="C964"/>
      <c s="103" r="D964"/>
      <c s="103" r="E964"/>
      <c s="103" r="F964"/>
      <c s="103" r="G964"/>
    </row>
    <row r="965">
      <c s="103" r="B965"/>
      <c s="103" r="C965"/>
      <c s="103" r="D965"/>
      <c s="103" r="E965"/>
      <c s="103" r="F965"/>
      <c s="103" r="G965"/>
    </row>
    <row r="966">
      <c s="103" r="B966"/>
      <c s="103" r="C966"/>
      <c s="103" r="D966"/>
      <c s="103" r="E966"/>
      <c s="103" r="F966"/>
      <c s="103" r="G966"/>
    </row>
    <row r="967">
      <c s="103" r="B967"/>
      <c s="103" r="C967"/>
      <c s="103" r="D967"/>
      <c s="103" r="E967"/>
      <c s="103" r="F967"/>
      <c s="103" r="G967"/>
    </row>
    <row r="968">
      <c s="103" r="B968"/>
      <c s="103" r="C968"/>
      <c s="103" r="D968"/>
      <c s="103" r="E968"/>
      <c s="103" r="F968"/>
      <c s="103" r="G968"/>
    </row>
    <row r="969">
      <c s="103" r="B969"/>
      <c s="103" r="C969"/>
      <c s="103" r="D969"/>
      <c s="103" r="E969"/>
      <c s="103" r="F969"/>
      <c s="103" r="G969"/>
    </row>
    <row r="970">
      <c s="103" r="B970"/>
      <c s="103" r="C970"/>
      <c s="103" r="D970"/>
      <c s="103" r="E970"/>
      <c s="103" r="F970"/>
      <c s="103" r="G970"/>
    </row>
    <row r="971">
      <c s="103" r="B971"/>
      <c s="103" r="C971"/>
      <c s="103" r="D971"/>
      <c s="103" r="E971"/>
      <c s="103" r="F971"/>
      <c s="103" r="G971"/>
    </row>
    <row r="972">
      <c s="103" r="B972"/>
      <c s="103" r="C972"/>
      <c s="103" r="D972"/>
      <c s="103" r="E972"/>
      <c s="103" r="F972"/>
      <c s="103" r="G972"/>
    </row>
    <row r="973">
      <c s="103" r="B973"/>
      <c s="103" r="C973"/>
      <c s="103" r="D973"/>
      <c s="103" r="E973"/>
      <c s="103" r="F973"/>
      <c s="103" r="G973"/>
    </row>
    <row r="974">
      <c s="103" r="B974"/>
      <c s="103" r="C974"/>
      <c s="103" r="D974"/>
      <c s="103" r="E974"/>
      <c s="103" r="F974"/>
      <c s="103" r="G974"/>
    </row>
    <row r="975">
      <c s="103" r="B975"/>
      <c s="103" r="C975"/>
      <c s="103" r="D975"/>
      <c s="103" r="E975"/>
      <c s="103" r="F975"/>
      <c s="103" r="G975"/>
    </row>
    <row r="976">
      <c s="103" r="B976"/>
      <c s="103" r="C976"/>
      <c s="103" r="D976"/>
      <c s="103" r="E976"/>
      <c s="103" r="F976"/>
      <c s="103" r="G976"/>
    </row>
    <row r="977">
      <c s="103" r="B977"/>
      <c s="103" r="C977"/>
      <c s="103" r="D977"/>
      <c s="103" r="E977"/>
      <c s="103" r="F977"/>
      <c s="103" r="G977"/>
    </row>
    <row r="978">
      <c s="103" r="B978"/>
      <c s="103" r="C978"/>
      <c s="103" r="D978"/>
      <c s="103" r="E978"/>
      <c s="103" r="F978"/>
      <c s="103" r="G978"/>
    </row>
    <row r="979">
      <c s="103" r="B979"/>
      <c s="103" r="C979"/>
      <c s="103" r="D979"/>
      <c s="103" r="E979"/>
      <c s="103" r="F979"/>
      <c s="103" r="G979"/>
    </row>
    <row r="980">
      <c s="103" r="B980"/>
      <c s="103" r="C980"/>
      <c s="103" r="D980"/>
      <c s="103" r="E980"/>
      <c s="103" r="F980"/>
      <c s="103" r="G980"/>
    </row>
    <row r="981">
      <c s="103" r="B981"/>
      <c s="103" r="C981"/>
      <c s="103" r="D981"/>
      <c s="103" r="E981"/>
      <c s="103" r="F981"/>
      <c s="103" r="G981"/>
    </row>
    <row r="982">
      <c s="103" r="B982"/>
      <c s="103" r="C982"/>
      <c s="103" r="D982"/>
      <c s="103" r="E982"/>
      <c s="103" r="F982"/>
      <c s="103" r="G982"/>
    </row>
    <row r="983">
      <c s="103" r="B983"/>
      <c s="103" r="C983"/>
      <c s="103" r="D983"/>
      <c s="103" r="E983"/>
      <c s="103" r="F983"/>
      <c s="103" r="G983"/>
    </row>
    <row r="984">
      <c s="103" r="B984"/>
      <c s="103" r="C984"/>
      <c s="103" r="D984"/>
      <c s="103" r="E984"/>
      <c s="103" r="F984"/>
      <c s="103" r="G984"/>
    </row>
    <row r="985">
      <c s="103" r="B985"/>
      <c s="103" r="C985"/>
      <c s="103" r="D985"/>
      <c s="103" r="E985"/>
      <c s="103" r="F985"/>
      <c s="103" r="G985"/>
    </row>
    <row r="986">
      <c s="103" r="B986"/>
      <c s="103" r="C986"/>
      <c s="103" r="D986"/>
      <c s="103" r="E986"/>
      <c s="103" r="F986"/>
      <c s="103" r="G986"/>
    </row>
    <row r="987">
      <c s="103" r="B987"/>
      <c s="103" r="C987"/>
      <c s="103" r="D987"/>
      <c s="103" r="E987"/>
      <c s="103" r="F987"/>
      <c s="103" r="G987"/>
    </row>
    <row r="988">
      <c s="103" r="B988"/>
      <c s="103" r="C988"/>
      <c s="103" r="D988"/>
      <c s="103" r="E988"/>
      <c s="103" r="F988"/>
      <c s="103" r="G988"/>
    </row>
    <row r="989">
      <c s="103" r="B989"/>
      <c s="103" r="C989"/>
      <c s="103" r="D989"/>
      <c s="103" r="E989"/>
      <c s="103" r="F989"/>
      <c s="103" r="G989"/>
    </row>
    <row r="990">
      <c s="103" r="B990"/>
      <c s="103" r="C990"/>
      <c s="103" r="D990"/>
      <c s="103" r="E990"/>
      <c s="103" r="F990"/>
      <c s="103" r="G990"/>
    </row>
    <row r="991">
      <c s="103" r="B991"/>
      <c s="103" r="C991"/>
      <c s="103" r="D991"/>
      <c s="103" r="E991"/>
      <c s="103" r="F991"/>
      <c s="103" r="G991"/>
    </row>
    <row r="992">
      <c s="103" r="B992"/>
      <c s="103" r="C992"/>
      <c s="103" r="D992"/>
      <c s="103" r="E992"/>
      <c s="103" r="F992"/>
      <c s="103" r="G992"/>
    </row>
    <row r="993">
      <c s="103" r="B993"/>
      <c s="103" r="C993"/>
      <c s="103" r="D993"/>
      <c s="103" r="E993"/>
      <c s="103" r="F993"/>
      <c s="103" r="G993"/>
    </row>
    <row r="994">
      <c s="103" r="B994"/>
      <c s="103" r="C994"/>
      <c s="103" r="D994"/>
      <c s="103" r="E994"/>
      <c s="103" r="F994"/>
      <c s="103" r="G994"/>
    </row>
    <row r="995">
      <c s="103" r="B995"/>
      <c s="103" r="C995"/>
      <c s="103" r="D995"/>
      <c s="103" r="E995"/>
      <c s="103" r="F995"/>
      <c s="103" r="G995"/>
    </row>
    <row r="996">
      <c s="103" r="B996"/>
      <c s="103" r="C996"/>
      <c s="103" r="D996"/>
      <c s="103" r="E996"/>
      <c s="103" r="F996"/>
      <c s="103" r="G996"/>
    </row>
    <row r="997">
      <c s="103" r="B997"/>
      <c s="103" r="C997"/>
      <c s="103" r="D997"/>
      <c s="103" r="E997"/>
      <c s="103" r="F997"/>
      <c s="103" r="G997"/>
    </row>
    <row r="998">
      <c s="103" r="B998"/>
      <c s="103" r="C998"/>
      <c s="103" r="D998"/>
      <c s="103" r="E998"/>
      <c s="103" r="F998"/>
      <c s="103" r="G998"/>
    </row>
    <row r="999">
      <c s="103" r="B999"/>
      <c s="103" r="C999"/>
      <c s="103" r="D999"/>
      <c s="103" r="E999"/>
      <c s="103" r="F999"/>
      <c s="103" r="G999"/>
    </row>
    <row r="1000">
      <c s="103" r="B1000"/>
      <c s="103" r="C1000"/>
      <c s="103" r="D1000"/>
      <c s="103" r="E1000"/>
      <c s="103" r="F1000"/>
      <c s="103" r="G1000"/>
    </row>
    <row r="1001">
      <c s="103" r="B1001"/>
      <c s="103" r="C1001"/>
      <c s="103" r="D1001"/>
      <c s="103" r="E1001"/>
      <c s="103" r="F1001"/>
      <c s="103" r="G1001"/>
    </row>
    <row r="1002">
      <c s="103" r="B1002"/>
      <c s="103" r="C1002"/>
      <c s="103" r="D1002"/>
      <c s="103" r="E1002"/>
      <c s="103" r="F1002"/>
      <c s="103" r="G1002"/>
    </row>
    <row r="1003">
      <c s="103" r="B1003"/>
      <c s="103" r="C1003"/>
      <c s="103" r="D1003"/>
      <c s="103" r="E1003"/>
      <c s="103" r="F1003"/>
      <c s="103" r="G1003"/>
    </row>
  </sheetData>
  <conditionalFormatting sqref="19:23 B24:BB25 B26:BB26 B27:BB27 A28 B28:AX31 AY28:BB29 AY31:BB31 B33:AX35 A34 AY34:BB35">
    <cfRule priority="1" type="cellIs" operator="lessThan" dxfId="0">
      <formula>0</formula>
    </cfRule>
  </conditionalFormatting>
  <conditionalFormatting sqref="A18">
    <cfRule priority="2" type="cellIs" operator="lessThan" stopIfTrue="1" dxfId="1">
      <formula>0</formula>
    </cfRule>
  </conditionalFormatting>
  <conditionalFormatting sqref="A17">
    <cfRule priority="3" type="cellIs" operator="lessThan" stopIfTrue="1" dxfId="1">
      <formula>0</formula>
    </cfRule>
  </conditionalFormatting>
  <conditionalFormatting sqref="A12:A16">
    <cfRule priority="4" type="cellIs" operator="lessThan" stopIfTrue="1" dxfId="1">
      <formula>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D3" ySplit="2.0" xSplit="3.0" activePane="bottomRight" state="frozen"/>
      <selection sqref="D1" activeCell="D1" pane="topRight"/>
      <selection sqref="A3" activeCell="A3" pane="bottomLeft"/>
      <selection sqref="D3" activeCell="D3" pane="bottomRight"/>
    </sheetView>
  </sheetViews>
  <sheetFormatPr customHeight="1" defaultColWidth="17.29" defaultRowHeight="15.75"/>
  <cols>
    <col min="1" customWidth="1" max="1" width="54.0"/>
    <col min="2" customWidth="1" max="2" width="26.14"/>
    <col min="3" customWidth="1" max="56" width="17.14"/>
  </cols>
  <sheetData>
    <row customHeight="1" r="1" ht="15.75">
      <c t="s" s="33" r="A1">
        <v>191</v>
      </c>
      <c t="str" s="53" r="B1">
        <f>'Annuel (OLD)'!A1</f>
        <v/>
      </c>
      <c s="54" r="C1"/>
      <c t="str" s="57" r="D1">
        <f>'Annuel (OLD)'!B1</f>
        <v>2 013,</v>
      </c>
      <c s="127" r="E1">
        <v>41640.0</v>
      </c>
      <c s="127" r="F1">
        <v>41671.0</v>
      </c>
      <c s="127" r="G1">
        <v>41699.0</v>
      </c>
      <c s="127" r="H1">
        <v>41730.0</v>
      </c>
      <c s="127" r="I1">
        <v>41760.0</v>
      </c>
      <c s="127" r="J1">
        <v>41791.0</v>
      </c>
      <c s="55" r="K1">
        <v>41821.0</v>
      </c>
      <c s="55" r="L1">
        <v>41852.0</v>
      </c>
      <c s="55" r="M1">
        <v>41883.0</v>
      </c>
      <c s="55" r="N1">
        <v>41913.0</v>
      </c>
      <c s="55" r="O1">
        <v>41944.0</v>
      </c>
      <c s="55" r="P1">
        <v>41974.0</v>
      </c>
      <c s="55" r="Q1">
        <v>42005.0</v>
      </c>
      <c s="55" r="R1">
        <v>42036.0</v>
      </c>
      <c s="55" r="S1">
        <v>42064.0</v>
      </c>
      <c s="55" r="T1">
        <v>42095.0</v>
      </c>
      <c s="55" r="U1">
        <v>42125.0</v>
      </c>
      <c s="55" r="V1">
        <v>42156.0</v>
      </c>
      <c s="55" r="W1">
        <v>42186.0</v>
      </c>
      <c s="55" r="X1">
        <v>42217.0</v>
      </c>
      <c s="55" r="Y1">
        <v>42248.0</v>
      </c>
      <c s="55" r="Z1">
        <v>42278.0</v>
      </c>
      <c s="55" r="AA1">
        <v>42309.0</v>
      </c>
      <c s="55" r="AB1">
        <v>42339.0</v>
      </c>
      <c s="55" r="AC1">
        <v>42370.0</v>
      </c>
      <c s="55" r="AD1">
        <v>42401.0</v>
      </c>
      <c s="55" r="AE1">
        <v>42430.0</v>
      </c>
      <c s="55" r="AF1">
        <v>42461.0</v>
      </c>
      <c s="55" r="AG1">
        <v>42491.0</v>
      </c>
      <c s="55" r="AH1">
        <v>42522.0</v>
      </c>
      <c s="55" r="AI1">
        <v>42552.0</v>
      </c>
      <c s="55" r="AJ1">
        <v>42583.0</v>
      </c>
      <c s="55" r="AK1">
        <v>42614.0</v>
      </c>
      <c s="55" r="AL1">
        <v>42644.0</v>
      </c>
      <c s="55" r="AM1">
        <v>42675.0</v>
      </c>
      <c s="55" r="AN1">
        <v>42705.0</v>
      </c>
      <c s="55" r="AO1">
        <v>42736.0</v>
      </c>
      <c s="55" r="AP1">
        <v>42767.0</v>
      </c>
      <c s="55" r="AQ1">
        <v>42795.0</v>
      </c>
      <c s="55" r="AR1">
        <v>42826.0</v>
      </c>
      <c s="55" r="AS1">
        <v>42856.0</v>
      </c>
      <c s="55" r="AT1">
        <v>42887.0</v>
      </c>
      <c s="55" r="AU1">
        <v>42917.0</v>
      </c>
      <c s="55" r="AV1">
        <v>42948.0</v>
      </c>
      <c s="55" r="AW1">
        <v>42979.0</v>
      </c>
      <c s="55" r="AX1">
        <v>43009.0</v>
      </c>
      <c s="55" r="AY1">
        <v>43040.0</v>
      </c>
      <c s="55" r="AZ1">
        <v>43070.0</v>
      </c>
      <c s="16" r="BA1">
        <v>2018.0</v>
      </c>
      <c s="54" r="BB1"/>
      <c s="54" r="BC1"/>
      <c s="54" r="BD1"/>
    </row>
    <row customHeight="1" r="2" ht="12.75">
      <c t="s" s="128" r="A2">
        <v>192</v>
      </c>
      <c t="s" s="128" r="B2">
        <v>193</v>
      </c>
      <c s="129" r="C2"/>
      <c s="129" r="D2"/>
      <c t="s" s="130" r="E2">
        <v>194</v>
      </c>
      <c t="s" s="130" r="F2">
        <v>195</v>
      </c>
      <c t="s" s="130" r="G2">
        <v>196</v>
      </c>
      <c t="s" s="130" r="H2">
        <v>197</v>
      </c>
      <c t="s" s="130" r="I2">
        <v>198</v>
      </c>
      <c t="s" s="130" r="J2">
        <v>199</v>
      </c>
      <c t="s" s="131" r="K2">
        <v>200</v>
      </c>
      <c t="s" s="131" r="L2">
        <v>201</v>
      </c>
      <c t="s" s="131" r="M2">
        <v>202</v>
      </c>
      <c t="s" s="131" r="N2">
        <v>203</v>
      </c>
      <c t="s" s="131" r="O2">
        <v>204</v>
      </c>
      <c t="s" s="131" r="P2">
        <v>205</v>
      </c>
      <c t="s" s="131" r="Q2">
        <v>206</v>
      </c>
      <c t="s" s="131" r="R2">
        <v>207</v>
      </c>
      <c t="s" s="131" r="S2">
        <v>208</v>
      </c>
      <c t="s" s="131" r="T2">
        <v>209</v>
      </c>
      <c t="s" s="131" r="U2">
        <v>210</v>
      </c>
      <c t="s" s="131" r="V2">
        <v>211</v>
      </c>
      <c t="s" s="131" r="W2">
        <v>212</v>
      </c>
      <c t="s" s="131" r="X2">
        <v>213</v>
      </c>
      <c t="s" s="131" r="Y2">
        <v>214</v>
      </c>
      <c t="s" s="131" r="Z2">
        <v>215</v>
      </c>
      <c t="s" s="131" r="AA2">
        <v>216</v>
      </c>
      <c t="s" s="131" r="AB2">
        <v>217</v>
      </c>
      <c t="s" s="131" r="AC2">
        <v>218</v>
      </c>
      <c t="s" s="131" r="AD2">
        <v>219</v>
      </c>
      <c t="s" s="131" r="AE2">
        <v>220</v>
      </c>
      <c t="s" s="131" r="AF2">
        <v>221</v>
      </c>
      <c t="s" s="131" r="AG2">
        <v>222</v>
      </c>
      <c t="s" s="131" r="AH2">
        <v>223</v>
      </c>
      <c t="s" s="131" r="AI2">
        <v>224</v>
      </c>
      <c t="s" s="131" r="AJ2">
        <v>225</v>
      </c>
      <c t="s" s="131" r="AK2">
        <v>226</v>
      </c>
      <c t="s" s="131" r="AL2">
        <v>227</v>
      </c>
      <c t="s" s="131" r="AM2">
        <v>228</v>
      </c>
      <c t="s" s="131" r="AN2">
        <v>229</v>
      </c>
      <c t="s" s="131" r="AO2">
        <v>230</v>
      </c>
      <c t="s" s="131" r="AP2">
        <v>231</v>
      </c>
      <c t="s" s="131" r="AQ2">
        <v>232</v>
      </c>
      <c t="s" s="131" r="AR2">
        <v>233</v>
      </c>
      <c t="s" s="131" r="AS2">
        <v>234</v>
      </c>
      <c t="s" s="131" r="AT2">
        <v>235</v>
      </c>
      <c t="s" s="131" r="AU2">
        <v>236</v>
      </c>
      <c t="s" s="131" r="AV2">
        <v>237</v>
      </c>
      <c t="s" s="131" r="AW2">
        <v>238</v>
      </c>
      <c t="s" s="131" r="AX2">
        <v>239</v>
      </c>
      <c t="s" s="131" r="AY2">
        <v>240</v>
      </c>
      <c t="s" s="131" r="AZ2">
        <v>241</v>
      </c>
      <c s="129" r="BA2"/>
      <c s="129" r="BB2"/>
      <c s="129" r="BC2"/>
      <c s="129" r="BD2"/>
    </row>
    <row customHeight="1" r="3" ht="15.75">
      <c t="s" s="16" r="A3">
        <v>242</v>
      </c>
      <c t="s" s="56" r="B3">
        <v>243</v>
      </c>
      <c s="40" r="C3"/>
      <c s="40" r="D3"/>
      <c s="132" r="E3">
        <v>182.81</v>
      </c>
      <c s="132" r="F3">
        <v>58.87</v>
      </c>
      <c s="132" r="G3">
        <v>118.01</v>
      </c>
      <c s="132" r="H3">
        <v>103.96</v>
      </c>
      <c s="132" r="I3">
        <v>60.69</v>
      </c>
      <c s="132" r="J3">
        <v>121.0</v>
      </c>
      <c s="56" r="K3">
        <v>125.0</v>
      </c>
      <c s="56" r="L3">
        <v>125.0</v>
      </c>
      <c s="56" r="M3">
        <v>125.0</v>
      </c>
      <c s="56" r="N3">
        <v>125.0</v>
      </c>
      <c s="56" r="O3">
        <v>125.0</v>
      </c>
      <c s="56" r="P3">
        <v>125.0</v>
      </c>
      <c s="56" r="Q3">
        <v>125.0</v>
      </c>
      <c s="56" r="R3">
        <v>125.0</v>
      </c>
      <c s="56" r="S3">
        <v>125.0</v>
      </c>
      <c s="56" r="T3">
        <v>125.0</v>
      </c>
      <c s="56" r="U3">
        <v>125.0</v>
      </c>
      <c s="56" r="V3">
        <v>125.0</v>
      </c>
      <c s="56" r="W3">
        <v>125.0</v>
      </c>
      <c s="56" r="X3">
        <v>125.0</v>
      </c>
      <c s="56" r="Y3">
        <v>125.0</v>
      </c>
      <c s="56" r="Z3">
        <v>125.0</v>
      </c>
      <c s="56" r="AA3">
        <v>125.0</v>
      </c>
      <c s="56" r="AB3">
        <v>125.0</v>
      </c>
      <c s="56" r="AC3">
        <v>125.0</v>
      </c>
      <c s="56" r="AD3">
        <v>125.0</v>
      </c>
      <c s="56" r="AE3">
        <v>125.0</v>
      </c>
      <c s="56" r="AF3">
        <v>125.0</v>
      </c>
      <c s="56" r="AG3">
        <v>125.0</v>
      </c>
      <c s="56" r="AH3">
        <v>125.0</v>
      </c>
      <c s="56" r="AI3">
        <v>125.0</v>
      </c>
      <c s="56" r="AJ3">
        <v>125.0</v>
      </c>
      <c s="56" r="AK3">
        <v>125.0</v>
      </c>
      <c s="56" r="AL3">
        <v>125.0</v>
      </c>
      <c s="56" r="AM3">
        <v>125.0</v>
      </c>
      <c s="56" r="AN3">
        <v>125.0</v>
      </c>
      <c s="56" r="AO3">
        <v>125.0</v>
      </c>
      <c s="56" r="AP3">
        <v>125.0</v>
      </c>
      <c s="56" r="AQ3">
        <v>125.0</v>
      </c>
      <c s="56" r="AR3">
        <v>125.0</v>
      </c>
      <c s="56" r="AS3">
        <v>125.0</v>
      </c>
      <c s="56" r="AT3">
        <v>125.0</v>
      </c>
      <c s="56" r="AU3">
        <v>125.0</v>
      </c>
      <c s="56" r="AV3">
        <v>125.0</v>
      </c>
      <c s="56" r="AW3">
        <v>125.0</v>
      </c>
      <c s="56" r="AX3">
        <v>125.0</v>
      </c>
      <c s="56" r="AY3">
        <v>125.0</v>
      </c>
      <c s="56" r="AZ3">
        <v>125.0</v>
      </c>
      <c s="40" r="BA3"/>
      <c s="40" r="BB3"/>
      <c s="40" r="BC3"/>
      <c s="40" r="BD3"/>
    </row>
    <row customHeight="1" r="4" ht="15.75">
      <c t="s" s="16" r="A4">
        <v>244</v>
      </c>
      <c t="s" s="56" r="B4">
        <v>245</v>
      </c>
      <c s="40" r="C4"/>
      <c s="40" r="D4"/>
      <c s="132" r="E4">
        <v>0.0</v>
      </c>
      <c s="132" r="F4">
        <v>258.0</v>
      </c>
      <c s="132" r="G4">
        <v>1188.43</v>
      </c>
      <c s="132" r="H4">
        <v>0.0</v>
      </c>
      <c s="132" r="I4">
        <v>0.0</v>
      </c>
      <c s="132" r="J4">
        <v>757.25</v>
      </c>
      <c t="str" s="133" r="K4">
        <f ref="K4:AZ4" t="shared" si="1">K55</f>
        <v>€ 1 400,00</v>
      </c>
      <c t="str" s="133" r="L4">
        <f t="shared" si="1"/>
        <v>€ 300,00</v>
      </c>
      <c t="str" s="133" r="M4">
        <f t="shared" si="1"/>
        <v>€ 2 700,00</v>
      </c>
      <c t="str" s="133" r="N4">
        <f t="shared" si="1"/>
        <v>€ 1 800,00</v>
      </c>
      <c t="str" s="133" r="O4">
        <f t="shared" si="1"/>
        <v>€ 3 000,00</v>
      </c>
      <c t="str" s="133" r="P4">
        <f t="shared" si="1"/>
        <v>€ 3 600,00</v>
      </c>
      <c t="str" s="133" r="Q4">
        <f t="shared" si="1"/>
        <v>€ 3 300,00</v>
      </c>
      <c t="str" s="133" r="R4">
        <f t="shared" si="1"/>
        <v>€ 3 000,00</v>
      </c>
      <c t="str" s="133" r="S4">
        <f t="shared" si="1"/>
        <v>€ 3 000,00</v>
      </c>
      <c t="str" s="133" r="T4">
        <f t="shared" si="1"/>
        <v>€ 4 200,00</v>
      </c>
      <c t="str" s="133" r="U4">
        <f t="shared" si="1"/>
        <v>€ 3 600,00</v>
      </c>
      <c t="str" s="133" r="V4">
        <f t="shared" si="1"/>
        <v>€ 3 600,00</v>
      </c>
      <c t="str" s="133" r="W4">
        <f t="shared" si="1"/>
        <v>€ 5 118,00</v>
      </c>
      <c t="str" s="133" r="X4">
        <f t="shared" si="1"/>
        <v>€ 3 636,00</v>
      </c>
      <c t="str" s="133" r="Y4">
        <f t="shared" si="1"/>
        <v>€ 3 654,00</v>
      </c>
      <c t="str" s="133" r="Z4">
        <f t="shared" si="1"/>
        <v>€ 5 671,95</v>
      </c>
      <c t="str" s="133" r="AA4">
        <f t="shared" si="1"/>
        <v>€ 3 690,00</v>
      </c>
      <c t="str" s="133" r="AB4">
        <f t="shared" si="1"/>
        <v>€ 5 208,00</v>
      </c>
      <c t="str" s="133" r="AC4">
        <f t="shared" si="1"/>
        <v>€ 8 010,00</v>
      </c>
      <c t="str" s="133" r="AD4">
        <f t="shared" si="1"/>
        <v>€ 8 938,00</v>
      </c>
      <c t="str" s="133" r="AE4">
        <f t="shared" si="1"/>
        <v>€ 9 424,00</v>
      </c>
      <c t="str" s="133" r="AF4">
        <f t="shared" si="1"/>
        <v>€ 9 460,00</v>
      </c>
      <c t="str" s="133" r="AG4">
        <f t="shared" si="1"/>
        <v>€ 9 496,00</v>
      </c>
      <c t="str" s="133" r="AH4">
        <f t="shared" si="1"/>
        <v>€ 9 532,00</v>
      </c>
      <c t="str" s="133" r="AI4">
        <f t="shared" si="1"/>
        <v>€ 9 568,00</v>
      </c>
      <c t="str" s="133" r="AJ4">
        <f t="shared" si="1"/>
        <v>€ 9 604,00</v>
      </c>
      <c t="str" s="133" r="AK4">
        <f t="shared" si="1"/>
        <v>€ 9 640,00</v>
      </c>
      <c t="str" s="133" r="AL4">
        <f t="shared" si="1"/>
        <v>€ 9 676,00</v>
      </c>
      <c t="str" s="133" r="AM4">
        <f t="shared" si="1"/>
        <v>€ 9 712,00</v>
      </c>
      <c t="str" s="133" r="AN4">
        <f t="shared" si="1"/>
        <v>€ 9 748,00</v>
      </c>
      <c t="str" s="133" r="AO4">
        <f t="shared" si="1"/>
        <v>€ 12 226,00</v>
      </c>
      <c t="str" s="133" r="AP4">
        <f t="shared" si="1"/>
        <v>€ 12 280,00</v>
      </c>
      <c t="str" s="133" r="AQ4">
        <f t="shared" si="1"/>
        <v>€ 12 334,00</v>
      </c>
      <c t="str" s="133" r="AR4">
        <f t="shared" si="1"/>
        <v>€ 12 388,00</v>
      </c>
      <c t="str" s="133" r="AS4">
        <f t="shared" si="1"/>
        <v>€ 12 442,00</v>
      </c>
      <c t="str" s="133" r="AT4">
        <f t="shared" si="1"/>
        <v>€ 12 496,00</v>
      </c>
      <c t="str" s="133" r="AU4">
        <f t="shared" si="1"/>
        <v>€ 12 550,00</v>
      </c>
      <c t="str" s="133" r="AV4">
        <f t="shared" si="1"/>
        <v>€ 12 604,00</v>
      </c>
      <c t="str" s="133" r="AW4">
        <f t="shared" si="1"/>
        <v>€ 12 658,00</v>
      </c>
      <c t="str" s="133" r="AX4">
        <f t="shared" si="1"/>
        <v>€ 12 712,00</v>
      </c>
      <c t="str" s="133" r="AY4">
        <f t="shared" si="1"/>
        <v>€ 12 766,00</v>
      </c>
      <c t="str" s="133" r="AZ4">
        <f t="shared" si="1"/>
        <v>€ 12 820,00</v>
      </c>
      <c s="40" r="BA4"/>
      <c s="40" r="BB4"/>
      <c s="40" r="BC4"/>
      <c s="40" r="BD4"/>
    </row>
    <row customHeight="1" r="5" ht="15.75">
      <c t="s" s="16" r="A5">
        <v>246</v>
      </c>
      <c t="s" s="56" r="B5">
        <v>247</v>
      </c>
      <c s="40" r="C5"/>
      <c s="40" r="D5"/>
      <c s="132" r="E5">
        <v>1536.0</v>
      </c>
      <c s="132" r="F5">
        <v>600.0</v>
      </c>
      <c s="132" r="G5">
        <v>4764.0</v>
      </c>
      <c s="132" r="H5">
        <v>1920.0</v>
      </c>
      <c s="132" r="I5">
        <v>600.0</v>
      </c>
      <c s="132" r="J5">
        <v>600.0</v>
      </c>
      <c s="56" r="K5">
        <v>600.0</v>
      </c>
      <c s="56" r="L5">
        <v>600.0</v>
      </c>
      <c s="56" r="M5">
        <v>600.0</v>
      </c>
      <c s="56" r="N5">
        <v>600.0</v>
      </c>
      <c s="56" r="O5">
        <v>600.0</v>
      </c>
      <c s="56" r="P5">
        <v>3000.0</v>
      </c>
      <c s="56" r="Q5">
        <v>700.0</v>
      </c>
      <c s="56" r="R5">
        <v>700.0</v>
      </c>
      <c s="56" r="S5">
        <v>700.0</v>
      </c>
      <c s="56" r="T5">
        <v>700.0</v>
      </c>
      <c s="56" r="U5">
        <v>700.0</v>
      </c>
      <c s="56" r="V5">
        <v>700.0</v>
      </c>
      <c s="56" r="W5">
        <v>700.0</v>
      </c>
      <c s="56" r="X5">
        <v>700.0</v>
      </c>
      <c s="56" r="Y5">
        <v>700.0</v>
      </c>
      <c s="56" r="Z5">
        <v>700.0</v>
      </c>
      <c s="56" r="AA5">
        <v>700.0</v>
      </c>
      <c s="56" r="AB5">
        <v>3000.0</v>
      </c>
      <c s="56" r="AC5">
        <v>1000.0</v>
      </c>
      <c s="56" r="AD5">
        <v>1000.0</v>
      </c>
      <c s="56" r="AE5">
        <v>1000.0</v>
      </c>
      <c s="56" r="AF5">
        <v>1000.0</v>
      </c>
      <c s="56" r="AG5">
        <v>1000.0</v>
      </c>
      <c s="56" r="AH5">
        <v>1000.0</v>
      </c>
      <c s="56" r="AI5">
        <v>1000.0</v>
      </c>
      <c s="56" r="AJ5">
        <v>1000.0</v>
      </c>
      <c s="56" r="AK5">
        <v>1000.0</v>
      </c>
      <c s="56" r="AL5">
        <v>1000.0</v>
      </c>
      <c s="56" r="AM5">
        <v>1000.0</v>
      </c>
      <c s="56" r="AN5">
        <v>3500.0</v>
      </c>
      <c s="56" r="AO5">
        <v>1200.0</v>
      </c>
      <c s="56" r="AP5">
        <v>1200.0</v>
      </c>
      <c s="56" r="AQ5">
        <v>1200.0</v>
      </c>
      <c s="56" r="AR5">
        <v>1200.0</v>
      </c>
      <c s="56" r="AS5">
        <v>1200.0</v>
      </c>
      <c s="56" r="AT5">
        <v>1200.0</v>
      </c>
      <c s="56" r="AU5">
        <v>1200.0</v>
      </c>
      <c s="56" r="AV5">
        <v>1200.0</v>
      </c>
      <c s="56" r="AW5">
        <v>1200.0</v>
      </c>
      <c s="56" r="AX5">
        <v>1200.0</v>
      </c>
      <c s="56" r="AY5">
        <v>1200.0</v>
      </c>
      <c s="56" r="AZ5">
        <v>4000.0</v>
      </c>
      <c s="56" r="BA5"/>
      <c s="40" r="BB5"/>
      <c s="40" r="BC5"/>
      <c s="40" r="BD5"/>
    </row>
    <row customHeight="1" r="6" ht="15.75">
      <c t="s" s="16" r="A6">
        <v>248</v>
      </c>
      <c t="s" s="56" r="B6">
        <v>249</v>
      </c>
      <c s="40" r="C6"/>
      <c s="40" r="D6"/>
      <c s="132" r="E6">
        <v>0.0</v>
      </c>
      <c s="132" r="F6">
        <v>0.0</v>
      </c>
      <c s="132" r="G6">
        <v>0.0</v>
      </c>
      <c s="132" r="H6">
        <v>30.1</v>
      </c>
      <c s="132" r="I6">
        <v>0.0</v>
      </c>
      <c s="132" r="J6">
        <v>31.5</v>
      </c>
      <c s="56" r="K6">
        <v>100.0</v>
      </c>
      <c s="56" r="L6">
        <v>100.0</v>
      </c>
      <c s="56" r="M6">
        <v>100.0</v>
      </c>
      <c s="56" r="N6">
        <v>100.0</v>
      </c>
      <c s="56" r="O6">
        <v>100.0</v>
      </c>
      <c s="56" r="P6">
        <v>100.0</v>
      </c>
      <c s="56" r="Q6">
        <v>120.0</v>
      </c>
      <c s="56" r="R6">
        <v>120.0</v>
      </c>
      <c s="56" r="S6">
        <v>120.0</v>
      </c>
      <c s="56" r="T6">
        <v>120.0</v>
      </c>
      <c s="56" r="U6">
        <v>120.0</v>
      </c>
      <c s="56" r="V6">
        <v>120.0</v>
      </c>
      <c s="56" r="W6">
        <v>120.0</v>
      </c>
      <c s="56" r="X6">
        <v>120.0</v>
      </c>
      <c s="56" r="Y6">
        <v>120.0</v>
      </c>
      <c s="56" r="Z6">
        <v>120.0</v>
      </c>
      <c s="56" r="AA6">
        <v>120.0</v>
      </c>
      <c s="56" r="AB6">
        <v>120.0</v>
      </c>
      <c s="56" r="AC6">
        <v>150.0</v>
      </c>
      <c s="56" r="AD6">
        <v>150.0</v>
      </c>
      <c s="56" r="AE6">
        <v>150.0</v>
      </c>
      <c s="56" r="AF6">
        <v>150.0</v>
      </c>
      <c s="56" r="AG6">
        <v>150.0</v>
      </c>
      <c s="56" r="AH6">
        <v>150.0</v>
      </c>
      <c s="56" r="AI6">
        <v>150.0</v>
      </c>
      <c s="56" r="AJ6">
        <v>150.0</v>
      </c>
      <c s="56" r="AK6">
        <v>150.0</v>
      </c>
      <c s="56" r="AL6">
        <v>150.0</v>
      </c>
      <c s="56" r="AM6">
        <v>150.0</v>
      </c>
      <c s="56" r="AN6">
        <v>150.0</v>
      </c>
      <c s="56" r="AO6">
        <v>150.0</v>
      </c>
      <c s="56" r="AP6">
        <v>150.0</v>
      </c>
      <c s="56" r="AQ6">
        <v>150.0</v>
      </c>
      <c s="56" r="AR6">
        <v>150.0</v>
      </c>
      <c s="56" r="AS6">
        <v>150.0</v>
      </c>
      <c s="56" r="AT6">
        <v>150.0</v>
      </c>
      <c s="56" r="AU6">
        <v>150.0</v>
      </c>
      <c s="56" r="AV6">
        <v>150.0</v>
      </c>
      <c s="56" r="AW6">
        <v>150.0</v>
      </c>
      <c s="56" r="AX6">
        <v>150.0</v>
      </c>
      <c s="56" r="AY6">
        <v>150.0</v>
      </c>
      <c s="56" r="AZ6">
        <v>150.0</v>
      </c>
      <c s="56" r="BA6"/>
      <c s="56" r="BB6"/>
      <c s="56" r="BC6"/>
      <c s="56" r="BD6"/>
    </row>
    <row customHeight="1" r="7" ht="15.75">
      <c t="s" s="16" r="A7">
        <v>250</v>
      </c>
      <c t="s" s="56" r="B7">
        <v>251</v>
      </c>
      <c s="40" r="C7"/>
      <c s="40" r="D7"/>
      <c s="132" r="E7">
        <v>4.66</v>
      </c>
      <c s="132" r="F7">
        <v>-2.1</v>
      </c>
      <c s="132" r="G7">
        <v>1.86</v>
      </c>
      <c s="132" r="H7">
        <v>-0.27</v>
      </c>
      <c s="132" r="I7">
        <v>0.13</v>
      </c>
      <c s="132" r="J7">
        <v>-0.18</v>
      </c>
      <c s="56" r="K7">
        <v>0.42</v>
      </c>
      <c s="56" r="L7">
        <v>0.0</v>
      </c>
      <c s="56" r="M7">
        <v>0.0</v>
      </c>
      <c s="56" r="N7">
        <v>0.0</v>
      </c>
      <c s="56" r="O7">
        <v>0.0</v>
      </c>
      <c s="56" r="P7">
        <v>0.0</v>
      </c>
      <c s="56" r="Q7">
        <v>0.0</v>
      </c>
      <c s="56" r="R7">
        <v>0.0</v>
      </c>
      <c s="56" r="S7">
        <v>0.0</v>
      </c>
      <c s="56" r="T7">
        <v>0.0</v>
      </c>
      <c s="56" r="U7">
        <v>0.0</v>
      </c>
      <c s="56" r="V7">
        <v>0.0</v>
      </c>
      <c s="56" r="W7">
        <v>0.0</v>
      </c>
      <c s="56" r="X7">
        <v>0.0</v>
      </c>
      <c s="56" r="Y7">
        <v>0.0</v>
      </c>
      <c s="56" r="Z7">
        <v>0.0</v>
      </c>
      <c s="56" r="AA7">
        <v>0.0</v>
      </c>
      <c s="56" r="AB7">
        <v>0.0</v>
      </c>
      <c s="56" r="AC7">
        <v>0.0</v>
      </c>
      <c s="56" r="AD7">
        <v>0.0</v>
      </c>
      <c s="56" r="AE7">
        <v>0.0</v>
      </c>
      <c s="56" r="AF7">
        <v>0.0</v>
      </c>
      <c s="56" r="AG7">
        <v>0.0</v>
      </c>
      <c s="56" r="AH7">
        <v>0.0</v>
      </c>
      <c s="56" r="AI7">
        <v>0.0</v>
      </c>
      <c s="56" r="AJ7">
        <v>0.0</v>
      </c>
      <c s="56" r="AK7">
        <v>0.0</v>
      </c>
      <c s="56" r="AL7">
        <v>0.0</v>
      </c>
      <c s="56" r="AM7">
        <v>0.0</v>
      </c>
      <c s="56" r="AN7">
        <v>0.0</v>
      </c>
      <c s="56" r="AO7">
        <v>0.0</v>
      </c>
      <c s="56" r="AP7">
        <v>0.0</v>
      </c>
      <c s="56" r="AQ7">
        <v>0.0</v>
      </c>
      <c s="56" r="AR7">
        <v>0.0</v>
      </c>
      <c s="56" r="AS7">
        <v>0.0</v>
      </c>
      <c s="56" r="AT7">
        <v>0.0</v>
      </c>
      <c s="56" r="AU7">
        <v>0.0</v>
      </c>
      <c s="56" r="AV7">
        <v>0.0</v>
      </c>
      <c s="56" r="AW7">
        <v>0.0</v>
      </c>
      <c s="56" r="AX7">
        <v>0.0</v>
      </c>
      <c s="56" r="AY7">
        <v>0.0</v>
      </c>
      <c s="56" r="AZ7">
        <v>0.0</v>
      </c>
      <c s="56" r="BA7"/>
      <c s="56" r="BB7"/>
      <c s="56" r="BC7"/>
      <c s="56" r="BD7"/>
    </row>
    <row customHeight="1" r="8" ht="15.75">
      <c t="s" s="16" r="A8">
        <v>252</v>
      </c>
      <c t="s" s="56" r="B8">
        <v>253</v>
      </c>
      <c s="40" r="C8"/>
      <c s="40" r="D8"/>
      <c s="132" r="E8">
        <v>23.56</v>
      </c>
      <c s="132" r="F8">
        <v>0.0</v>
      </c>
      <c s="132" r="G8">
        <v>0.0</v>
      </c>
      <c s="132" r="H8">
        <v>14.65</v>
      </c>
      <c s="132" r="I8">
        <v>0.0</v>
      </c>
      <c s="132" r="J8">
        <v>0.0</v>
      </c>
      <c s="56" r="K8">
        <v>30.0</v>
      </c>
      <c s="56" r="L8">
        <v>30.0</v>
      </c>
      <c s="56" r="M8">
        <v>30.0</v>
      </c>
      <c s="56" r="N8">
        <v>30.0</v>
      </c>
      <c s="56" r="O8">
        <v>30.0</v>
      </c>
      <c s="56" r="P8">
        <v>30.0</v>
      </c>
      <c s="56" r="Q8">
        <v>50.0</v>
      </c>
      <c s="56" r="R8">
        <v>50.0</v>
      </c>
      <c s="56" r="S8">
        <v>50.0</v>
      </c>
      <c s="56" r="T8">
        <v>50.0</v>
      </c>
      <c s="56" r="U8">
        <v>50.0</v>
      </c>
      <c s="56" r="V8">
        <v>50.0</v>
      </c>
      <c s="56" r="W8">
        <v>50.0</v>
      </c>
      <c s="56" r="X8">
        <v>50.0</v>
      </c>
      <c s="56" r="Y8">
        <v>50.0</v>
      </c>
      <c s="56" r="Z8">
        <v>50.0</v>
      </c>
      <c s="56" r="AA8">
        <v>50.0</v>
      </c>
      <c s="56" r="AB8">
        <v>50.0</v>
      </c>
      <c s="56" r="AC8">
        <v>100.0</v>
      </c>
      <c s="56" r="AD8">
        <v>100.0</v>
      </c>
      <c s="56" r="AE8">
        <v>100.0</v>
      </c>
      <c s="56" r="AF8">
        <v>100.0</v>
      </c>
      <c s="56" r="AG8">
        <v>100.0</v>
      </c>
      <c s="56" r="AH8">
        <v>100.0</v>
      </c>
      <c s="56" r="AI8">
        <v>100.0</v>
      </c>
      <c s="56" r="AJ8">
        <v>100.0</v>
      </c>
      <c s="56" r="AK8">
        <v>100.0</v>
      </c>
      <c s="56" r="AL8">
        <v>100.0</v>
      </c>
      <c s="56" r="AM8">
        <v>100.0</v>
      </c>
      <c s="56" r="AN8">
        <v>100.0</v>
      </c>
      <c s="56" r="AO8">
        <v>200.0</v>
      </c>
      <c s="56" r="AP8">
        <v>200.0</v>
      </c>
      <c s="56" r="AQ8">
        <v>200.0</v>
      </c>
      <c s="56" r="AR8">
        <v>200.0</v>
      </c>
      <c s="56" r="AS8">
        <v>200.0</v>
      </c>
      <c s="56" r="AT8">
        <v>200.0</v>
      </c>
      <c s="56" r="AU8">
        <v>200.0</v>
      </c>
      <c s="56" r="AV8">
        <v>200.0</v>
      </c>
      <c s="56" r="AW8">
        <v>200.0</v>
      </c>
      <c s="56" r="AX8">
        <v>200.0</v>
      </c>
      <c s="56" r="AY8">
        <v>200.0</v>
      </c>
      <c s="56" r="AZ8">
        <v>200.0</v>
      </c>
      <c s="40" r="BA8"/>
      <c s="40" r="BB8"/>
      <c s="40" r="BC8"/>
      <c s="40" r="BD8"/>
    </row>
    <row customHeight="1" r="9" ht="15.75">
      <c t="s" s="16" r="A9">
        <v>254</v>
      </c>
      <c t="s" s="56" r="B9">
        <v>255</v>
      </c>
      <c s="40" r="C9"/>
      <c s="40" r="D9"/>
      <c s="132" r="E9">
        <v>0.0</v>
      </c>
      <c s="132" r="F9">
        <v>578.0</v>
      </c>
      <c s="132" r="G9">
        <v>0.0</v>
      </c>
      <c s="132" r="H9">
        <v>0.0</v>
      </c>
      <c s="132" r="I9">
        <v>0.0</v>
      </c>
      <c s="132" r="J9">
        <v>0.0</v>
      </c>
      <c s="56" r="K9">
        <v>0.0</v>
      </c>
      <c s="56" r="L9">
        <v>0.0</v>
      </c>
      <c s="56" r="M9">
        <v>0.0</v>
      </c>
      <c s="56" r="N9">
        <v>0.0</v>
      </c>
      <c s="56" r="O9">
        <v>0.0</v>
      </c>
      <c s="56" r="P9">
        <v>0.0</v>
      </c>
      <c s="56" r="Q9">
        <v>0.0</v>
      </c>
      <c s="56" r="R9">
        <v>0.0</v>
      </c>
      <c s="56" r="S9">
        <v>1000.0</v>
      </c>
      <c s="56" r="T9">
        <v>0.0</v>
      </c>
      <c s="56" r="U9">
        <v>0.0</v>
      </c>
      <c s="56" r="V9">
        <v>0.0</v>
      </c>
      <c s="56" r="W9">
        <v>0.0</v>
      </c>
      <c s="56" r="X9">
        <v>0.0</v>
      </c>
      <c s="56" r="Y9">
        <v>0.0</v>
      </c>
      <c s="56" r="Z9">
        <v>0.0</v>
      </c>
      <c s="56" r="AA9">
        <v>0.0</v>
      </c>
      <c s="56" r="AB9">
        <v>0.0</v>
      </c>
      <c s="56" r="AC9">
        <v>0.0</v>
      </c>
      <c s="56" r="AD9">
        <v>700.0</v>
      </c>
      <c s="56" r="AE9">
        <v>2000.0</v>
      </c>
      <c s="56" r="AF9">
        <v>0.0</v>
      </c>
      <c s="56" r="AG9">
        <v>0.0</v>
      </c>
      <c s="56" r="AH9">
        <v>0.0</v>
      </c>
      <c s="56" r="AI9">
        <v>0.0</v>
      </c>
      <c s="56" r="AJ9">
        <v>0.0</v>
      </c>
      <c s="56" r="AK9">
        <v>0.0</v>
      </c>
      <c s="56" r="AL9">
        <v>0.0</v>
      </c>
      <c s="56" r="AM9">
        <v>0.0</v>
      </c>
      <c s="56" r="AN9">
        <v>0.0</v>
      </c>
      <c s="56" r="AO9">
        <v>0.0</v>
      </c>
      <c s="56" r="AP9">
        <v>700.0</v>
      </c>
      <c s="56" r="AQ9">
        <v>3000.0</v>
      </c>
      <c s="56" r="AR9">
        <v>700.0</v>
      </c>
      <c s="56" r="AS9">
        <v>0.0</v>
      </c>
      <c s="56" r="AT9">
        <v>0.0</v>
      </c>
      <c s="56" r="AU9">
        <v>0.0</v>
      </c>
      <c s="56" r="AV9">
        <v>0.0</v>
      </c>
      <c s="56" r="AW9">
        <v>0.0</v>
      </c>
      <c s="56" r="AX9">
        <v>0.0</v>
      </c>
      <c s="56" r="AY9">
        <v>0.0</v>
      </c>
      <c s="56" r="AZ9">
        <v>0.0</v>
      </c>
      <c s="56" r="BA9"/>
      <c s="56" r="BB9"/>
      <c s="56" r="BC9"/>
      <c s="56" r="BD9"/>
    </row>
    <row customHeight="1" r="10" ht="15.75">
      <c t="s" s="16" r="A10">
        <v>256</v>
      </c>
      <c t="s" s="56" r="B10">
        <v>257</v>
      </c>
      <c s="40" r="C10"/>
      <c s="40" r="D10"/>
      <c s="132" r="E10">
        <v>4186.0</v>
      </c>
      <c s="132" r="F10">
        <v>0.0</v>
      </c>
      <c s="132" r="G10">
        <v>203.2</v>
      </c>
      <c s="132" r="H10">
        <v>200.0</v>
      </c>
      <c s="132" r="I10">
        <v>66.0</v>
      </c>
      <c s="132" r="J10">
        <v>0.0</v>
      </c>
      <c s="56" r="K10">
        <v>135.97</v>
      </c>
      <c s="56" r="L10">
        <v>0.0</v>
      </c>
      <c s="56" r="M10">
        <v>0.0</v>
      </c>
      <c s="56" r="N10">
        <v>5000.0</v>
      </c>
      <c s="56" r="O10">
        <v>0.0</v>
      </c>
      <c s="56" r="P10">
        <v>0.0</v>
      </c>
      <c s="56" r="Q10">
        <v>0.0</v>
      </c>
      <c s="56" r="R10">
        <v>0.0</v>
      </c>
      <c s="56" r="S10">
        <v>0.0</v>
      </c>
      <c s="56" r="T10">
        <v>0.0</v>
      </c>
      <c s="56" r="U10">
        <v>0.0</v>
      </c>
      <c s="56" r="V10">
        <v>5000.0</v>
      </c>
      <c s="56" r="W10">
        <v>0.0</v>
      </c>
      <c s="56" r="X10">
        <v>0.0</v>
      </c>
      <c s="56" r="Y10">
        <v>0.0</v>
      </c>
      <c s="56" r="Z10">
        <v>0.0</v>
      </c>
      <c s="56" r="AA10">
        <v>0.0</v>
      </c>
      <c s="56" r="AB10">
        <v>0.0</v>
      </c>
      <c s="56" r="AC10">
        <v>0.0</v>
      </c>
      <c s="56" r="AD10">
        <v>0.0</v>
      </c>
      <c s="56" r="AE10">
        <v>0.0</v>
      </c>
      <c s="56" r="AF10">
        <v>5000.0</v>
      </c>
      <c s="56" r="AG10">
        <v>0.0</v>
      </c>
      <c s="56" r="AH10">
        <v>0.0</v>
      </c>
      <c s="56" r="AI10">
        <v>0.0</v>
      </c>
      <c s="56" r="AJ10">
        <v>0.0</v>
      </c>
      <c s="56" r="AK10">
        <v>0.0</v>
      </c>
      <c s="56" r="AL10">
        <v>0.0</v>
      </c>
      <c s="56" r="AM10">
        <v>0.0</v>
      </c>
      <c s="56" r="AN10">
        <v>0.0</v>
      </c>
      <c s="56" r="AO10">
        <v>0.0</v>
      </c>
      <c s="56" r="AP10">
        <v>5000.0</v>
      </c>
      <c s="56" r="AQ10">
        <v>0.0</v>
      </c>
      <c s="56" r="AR10">
        <v>0.0</v>
      </c>
      <c s="56" r="AS10">
        <v>0.0</v>
      </c>
      <c s="56" r="AT10">
        <v>0.0</v>
      </c>
      <c s="56" r="AU10">
        <v>0.0</v>
      </c>
      <c s="56" r="AV10">
        <v>0.0</v>
      </c>
      <c s="56" r="AW10">
        <v>0.0</v>
      </c>
      <c s="56" r="AX10">
        <v>0.0</v>
      </c>
      <c s="56" r="AY10">
        <v>0.0</v>
      </c>
      <c s="56" r="AZ10">
        <v>5000.0</v>
      </c>
      <c s="40" r="BA10"/>
      <c s="40" r="BB10"/>
      <c s="40" r="BC10"/>
      <c s="40" r="BD10"/>
    </row>
    <row customHeight="1" r="11" ht="15.75">
      <c t="s" s="16" r="A11">
        <v>258</v>
      </c>
      <c t="s" s="56" r="B11">
        <v>259</v>
      </c>
      <c s="40" r="C11"/>
      <c s="40" r="D11"/>
      <c s="132" r="E11">
        <v>0.0</v>
      </c>
      <c s="132" r="F11">
        <v>0.0</v>
      </c>
      <c s="132" r="G11">
        <v>40.0</v>
      </c>
      <c s="132" r="H11">
        <v>0.0</v>
      </c>
      <c s="132" r="I11">
        <v>0.0</v>
      </c>
      <c s="132" r="J11">
        <v>0.0</v>
      </c>
      <c s="56" r="K11">
        <v>50.0</v>
      </c>
      <c s="56" r="L11">
        <v>50.0</v>
      </c>
      <c s="56" r="M11">
        <v>50.0</v>
      </c>
      <c s="56" r="N11">
        <v>50.0</v>
      </c>
      <c s="56" r="O11">
        <v>50.0</v>
      </c>
      <c s="56" r="P11">
        <v>50.0</v>
      </c>
      <c s="56" r="Q11">
        <v>60.0</v>
      </c>
      <c s="56" r="R11">
        <v>60.0</v>
      </c>
      <c s="56" r="S11">
        <v>60.0</v>
      </c>
      <c s="56" r="T11">
        <v>60.0</v>
      </c>
      <c s="56" r="U11">
        <v>60.0</v>
      </c>
      <c s="56" r="V11">
        <v>60.0</v>
      </c>
      <c s="56" r="W11">
        <v>60.0</v>
      </c>
      <c s="56" r="X11">
        <v>60.0</v>
      </c>
      <c s="56" r="Y11">
        <v>60.0</v>
      </c>
      <c s="56" r="Z11">
        <v>60.0</v>
      </c>
      <c s="56" r="AA11">
        <v>60.0</v>
      </c>
      <c s="56" r="AB11">
        <v>60.0</v>
      </c>
      <c s="56" r="AC11">
        <v>60.0</v>
      </c>
      <c s="56" r="AD11">
        <v>80.0</v>
      </c>
      <c s="56" r="AE11">
        <v>80.0</v>
      </c>
      <c s="56" r="AF11">
        <v>80.0</v>
      </c>
      <c s="56" r="AG11">
        <v>80.0</v>
      </c>
      <c s="56" r="AH11">
        <v>80.0</v>
      </c>
      <c s="56" r="AI11">
        <v>80.0</v>
      </c>
      <c s="56" r="AJ11">
        <v>80.0</v>
      </c>
      <c s="56" r="AK11">
        <v>80.0</v>
      </c>
      <c s="56" r="AL11">
        <v>80.0</v>
      </c>
      <c s="56" r="AM11">
        <v>80.0</v>
      </c>
      <c s="56" r="AN11">
        <v>80.0</v>
      </c>
      <c s="56" r="AO11">
        <v>80.0</v>
      </c>
      <c s="56" r="AP11">
        <v>100.0</v>
      </c>
      <c s="56" r="AQ11">
        <v>100.0</v>
      </c>
      <c s="56" r="AR11">
        <v>100.0</v>
      </c>
      <c s="56" r="AS11">
        <v>100.0</v>
      </c>
      <c s="56" r="AT11">
        <v>100.0</v>
      </c>
      <c s="56" r="AU11">
        <v>100.0</v>
      </c>
      <c s="56" r="AV11">
        <v>100.0</v>
      </c>
      <c s="56" r="AW11">
        <v>100.0</v>
      </c>
      <c s="56" r="AX11">
        <v>100.0</v>
      </c>
      <c s="56" r="AY11">
        <v>100.0</v>
      </c>
      <c s="56" r="AZ11">
        <v>100.0</v>
      </c>
      <c s="40" r="BA11"/>
      <c s="40" r="BB11"/>
      <c s="40" r="BC11"/>
      <c s="40" r="BD11"/>
    </row>
    <row customHeight="1" r="12" ht="15.75">
      <c t="s" s="16" r="A12">
        <v>260</v>
      </c>
      <c t="s" s="56" r="B12">
        <v>261</v>
      </c>
      <c s="40" r="C12"/>
      <c s="40" r="D12"/>
      <c s="132" r="E12">
        <v>3307.0</v>
      </c>
      <c s="132" r="F12">
        <v>171.0</v>
      </c>
      <c s="132" r="G12">
        <v>0.0</v>
      </c>
      <c s="132" r="H12">
        <v>0.0</v>
      </c>
      <c s="132" r="I12">
        <v>0.0</v>
      </c>
      <c s="132" r="J12">
        <v>0.0</v>
      </c>
      <c t="str" s="133" r="K12">
        <f ref="K12:AZ12" t="shared" si="2">K45</f>
        <v>€ 2 647,77</v>
      </c>
      <c t="str" s="133" r="L12">
        <f t="shared" si="2"/>
        <v>€ 0,00</v>
      </c>
      <c t="str" s="133" r="M12">
        <f t="shared" si="2"/>
        <v>€ 3 782,53</v>
      </c>
      <c t="str" s="133" r="N12">
        <f t="shared" si="2"/>
        <v>€ 3 782,53</v>
      </c>
      <c t="str" s="133" r="O12">
        <f t="shared" si="2"/>
        <v>€ 4 934,75</v>
      </c>
      <c t="str" s="133" r="P12">
        <f t="shared" si="2"/>
        <v>€ 7 358,85</v>
      </c>
      <c t="str" s="133" r="Q12">
        <f t="shared" si="2"/>
        <v>€ 5 456,30</v>
      </c>
      <c t="str" s="133" r="R12">
        <f t="shared" si="2"/>
        <v>€ 6 688,87</v>
      </c>
      <c t="str" s="133" r="S12">
        <f t="shared" si="2"/>
        <v>€ 7 678,87</v>
      </c>
      <c t="str" s="133" r="T12">
        <f t="shared" si="2"/>
        <v>€ 8 972,06</v>
      </c>
      <c t="str" s="133" r="U12">
        <f t="shared" si="2"/>
        <v>€ 8 948,61</v>
      </c>
      <c t="str" s="133" r="V12">
        <f t="shared" si="2"/>
        <v>€ 8 948,61</v>
      </c>
      <c t="str" s="133" r="W12">
        <f t="shared" si="2"/>
        <v>€ 10 584,50</v>
      </c>
      <c t="str" s="133" r="X12">
        <f t="shared" si="2"/>
        <v>€ 8 987,41</v>
      </c>
      <c t="str" s="133" r="Y12">
        <f t="shared" si="2"/>
        <v>€ 10 656,81</v>
      </c>
      <c t="str" s="133" r="Z12">
        <f t="shared" si="2"/>
        <v>€ 12 831,46</v>
      </c>
      <c t="str" s="133" r="AA12">
        <f t="shared" si="2"/>
        <v>€ 10 695,60</v>
      </c>
      <c t="str" s="133" r="AB12">
        <f t="shared" si="2"/>
        <v>€ 13 730,69</v>
      </c>
      <c t="str" s="133" r="AC12">
        <f t="shared" si="2"/>
        <v>€ 20 933,92</v>
      </c>
      <c t="str" s="133" r="AD12">
        <f t="shared" si="2"/>
        <v>€ 23 547,14</v>
      </c>
      <c t="str" s="133" r="AE12">
        <f t="shared" si="2"/>
        <v>€ 24 070,88</v>
      </c>
      <c t="str" s="133" r="AF12">
        <f t="shared" si="2"/>
        <v>€ 24 109,67</v>
      </c>
      <c t="str" s="133" r="AG12">
        <f t="shared" si="2"/>
        <v>€ 24 148,47</v>
      </c>
      <c t="str" s="133" r="AH12">
        <f t="shared" si="2"/>
        <v>€ 24 187,27</v>
      </c>
      <c t="str" s="133" r="AI12">
        <f t="shared" si="2"/>
        <v>€ 24 226,06</v>
      </c>
      <c t="str" s="133" r="AJ12">
        <f t="shared" si="2"/>
        <v>€ 24 264,86</v>
      </c>
      <c t="str" s="133" r="AK12">
        <f t="shared" si="2"/>
        <v>€ 24 303,65</v>
      </c>
      <c t="str" s="133" r="AL12">
        <f t="shared" si="2"/>
        <v>€ 24 342,45</v>
      </c>
      <c t="str" s="133" r="AM12">
        <f t="shared" si="2"/>
        <v>€ 24 381,24</v>
      </c>
      <c t="str" s="133" r="AN12">
        <f t="shared" si="2"/>
        <v>€ 24 420,04</v>
      </c>
      <c t="str" s="133" r="AO12">
        <f t="shared" si="2"/>
        <v>€ 30 359,12</v>
      </c>
      <c t="str" s="133" r="AP12">
        <f t="shared" si="2"/>
        <v>€ 30 417,31</v>
      </c>
      <c t="str" s="133" r="AQ12">
        <f t="shared" si="2"/>
        <v>€ 30 475,51</v>
      </c>
      <c t="str" s="133" r="AR12">
        <f t="shared" si="2"/>
        <v>€ 30 533,70</v>
      </c>
      <c t="str" s="133" r="AS12">
        <f t="shared" si="2"/>
        <v>€ 30 591,89</v>
      </c>
      <c t="str" s="133" r="AT12">
        <f t="shared" si="2"/>
        <v>€ 30 650,09</v>
      </c>
      <c t="str" s="133" r="AU12">
        <f t="shared" si="2"/>
        <v>€ 30 708,28</v>
      </c>
      <c t="str" s="133" r="AV12">
        <f t="shared" si="2"/>
        <v>€ 30 766,48</v>
      </c>
      <c t="str" s="133" r="AW12">
        <f t="shared" si="2"/>
        <v>€ 30 824,67</v>
      </c>
      <c t="str" s="133" r="AX12">
        <f t="shared" si="2"/>
        <v>€ 30 882,86</v>
      </c>
      <c t="str" s="133" r="AY12">
        <f t="shared" si="2"/>
        <v>€ 30 941,06</v>
      </c>
      <c t="str" s="133" r="AZ12">
        <f t="shared" si="2"/>
        <v>€ 30 999,25</v>
      </c>
      <c s="40" r="BA12"/>
      <c s="40" r="BB12"/>
      <c s="40" r="BC12"/>
      <c s="40" r="BD12"/>
    </row>
    <row customHeight="1" r="13" ht="15.75">
      <c t="s" s="16" r="A13">
        <v>262</v>
      </c>
      <c t="s" s="56" r="B13">
        <v>263</v>
      </c>
      <c s="40" r="C13"/>
      <c s="40" r="D13"/>
      <c s="132" r="E13">
        <v>122.04</v>
      </c>
      <c s="132" r="F13">
        <v>197.41</v>
      </c>
      <c s="132" r="G13">
        <v>125.84</v>
      </c>
      <c s="132" r="H13">
        <v>375.76</v>
      </c>
      <c s="132" r="I13">
        <v>126.1</v>
      </c>
      <c s="132" r="J13">
        <v>176.11</v>
      </c>
      <c s="56" r="K13">
        <v>190.0</v>
      </c>
      <c s="56" r="L13">
        <v>190.0</v>
      </c>
      <c s="56" r="M13">
        <v>190.0</v>
      </c>
      <c s="56" r="N13">
        <v>190.0</v>
      </c>
      <c s="56" r="O13">
        <v>190.0</v>
      </c>
      <c s="56" r="P13">
        <v>190.0</v>
      </c>
      <c s="56" r="Q13">
        <v>190.0</v>
      </c>
      <c s="56" r="R13">
        <v>190.0</v>
      </c>
      <c s="56" r="S13">
        <v>190.0</v>
      </c>
      <c s="56" r="T13">
        <v>190.0</v>
      </c>
      <c s="56" r="U13">
        <v>190.0</v>
      </c>
      <c s="56" r="V13">
        <v>190.0</v>
      </c>
      <c s="56" r="W13">
        <v>190.0</v>
      </c>
      <c s="56" r="X13">
        <v>190.0</v>
      </c>
      <c s="56" r="Y13">
        <v>190.0</v>
      </c>
      <c s="56" r="Z13">
        <v>190.0</v>
      </c>
      <c s="56" r="AA13">
        <v>190.0</v>
      </c>
      <c s="56" r="AB13">
        <v>190.0</v>
      </c>
      <c s="56" r="AC13">
        <v>190.0</v>
      </c>
      <c s="56" r="AD13">
        <v>190.0</v>
      </c>
      <c s="56" r="AE13">
        <v>190.0</v>
      </c>
      <c s="56" r="AF13">
        <v>190.0</v>
      </c>
      <c s="56" r="AG13">
        <v>190.0</v>
      </c>
      <c s="56" r="AH13">
        <v>190.0</v>
      </c>
      <c s="56" r="AI13">
        <v>190.0</v>
      </c>
      <c s="56" r="AJ13">
        <v>190.0</v>
      </c>
      <c s="56" r="AK13">
        <v>190.0</v>
      </c>
      <c s="56" r="AL13">
        <v>190.0</v>
      </c>
      <c s="56" r="AM13">
        <v>190.0</v>
      </c>
      <c s="56" r="AN13">
        <v>190.0</v>
      </c>
      <c s="56" r="AO13">
        <v>190.0</v>
      </c>
      <c s="56" r="AP13">
        <v>190.0</v>
      </c>
      <c s="56" r="AQ13">
        <v>190.0</v>
      </c>
      <c s="56" r="AR13">
        <v>190.0</v>
      </c>
      <c s="56" r="AS13">
        <v>190.0</v>
      </c>
      <c s="56" r="AT13">
        <v>190.0</v>
      </c>
      <c s="56" r="AU13">
        <v>190.0</v>
      </c>
      <c s="56" r="AV13">
        <v>190.0</v>
      </c>
      <c s="56" r="AW13">
        <v>190.0</v>
      </c>
      <c s="56" r="AX13">
        <v>190.0</v>
      </c>
      <c s="56" r="AY13">
        <v>190.0</v>
      </c>
      <c s="56" r="AZ13">
        <v>190.0</v>
      </c>
      <c s="40" r="BA13"/>
      <c s="40" r="BB13"/>
      <c s="40" r="BC13"/>
      <c s="40" r="BD13"/>
    </row>
    <row customHeight="1" r="14" ht="15.75">
      <c t="s" s="16" r="A14">
        <v>264</v>
      </c>
      <c t="s" s="56" r="B14">
        <v>265</v>
      </c>
      <c s="40" r="C14"/>
      <c s="40" r="D14"/>
      <c s="132" r="E14">
        <v>78.0</v>
      </c>
      <c s="132" r="F14">
        <v>78.0</v>
      </c>
      <c s="132" r="G14">
        <v>78.0</v>
      </c>
      <c s="132" r="H14">
        <v>78.0</v>
      </c>
      <c s="132" r="I14">
        <v>78.0</v>
      </c>
      <c s="132" r="J14">
        <v>78.0</v>
      </c>
      <c s="56" r="K14">
        <v>100.0</v>
      </c>
      <c s="56" r="L14">
        <v>100.0</v>
      </c>
      <c s="56" r="M14">
        <v>100.0</v>
      </c>
      <c s="56" r="N14">
        <v>100.0</v>
      </c>
      <c s="56" r="O14">
        <v>100.0</v>
      </c>
      <c s="56" r="P14">
        <v>100.0</v>
      </c>
      <c s="56" r="Q14">
        <v>100.0</v>
      </c>
      <c s="56" r="R14">
        <v>100.0</v>
      </c>
      <c s="56" r="S14">
        <v>100.0</v>
      </c>
      <c s="56" r="T14">
        <v>100.0</v>
      </c>
      <c s="56" r="U14">
        <v>100.0</v>
      </c>
      <c s="56" r="V14">
        <v>100.0</v>
      </c>
      <c s="56" r="W14">
        <v>100.0</v>
      </c>
      <c s="56" r="X14">
        <v>100.0</v>
      </c>
      <c s="56" r="Y14">
        <v>100.0</v>
      </c>
      <c s="56" r="Z14">
        <v>100.0</v>
      </c>
      <c s="56" r="AA14">
        <v>100.0</v>
      </c>
      <c s="56" r="AB14">
        <v>100.0</v>
      </c>
      <c s="56" r="AC14">
        <v>100.0</v>
      </c>
      <c s="56" r="AD14">
        <v>100.0</v>
      </c>
      <c s="56" r="AE14">
        <v>100.0</v>
      </c>
      <c s="56" r="AF14">
        <v>100.0</v>
      </c>
      <c s="56" r="AG14">
        <v>100.0</v>
      </c>
      <c s="56" r="AH14">
        <v>100.0</v>
      </c>
      <c s="56" r="AI14">
        <v>100.0</v>
      </c>
      <c s="56" r="AJ14">
        <v>100.0</v>
      </c>
      <c s="56" r="AK14">
        <v>100.0</v>
      </c>
      <c s="56" r="AL14">
        <v>100.0</v>
      </c>
      <c s="56" r="AM14">
        <v>100.0</v>
      </c>
      <c s="56" r="AN14">
        <v>100.0</v>
      </c>
      <c s="56" r="AO14">
        <v>100.0</v>
      </c>
      <c s="56" r="AP14">
        <v>100.0</v>
      </c>
      <c s="56" r="AQ14">
        <v>100.0</v>
      </c>
      <c s="56" r="AR14">
        <v>100.0</v>
      </c>
      <c s="56" r="AS14">
        <v>100.0</v>
      </c>
      <c s="56" r="AT14">
        <v>100.0</v>
      </c>
      <c s="56" r="AU14">
        <v>100.0</v>
      </c>
      <c s="56" r="AV14">
        <v>100.0</v>
      </c>
      <c s="56" r="AW14">
        <v>100.0</v>
      </c>
      <c s="56" r="AX14">
        <v>100.0</v>
      </c>
      <c s="56" r="AY14">
        <v>100.0</v>
      </c>
      <c s="56" r="AZ14">
        <v>100.0</v>
      </c>
      <c s="40" r="BA14"/>
      <c s="40" r="BB14"/>
      <c s="40" r="BC14"/>
      <c s="40" r="BD14"/>
    </row>
    <row customHeight="1" r="15" ht="15.75">
      <c t="s" s="16" r="A15">
        <v>266</v>
      </c>
      <c t="s" s="56" r="B15">
        <v>267</v>
      </c>
      <c s="40" r="C15"/>
      <c s="40" r="D15"/>
      <c s="132" r="E15">
        <v>0.0</v>
      </c>
      <c s="132" r="F15">
        <v>0.0</v>
      </c>
      <c s="132" r="G15">
        <v>0.0</v>
      </c>
      <c s="132" r="H15">
        <v>0.0</v>
      </c>
      <c s="132" r="I15">
        <v>0.0</v>
      </c>
      <c s="132" r="J15">
        <v>0.0</v>
      </c>
      <c t="str" s="133" r="K15">
        <f ref="K15:AZ15" t="shared" si="3">K44</f>
        <v>€ 4 814,13</v>
      </c>
      <c t="str" s="133" r="L15">
        <f t="shared" si="3"/>
        <v>€ 0,00</v>
      </c>
      <c t="str" s="133" r="M15">
        <f t="shared" si="3"/>
        <v>€ 6 877,33</v>
      </c>
      <c t="str" s="133" r="N15">
        <f t="shared" si="3"/>
        <v>€ 6 877,33</v>
      </c>
      <c t="str" s="133" r="O15">
        <f t="shared" si="3"/>
        <v>€ 8 972,27</v>
      </c>
      <c t="str" s="133" r="P15">
        <f t="shared" si="3"/>
        <v>€ 13 379,73</v>
      </c>
      <c t="str" s="133" r="Q15">
        <f t="shared" si="3"/>
        <v>€ 9 920,54</v>
      </c>
      <c t="str" s="133" r="R15">
        <f t="shared" si="3"/>
        <v>€ 12 161,58</v>
      </c>
      <c t="str" s="133" r="S15">
        <f t="shared" si="3"/>
        <v>€ 13 961,58</v>
      </c>
      <c t="str" s="133" r="T15">
        <f t="shared" si="3"/>
        <v>€ 16 312,83</v>
      </c>
      <c t="str" s="133" r="U15">
        <f t="shared" si="3"/>
        <v>€ 16 270,21</v>
      </c>
      <c t="str" s="133" r="V15">
        <f t="shared" si="3"/>
        <v>€ 16 270,21</v>
      </c>
      <c t="str" s="133" r="W15">
        <f t="shared" si="3"/>
        <v>€ 19 244,54</v>
      </c>
      <c t="str" s="133" r="X15">
        <f t="shared" si="3"/>
        <v>€ 16 340,75</v>
      </c>
      <c t="str" s="133" r="Y15">
        <f t="shared" si="3"/>
        <v>€ 19 376,01</v>
      </c>
      <c t="str" s="133" r="Z15">
        <f t="shared" si="3"/>
        <v>€ 23 329,94</v>
      </c>
      <c t="str" s="133" r="AA15">
        <f t="shared" si="3"/>
        <v>€ 19 446,55</v>
      </c>
      <c t="str" s="133" r="AB15">
        <f t="shared" si="3"/>
        <v>€ 24 964,88</v>
      </c>
      <c t="str" s="133" r="AC15">
        <f t="shared" si="3"/>
        <v>€ 38 061,68</v>
      </c>
      <c t="str" s="133" r="AD15">
        <f t="shared" si="3"/>
        <v>€ 42 812,98</v>
      </c>
      <c t="str" s="133" r="AE15">
        <f t="shared" si="3"/>
        <v>€ 43 765,23</v>
      </c>
      <c t="str" s="133" r="AF15">
        <f t="shared" si="3"/>
        <v>€ 43 835,77</v>
      </c>
      <c t="str" s="133" r="AG15">
        <f t="shared" si="3"/>
        <v>€ 43 906,31</v>
      </c>
      <c t="str" s="133" r="AH15">
        <f t="shared" si="3"/>
        <v>€ 43 976,85</v>
      </c>
      <c t="str" s="133" r="AI15">
        <f t="shared" si="3"/>
        <v>€ 44 047,38</v>
      </c>
      <c t="str" s="133" r="AJ15">
        <f t="shared" si="3"/>
        <v>€ 44 117,92</v>
      </c>
      <c t="str" s="133" r="AK15">
        <f t="shared" si="3"/>
        <v>€ 44 188,46</v>
      </c>
      <c t="str" s="133" r="AL15">
        <f t="shared" si="3"/>
        <v>€ 44 259,00</v>
      </c>
      <c t="str" s="133" r="AM15">
        <f t="shared" si="3"/>
        <v>€ 44 329,53</v>
      </c>
      <c t="str" s="133" r="AN15">
        <f t="shared" si="3"/>
        <v>€ 44 400,07</v>
      </c>
      <c t="str" s="133" r="AO15">
        <f t="shared" si="3"/>
        <v>€ 55 198,40</v>
      </c>
      <c t="str" s="133" r="AP15">
        <f t="shared" si="3"/>
        <v>€ 55 304,21</v>
      </c>
      <c t="str" s="133" r="AQ15">
        <f t="shared" si="3"/>
        <v>€ 55 410,01</v>
      </c>
      <c t="str" s="133" r="AR15">
        <f t="shared" si="3"/>
        <v>€ 55 515,82</v>
      </c>
      <c t="str" s="133" r="AS15">
        <f t="shared" si="3"/>
        <v>€ 55 621,63</v>
      </c>
      <c t="str" s="133" r="AT15">
        <f t="shared" si="3"/>
        <v>€ 55 727,43</v>
      </c>
      <c t="str" s="133" r="AU15">
        <f t="shared" si="3"/>
        <v>€ 55 833,24</v>
      </c>
      <c t="str" s="133" r="AV15">
        <f t="shared" si="3"/>
        <v>€ 55 939,05</v>
      </c>
      <c t="str" s="133" r="AW15">
        <f t="shared" si="3"/>
        <v>€ 56 044,85</v>
      </c>
      <c t="str" s="133" r="AX15">
        <f t="shared" si="3"/>
        <v>€ 56 150,66</v>
      </c>
      <c t="str" s="133" r="AY15">
        <f t="shared" si="3"/>
        <v>€ 56 256,46</v>
      </c>
      <c t="str" s="133" r="AZ15">
        <f t="shared" si="3"/>
        <v>€ 56 362,27</v>
      </c>
      <c s="40" r="BA15"/>
      <c s="40" r="BB15"/>
      <c s="40" r="BC15"/>
      <c s="40" r="BD15"/>
    </row>
    <row customHeight="1" r="16" ht="15.75">
      <c t="s" s="16" r="A16">
        <v>268</v>
      </c>
      <c t="s" s="56" r="B16">
        <v>269</v>
      </c>
      <c s="40" r="C16"/>
      <c s="40" r="D16"/>
      <c s="132" r="E16">
        <v>0.0</v>
      </c>
      <c s="132" r="F16">
        <v>0.0</v>
      </c>
      <c s="132" r="G16">
        <v>0.0</v>
      </c>
      <c s="132" r="H16">
        <v>0.0</v>
      </c>
      <c s="132" r="I16">
        <v>0.0</v>
      </c>
      <c s="132" r="J16">
        <v>0.0</v>
      </c>
      <c t="str" s="133" r="K16">
        <f ref="K16:AZ16" t="shared" si="4">(K59*$C$59)</f>
        <v>€ 0,00</v>
      </c>
      <c t="str" s="133" r="L16">
        <f t="shared" si="4"/>
        <v>€ 0,00</v>
      </c>
      <c t="str" s="133" r="M16">
        <f t="shared" si="4"/>
        <v>€ 0,00</v>
      </c>
      <c t="str" s="133" r="N16">
        <f t="shared" si="4"/>
        <v>€ 0,00</v>
      </c>
      <c t="str" s="133" r="O16">
        <f t="shared" si="4"/>
        <v>€ 0,00</v>
      </c>
      <c t="str" s="133" r="P16">
        <f t="shared" si="4"/>
        <v>€ 0,00</v>
      </c>
      <c t="str" s="133" r="Q16">
        <f t="shared" si="4"/>
        <v>€ 0,00</v>
      </c>
      <c t="str" s="133" r="R16">
        <f t="shared" si="4"/>
        <v>€ 0,00</v>
      </c>
      <c t="str" s="133" r="S16">
        <f t="shared" si="4"/>
        <v>€ 0,00</v>
      </c>
      <c t="str" s="133" r="T16">
        <f t="shared" si="4"/>
        <v>€ 0,00</v>
      </c>
      <c t="str" s="133" r="U16">
        <f t="shared" si="4"/>
        <v>€ 0,00</v>
      </c>
      <c t="str" s="133" r="V16">
        <f t="shared" si="4"/>
        <v>€ 0,00</v>
      </c>
      <c t="str" s="133" r="W16">
        <f t="shared" si="4"/>
        <v>€ 0,00</v>
      </c>
      <c t="str" s="133" r="X16">
        <f t="shared" si="4"/>
        <v>€ 0,00</v>
      </c>
      <c t="str" s="133" r="Y16">
        <f t="shared" si="4"/>
        <v>€ 0,00</v>
      </c>
      <c t="str" s="133" r="Z16">
        <f t="shared" si="4"/>
        <v>€ 0,00</v>
      </c>
      <c t="str" s="133" r="AA16">
        <f t="shared" si="4"/>
        <v>€ 0,00</v>
      </c>
      <c t="str" s="133" r="AB16">
        <f t="shared" si="4"/>
        <v>€ 0,00</v>
      </c>
      <c t="str" s="133" r="AC16">
        <f t="shared" si="4"/>
        <v>€ 6 000,00</v>
      </c>
      <c t="str" s="133" r="AD16">
        <f t="shared" si="4"/>
        <v>€ 6 000,00</v>
      </c>
      <c t="str" s="133" r="AE16">
        <f t="shared" si="4"/>
        <v>€ 6 000,00</v>
      </c>
      <c t="str" s="133" r="AF16">
        <f t="shared" si="4"/>
        <v>€ 6 000,00</v>
      </c>
      <c t="str" s="133" r="AG16">
        <f t="shared" si="4"/>
        <v>€ 6 000,00</v>
      </c>
      <c t="str" s="133" r="AH16">
        <f t="shared" si="4"/>
        <v>€ 6 000,00</v>
      </c>
      <c t="str" s="133" r="AI16">
        <f t="shared" si="4"/>
        <v>€ 6 000,00</v>
      </c>
      <c t="str" s="133" r="AJ16">
        <f t="shared" si="4"/>
        <v>€ 6 000,00</v>
      </c>
      <c t="str" s="133" r="AK16">
        <f t="shared" si="4"/>
        <v>€ 6 000,00</v>
      </c>
      <c t="str" s="133" r="AL16">
        <f t="shared" si="4"/>
        <v>€ 6 000,00</v>
      </c>
      <c t="str" s="133" r="AM16">
        <f t="shared" si="4"/>
        <v>€ 6 000,00</v>
      </c>
      <c t="str" s="133" r="AN16">
        <f t="shared" si="4"/>
        <v>€ 6 000,00</v>
      </c>
      <c t="str" s="133" r="AO16">
        <f t="shared" si="4"/>
        <v>€ 6 000,00</v>
      </c>
      <c t="str" s="133" r="AP16">
        <f t="shared" si="4"/>
        <v>€ 6 000,00</v>
      </c>
      <c t="str" s="133" r="AQ16">
        <f t="shared" si="4"/>
        <v>€ 6 000,00</v>
      </c>
      <c t="str" s="133" r="AR16">
        <f t="shared" si="4"/>
        <v>€ 6 000,00</v>
      </c>
      <c t="str" s="133" r="AS16">
        <f t="shared" si="4"/>
        <v>€ 6 000,00</v>
      </c>
      <c t="str" s="133" r="AT16">
        <f t="shared" si="4"/>
        <v>€ 6 000,00</v>
      </c>
      <c t="str" s="133" r="AU16">
        <f t="shared" si="4"/>
        <v>€ 6 000,00</v>
      </c>
      <c t="str" s="133" r="AV16">
        <f t="shared" si="4"/>
        <v>€ 6 000,00</v>
      </c>
      <c t="str" s="133" r="AW16">
        <f t="shared" si="4"/>
        <v>€ 6 000,00</v>
      </c>
      <c t="str" s="133" r="AX16">
        <f t="shared" si="4"/>
        <v>€ 6 000,00</v>
      </c>
      <c t="str" s="133" r="AY16">
        <f t="shared" si="4"/>
        <v>€ 6 000,00</v>
      </c>
      <c t="str" s="133" r="AZ16">
        <f t="shared" si="4"/>
        <v>€ 6 000,00</v>
      </c>
      <c s="40" r="BA16"/>
      <c s="40" r="BB16"/>
      <c s="40" r="BC16"/>
      <c s="40" r="BD16"/>
    </row>
    <row customHeight="1" r="17" ht="15.75">
      <c t="s" s="16" r="A17">
        <v>270</v>
      </c>
      <c t="s" s="56" r="B17">
        <v>271</v>
      </c>
      <c s="40" r="C17"/>
      <c s="40" r="D17"/>
      <c s="132" r="E17"/>
      <c s="132" r="F17"/>
      <c s="132" r="G17"/>
      <c s="132" r="H17"/>
      <c s="132" r="I17"/>
      <c s="132" r="J17"/>
      <c s="56" r="K17">
        <v>0.0</v>
      </c>
      <c s="56" r="L17">
        <v>0.0</v>
      </c>
      <c s="56" r="M17">
        <v>0.0</v>
      </c>
      <c s="56" r="N17">
        <v>0.0</v>
      </c>
      <c s="56" r="O17">
        <v>0.0</v>
      </c>
      <c s="56" r="P17">
        <v>0.0</v>
      </c>
      <c t="str" s="56" r="Q17">
        <f ref="Q17:AZ17" t="shared" si="5">500*(Q27+Q29)</f>
        <v>€ 500,00</v>
      </c>
      <c t="str" s="56" r="R17">
        <f t="shared" si="5"/>
        <v>€ 1 000,00</v>
      </c>
      <c t="str" s="56" r="S17">
        <f t="shared" si="5"/>
        <v>€ 1 000,00</v>
      </c>
      <c t="str" s="56" r="T17">
        <f t="shared" si="5"/>
        <v>€ 1 000,00</v>
      </c>
      <c t="str" s="56" r="U17">
        <f t="shared" si="5"/>
        <v>€ 1 500,00</v>
      </c>
      <c t="str" s="56" r="V17">
        <f t="shared" si="5"/>
        <v>€ 1 500,00</v>
      </c>
      <c t="str" s="56" r="W17">
        <f t="shared" si="5"/>
        <v>€ 1 500,00</v>
      </c>
      <c t="str" s="56" r="X17">
        <f t="shared" si="5"/>
        <v>€ 1 500,00</v>
      </c>
      <c t="str" s="56" r="Y17">
        <f t="shared" si="5"/>
        <v>€ 1 500,00</v>
      </c>
      <c t="str" s="56" r="Z17">
        <f t="shared" si="5"/>
        <v>€ 1 500,00</v>
      </c>
      <c t="str" s="56" r="AA17">
        <f t="shared" si="5"/>
        <v>€ 1 500,00</v>
      </c>
      <c t="str" s="56" r="AB17">
        <f t="shared" si="5"/>
        <v>€ 1 500,00</v>
      </c>
      <c t="str" s="56" r="AC17">
        <f t="shared" si="5"/>
        <v>€ 2 500,00</v>
      </c>
      <c t="str" s="56" r="AD17">
        <f t="shared" si="5"/>
        <v>€ 3 000,00</v>
      </c>
      <c t="str" s="56" r="AE17">
        <f t="shared" si="5"/>
        <v>€ 3 000,00</v>
      </c>
      <c t="str" s="56" r="AF17">
        <f t="shared" si="5"/>
        <v>€ 3 000,00</v>
      </c>
      <c t="str" s="56" r="AG17">
        <f t="shared" si="5"/>
        <v>€ 3 000,00</v>
      </c>
      <c t="str" s="56" r="AH17">
        <f t="shared" si="5"/>
        <v>€ 3 000,00</v>
      </c>
      <c t="str" s="56" r="AI17">
        <f t="shared" si="5"/>
        <v>€ 3 000,00</v>
      </c>
      <c t="str" s="56" r="AJ17">
        <f t="shared" si="5"/>
        <v>€ 3 000,00</v>
      </c>
      <c t="str" s="56" r="AK17">
        <f t="shared" si="5"/>
        <v>€ 3 000,00</v>
      </c>
      <c t="str" s="56" r="AL17">
        <f t="shared" si="5"/>
        <v>€ 3 000,00</v>
      </c>
      <c t="str" s="56" r="AM17">
        <f t="shared" si="5"/>
        <v>€ 3 000,00</v>
      </c>
      <c t="str" s="56" r="AN17">
        <f t="shared" si="5"/>
        <v>€ 3 000,00</v>
      </c>
      <c t="str" s="56" r="AO17">
        <f t="shared" si="5"/>
        <v>€ 4 500,00</v>
      </c>
      <c t="str" s="56" r="AP17">
        <f t="shared" si="5"/>
        <v>€ 4 500,00</v>
      </c>
      <c t="str" s="56" r="AQ17">
        <f t="shared" si="5"/>
        <v>€ 4 500,00</v>
      </c>
      <c t="str" s="56" r="AR17">
        <f t="shared" si="5"/>
        <v>€ 4 500,00</v>
      </c>
      <c t="str" s="56" r="AS17">
        <f t="shared" si="5"/>
        <v>€ 4 500,00</v>
      </c>
      <c t="str" s="56" r="AT17">
        <f t="shared" si="5"/>
        <v>€ 4 500,00</v>
      </c>
      <c t="str" s="56" r="AU17">
        <f t="shared" si="5"/>
        <v>€ 4 500,00</v>
      </c>
      <c t="str" s="56" r="AV17">
        <f t="shared" si="5"/>
        <v>€ 4 500,00</v>
      </c>
      <c t="str" s="56" r="AW17">
        <f t="shared" si="5"/>
        <v>€ 4 500,00</v>
      </c>
      <c t="str" s="56" r="AX17">
        <f t="shared" si="5"/>
        <v>€ 4 500,00</v>
      </c>
      <c t="str" s="56" r="AY17">
        <f t="shared" si="5"/>
        <v>€ 4 500,00</v>
      </c>
      <c t="str" s="56" r="AZ17">
        <f t="shared" si="5"/>
        <v>€ 4 500,00</v>
      </c>
      <c s="40" r="BA17"/>
      <c s="40" r="BB17"/>
      <c s="40" r="BC17"/>
      <c s="40" r="BD17"/>
    </row>
    <row customHeight="1" r="18" ht="15.75">
      <c t="s" s="16" r="A18">
        <v>272</v>
      </c>
      <c t="s" s="56" r="B18">
        <v>273</v>
      </c>
      <c s="40" r="C18"/>
      <c s="40" r="D18"/>
      <c s="132" r="E18">
        <v>5220.0</v>
      </c>
      <c s="132" r="F18">
        <v>5220.0</v>
      </c>
      <c s="132" r="G18">
        <v>5220.0</v>
      </c>
      <c s="132" r="H18">
        <v>6481.43</v>
      </c>
      <c s="132" r="I18">
        <v>5220.0</v>
      </c>
      <c s="132" r="J18">
        <v>5025.6</v>
      </c>
      <c s="56" r="K18">
        <v>5200.0</v>
      </c>
      <c s="56" r="L18">
        <v>6000.0</v>
      </c>
      <c s="56" r="M18">
        <v>6000.0</v>
      </c>
      <c s="56" r="N18">
        <v>6000.0</v>
      </c>
      <c s="56" r="O18">
        <v>6000.0</v>
      </c>
      <c s="56" r="P18">
        <v>6000.0</v>
      </c>
      <c s="56" r="Q18">
        <v>6000.0</v>
      </c>
      <c s="56" r="R18">
        <v>6000.0</v>
      </c>
      <c s="56" r="S18">
        <v>6000.0</v>
      </c>
      <c s="56" r="T18">
        <v>6000.0</v>
      </c>
      <c s="56" r="U18">
        <v>6000.0</v>
      </c>
      <c s="56" r="V18">
        <v>6000.0</v>
      </c>
      <c s="56" r="W18">
        <v>6000.0</v>
      </c>
      <c s="56" r="X18">
        <v>6000.0</v>
      </c>
      <c s="56" r="Y18">
        <v>6000.0</v>
      </c>
      <c s="56" r="Z18">
        <v>6000.0</v>
      </c>
      <c s="56" r="AA18">
        <v>6000.0</v>
      </c>
      <c s="56" r="AB18">
        <v>6000.0</v>
      </c>
      <c s="56" r="AC18">
        <v>6000.0</v>
      </c>
      <c s="56" r="AD18">
        <v>6000.0</v>
      </c>
      <c s="56" r="AE18">
        <v>6000.0</v>
      </c>
      <c s="56" r="AF18">
        <v>6000.0</v>
      </c>
      <c s="56" r="AG18">
        <v>6000.0</v>
      </c>
      <c s="56" r="AH18">
        <v>6000.0</v>
      </c>
      <c s="56" r="AI18">
        <v>6000.0</v>
      </c>
      <c s="56" r="AJ18">
        <v>6000.0</v>
      </c>
      <c s="56" r="AK18">
        <v>6000.0</v>
      </c>
      <c s="56" r="AL18">
        <v>6000.0</v>
      </c>
      <c s="56" r="AM18">
        <v>6000.0</v>
      </c>
      <c s="56" r="AN18">
        <v>6000.0</v>
      </c>
      <c s="56" r="AO18">
        <v>6000.0</v>
      </c>
      <c s="56" r="AP18">
        <v>6000.0</v>
      </c>
      <c s="56" r="AQ18">
        <v>6000.0</v>
      </c>
      <c s="56" r="AR18">
        <v>6000.0</v>
      </c>
      <c s="56" r="AS18">
        <v>6000.0</v>
      </c>
      <c s="56" r="AT18">
        <v>6000.0</v>
      </c>
      <c s="56" r="AU18">
        <v>6000.0</v>
      </c>
      <c s="56" r="AV18">
        <v>6000.0</v>
      </c>
      <c s="56" r="AW18">
        <v>6000.0</v>
      </c>
      <c s="56" r="AX18">
        <v>6000.0</v>
      </c>
      <c s="56" r="AY18">
        <v>6000.0</v>
      </c>
      <c s="56" r="AZ18">
        <v>6000.0</v>
      </c>
      <c s="40" r="BA18"/>
      <c s="40" r="BB18"/>
      <c s="40" r="BC18"/>
      <c s="40" r="BD18"/>
    </row>
    <row customHeight="1" r="19" ht="15.75">
      <c t="s" s="134" r="A19">
        <v>274</v>
      </c>
      <c t="s" s="134" r="B19">
        <v>275</v>
      </c>
      <c s="40" r="C19"/>
      <c s="40" r="D19"/>
      <c s="132" r="E19"/>
      <c s="132" r="F19"/>
      <c s="132" r="G19"/>
      <c s="132" r="H19"/>
      <c s="132" r="I19"/>
      <c t="str" s="132" r="J19">
        <f>7680+28368</f>
        <v>€ 36 048,00</v>
      </c>
      <c s="56" r="K19"/>
      <c s="56" r="L19"/>
      <c s="56" r="M19"/>
      <c s="56" r="N19"/>
      <c s="56" r="O19"/>
      <c s="56" r="P19"/>
      <c s="56" r="Q19"/>
      <c s="56" r="R19"/>
      <c s="56" r="S19"/>
      <c s="56" r="T19"/>
      <c s="56" r="U19"/>
      <c s="56" r="V19"/>
      <c s="56" r="W19"/>
      <c s="56" r="X19"/>
      <c s="56" r="Y19"/>
      <c s="56" r="Z19"/>
      <c s="56" r="AA19"/>
      <c s="56" r="AB19"/>
      <c s="56" r="AC19"/>
      <c s="56" r="AD19"/>
      <c s="56" r="AE19"/>
      <c s="56" r="AF19"/>
      <c s="56" r="AG19"/>
      <c s="56" r="AH19"/>
      <c s="56" r="AI19"/>
      <c s="56" r="AJ19"/>
      <c s="56" r="AK19"/>
      <c s="56" r="AL19"/>
      <c s="56" r="AM19"/>
      <c s="56" r="AN19"/>
      <c s="56" r="AO19"/>
      <c s="56" r="AP19"/>
      <c s="56" r="AQ19"/>
      <c s="56" r="AR19"/>
      <c s="56" r="AS19"/>
      <c s="56" r="AT19"/>
      <c s="56" r="AU19"/>
      <c s="56" r="AV19"/>
      <c s="56" r="AW19"/>
      <c s="56" r="AX19"/>
      <c s="56" r="AY19"/>
      <c s="56" r="AZ19"/>
      <c s="40" r="BA19"/>
      <c s="40" r="BB19"/>
      <c s="40" r="BC19"/>
      <c s="40" r="BD19"/>
    </row>
    <row customHeight="1" r="20" ht="15.75">
      <c t="s" s="16" r="A20">
        <v>276</v>
      </c>
      <c t="s" s="56" r="B20">
        <v>277</v>
      </c>
      <c s="40" r="C20"/>
      <c s="40" r="D20"/>
      <c s="132" r="E20"/>
      <c s="132" r="F20"/>
      <c s="132" r="G20"/>
      <c s="132" r="H20"/>
      <c s="132" r="I20"/>
      <c s="132" r="J20">
        <v>4248.0</v>
      </c>
      <c s="56" r="K20">
        <v>5000.0</v>
      </c>
      <c s="56" r="L20">
        <v>4000.0</v>
      </c>
      <c s="56" r="M20"/>
      <c s="56" r="N20"/>
      <c s="56" r="O20"/>
      <c s="56" r="P20"/>
      <c s="56" r="Q20"/>
      <c s="56" r="R20"/>
      <c s="56" r="S20"/>
      <c s="56" r="T20"/>
      <c s="56" r="U20"/>
      <c s="56" r="V20"/>
      <c s="56" r="W20">
        <v>5000.0</v>
      </c>
      <c s="56" r="X20"/>
      <c s="56" r="Y20"/>
      <c s="56" r="Z20"/>
      <c s="56" r="AA20"/>
      <c s="56" r="AB20"/>
      <c s="56" r="AC20"/>
      <c s="56" r="AD20"/>
      <c s="56" r="AE20"/>
      <c s="56" r="AF20"/>
      <c s="56" r="AG20"/>
      <c s="56" r="AH20"/>
      <c s="56" r="AI20">
        <v>5000.0</v>
      </c>
      <c s="56" r="AJ20"/>
      <c s="56" r="AK20"/>
      <c s="56" r="AL20"/>
      <c s="56" r="AM20"/>
      <c s="56" r="AN20"/>
      <c s="56" r="AO20"/>
      <c s="56" r="AP20"/>
      <c s="56" r="AQ20"/>
      <c s="56" r="AR20"/>
      <c s="56" r="AS20"/>
      <c s="56" r="AT20"/>
      <c s="56" r="AU20"/>
      <c s="56" r="AV20"/>
      <c s="56" r="AW20"/>
      <c s="56" r="AX20"/>
      <c s="56" r="AY20">
        <v>5000.0</v>
      </c>
      <c s="56" r="AZ20"/>
      <c s="40" r="BA20"/>
      <c s="40" r="BB20"/>
      <c s="40" r="BC20"/>
      <c s="40" r="BD20"/>
    </row>
    <row customHeight="1" r="21" ht="15.75">
      <c s="56" r="B21"/>
      <c s="40" r="C21"/>
      <c s="40" r="D21"/>
      <c s="132" r="E21"/>
      <c s="132" r="F21"/>
      <c s="132" r="G21"/>
      <c s="132" r="H21"/>
      <c s="132" r="I21"/>
      <c s="132" r="J21"/>
      <c s="56" r="K21"/>
      <c s="56" r="L21"/>
      <c s="56" r="M21"/>
      <c s="56" r="N21"/>
      <c s="56" r="O21"/>
      <c s="56" r="P21"/>
      <c s="56" r="Q21"/>
      <c s="56" r="R21"/>
      <c s="56" r="S21"/>
      <c s="56" r="T21"/>
      <c s="56" r="U21"/>
      <c s="56" r="V21"/>
      <c s="56" r="W21"/>
      <c s="56" r="X21"/>
      <c s="56" r="Y21"/>
      <c s="56" r="Z21"/>
      <c s="56" r="AA21"/>
      <c s="56" r="AB21"/>
      <c s="56" r="AC21"/>
      <c s="56" r="AD21"/>
      <c s="56" r="AE21"/>
      <c s="56" r="AF21"/>
      <c s="56" r="AG21"/>
      <c s="56" r="AH21"/>
      <c s="56" r="AI21"/>
      <c s="56" r="AJ21"/>
      <c s="56" r="AK21"/>
      <c s="56" r="AL21"/>
      <c s="56" r="AM21"/>
      <c s="56" r="AN21"/>
      <c s="56" r="AO21"/>
      <c s="56" r="AP21"/>
      <c s="56" r="AQ21"/>
      <c s="56" r="AR21"/>
      <c s="56" r="AS21"/>
      <c s="56" r="AT21"/>
      <c s="56" r="AU21"/>
      <c s="56" r="AV21"/>
      <c s="56" r="AW21"/>
      <c s="56" r="AX21"/>
      <c s="56" r="AY21"/>
      <c s="56" r="AZ21"/>
      <c s="40" r="BA21"/>
      <c s="40" r="BB21"/>
      <c s="40" r="BC21"/>
      <c s="40" r="BD21"/>
    </row>
    <row customHeight="1" r="22" ht="15.75">
      <c t="s" s="135" r="A22">
        <v>278</v>
      </c>
      <c s="136" r="B22"/>
      <c s="137" r="C22"/>
      <c s="137" r="D22"/>
      <c t="str" s="138" r="E22">
        <f ref="E22:AZ22" t="shared" si="6">SUM(E3:E20)</f>
        <v>€ 14 660,07</v>
      </c>
      <c t="str" s="138" r="F22">
        <f t="shared" si="6"/>
        <v>€ 7 159,18</v>
      </c>
      <c t="str" s="138" r="G22">
        <f t="shared" si="6"/>
        <v>€ 11 739,34</v>
      </c>
      <c t="str" s="138" r="H22">
        <f t="shared" si="6"/>
        <v>€ 9 203,63</v>
      </c>
      <c t="str" s="138" r="I22">
        <f t="shared" si="6"/>
        <v>€ 6 150,92</v>
      </c>
      <c t="str" s="138" r="J22">
        <f t="shared" si="6"/>
        <v>€ 47 085,28</v>
      </c>
      <c t="str" s="138" r="K22">
        <f t="shared" si="6"/>
        <v>€ 20 393,30</v>
      </c>
      <c t="str" s="138" r="L22">
        <f t="shared" si="6"/>
        <v>€ 11 495,00</v>
      </c>
      <c t="str" s="138" r="M22">
        <f t="shared" si="6"/>
        <v>€ 20 554,87</v>
      </c>
      <c t="str" s="138" r="N22">
        <f t="shared" si="6"/>
        <v>€ 24 654,87</v>
      </c>
      <c t="str" s="138" r="O22">
        <f t="shared" si="6"/>
        <v>€ 24 102,01</v>
      </c>
      <c t="str" s="138" r="P22">
        <f t="shared" si="6"/>
        <v>€ 33 933,59</v>
      </c>
      <c t="str" s="138" r="Q22">
        <f t="shared" si="6"/>
        <v>€ 26 521,84</v>
      </c>
      <c t="str" s="138" r="R22">
        <f t="shared" si="6"/>
        <v>€ 30 195,45</v>
      </c>
      <c t="str" s="138" r="S22">
        <f t="shared" si="6"/>
        <v>€ 33 985,45</v>
      </c>
      <c t="str" s="138" r="T22">
        <f t="shared" si="6"/>
        <v>€ 37 829,89</v>
      </c>
      <c t="str" s="138" r="U22">
        <f t="shared" si="6"/>
        <v>€ 37 663,82</v>
      </c>
      <c t="str" s="138" r="V22">
        <f t="shared" si="6"/>
        <v>€ 42 663,82</v>
      </c>
      <c t="str" s="138" r="W22">
        <f t="shared" si="6"/>
        <v>€ 48 792,04</v>
      </c>
      <c t="str" s="138" r="X22">
        <f t="shared" si="6"/>
        <v>€ 37 809,16</v>
      </c>
      <c t="str" s="138" r="Y22">
        <f t="shared" si="6"/>
        <v>€ 42 531,82</v>
      </c>
      <c t="str" s="138" r="Z22">
        <f t="shared" si="6"/>
        <v>€ 50 678,35</v>
      </c>
      <c t="str" s="138" r="AA22">
        <f t="shared" si="6"/>
        <v>€ 42 677,16</v>
      </c>
      <c t="str" s="138" r="AB22">
        <f t="shared" si="6"/>
        <v>€ 55 048,57</v>
      </c>
      <c t="str" s="138" r="AC22">
        <f t="shared" si="6"/>
        <v>€ 83 230,60</v>
      </c>
      <c t="str" s="138" r="AD22">
        <f t="shared" si="6"/>
        <v>€ 92 743,11</v>
      </c>
      <c t="str" s="138" r="AE22">
        <f t="shared" si="6"/>
        <v>€ 96 005,11</v>
      </c>
      <c t="str" s="138" r="AF22">
        <f t="shared" si="6"/>
        <v>€ 99 150,44</v>
      </c>
      <c t="str" s="138" r="AG22">
        <f t="shared" si="6"/>
        <v>€ 94 295,78</v>
      </c>
      <c t="str" s="138" r="AH22">
        <f t="shared" si="6"/>
        <v>€ 94 441,11</v>
      </c>
      <c t="str" s="138" r="AI22">
        <f t="shared" si="6"/>
        <v>€ 99 586,44</v>
      </c>
      <c t="str" s="138" r="AJ22">
        <f t="shared" si="6"/>
        <v>€ 94 731,78</v>
      </c>
      <c t="str" s="138" r="AK22">
        <f t="shared" si="6"/>
        <v>€ 94 877,11</v>
      </c>
      <c t="str" s="138" r="AL22">
        <f t="shared" si="6"/>
        <v>€ 95 022,44</v>
      </c>
      <c t="str" s="138" r="AM22">
        <f t="shared" si="6"/>
        <v>€ 95 167,78</v>
      </c>
      <c t="str" s="138" r="AN22">
        <f t="shared" si="6"/>
        <v>€ 97 813,11</v>
      </c>
      <c t="str" s="138" r="AO22">
        <f t="shared" si="6"/>
        <v>€ 116 328,52</v>
      </c>
      <c t="str" s="138" r="AP22">
        <f t="shared" si="6"/>
        <v>€ 122 266,52</v>
      </c>
      <c t="str" s="138" r="AQ22">
        <f t="shared" si="6"/>
        <v>€ 119 784,52</v>
      </c>
      <c t="str" s="138" r="AR22">
        <f t="shared" si="6"/>
        <v>€ 117 702,52</v>
      </c>
      <c t="str" s="138" r="AS22">
        <f t="shared" si="6"/>
        <v>€ 117 220,52</v>
      </c>
      <c t="str" s="138" r="AT22">
        <f t="shared" si="6"/>
        <v>€ 117 438,52</v>
      </c>
      <c t="str" s="138" r="AU22">
        <f t="shared" si="6"/>
        <v>€ 117 656,52</v>
      </c>
      <c t="str" s="138" r="AV22">
        <f t="shared" si="6"/>
        <v>€ 117 874,52</v>
      </c>
      <c t="str" s="138" r="AW22">
        <f t="shared" si="6"/>
        <v>€ 118 092,52</v>
      </c>
      <c t="str" s="138" r="AX22">
        <f t="shared" si="6"/>
        <v>€ 118 310,52</v>
      </c>
      <c t="str" s="138" r="AY22">
        <f t="shared" si="6"/>
        <v>€ 123 528,52</v>
      </c>
      <c t="str" s="138" r="AZ22">
        <f t="shared" si="6"/>
        <v>€ 126 546,52</v>
      </c>
      <c t="str" s="137" r="BA22">
        <f>SUM(AO22:AZ22)*1.02</f>
        <v>€ 1 461 405,26</v>
      </c>
      <c s="137" r="BB22"/>
      <c s="137" r="BC22"/>
      <c s="137" r="BD22"/>
    </row>
    <row customHeight="1" r="23" ht="15.75">
      <c s="40" r="A23"/>
      <c s="40" r="B23"/>
      <c s="40" r="C23"/>
      <c s="40" r="D23"/>
      <c s="139" r="E23"/>
      <c s="139" r="F23"/>
      <c s="139" r="G23"/>
      <c s="139" r="H23"/>
      <c s="139" r="I23"/>
      <c s="139" r="J23"/>
      <c s="40" r="K23"/>
      <c s="40" r="L23"/>
      <c s="40" r="M23"/>
      <c s="40" r="N23"/>
      <c s="40" r="O23"/>
      <c s="40" r="P23"/>
      <c s="40" r="Q23"/>
      <c s="40" r="R23"/>
      <c s="40" r="S23"/>
      <c s="40" r="T23"/>
      <c s="40" r="U23"/>
      <c s="40" r="V23"/>
      <c s="40" r="W23"/>
      <c s="40" r="X23"/>
      <c s="40" r="Y23"/>
      <c s="40" r="Z23"/>
      <c s="40" r="AA23"/>
      <c s="40" r="AB23"/>
      <c s="40" r="AC23"/>
      <c s="40" r="AD23"/>
      <c s="40" r="AE23"/>
      <c s="40" r="AF23"/>
      <c s="40" r="AG23"/>
      <c s="40" r="AH23"/>
      <c s="40" r="AI23"/>
      <c s="40" r="AJ23"/>
      <c s="40" r="AK23"/>
      <c s="40" r="AL23"/>
      <c s="40" r="AM23"/>
      <c s="40" r="AN23"/>
      <c s="40" r="AO23"/>
      <c s="40" r="AP23"/>
      <c s="40" r="AQ23"/>
      <c s="40" r="AR23"/>
      <c s="40" r="AS23"/>
      <c s="40" r="AT23"/>
      <c s="40" r="AU23"/>
      <c s="40" r="AV23"/>
      <c s="40" r="AW23"/>
      <c s="40" r="AX23"/>
      <c s="40" r="AY23"/>
      <c s="40" r="AZ23"/>
      <c s="40" r="BA23"/>
      <c s="40" r="BB23"/>
      <c s="40" r="BC23"/>
      <c s="40" r="BD23"/>
    </row>
    <row customHeight="1" r="24" ht="12.75">
      <c t="s" s="140" r="A24">
        <v>279</v>
      </c>
      <c s="141" r="B24"/>
      <c s="142" r="C24"/>
      <c s="142" r="D24"/>
      <c s="143" r="E24"/>
      <c s="143" r="F24"/>
      <c s="143" r="G24"/>
      <c s="143" r="H24"/>
      <c s="143" r="I24"/>
      <c s="143" r="J24"/>
      <c s="142" r="K24"/>
      <c s="142" r="L24"/>
      <c s="142" r="M24"/>
      <c s="142" r="N24"/>
      <c s="142" r="O24"/>
      <c s="142" r="P24"/>
      <c s="142" r="Q24"/>
      <c s="142" r="R24"/>
      <c s="142" r="S24"/>
      <c s="142" r="T24"/>
      <c s="142" r="U24"/>
      <c s="142" r="V24"/>
      <c s="142" r="W24"/>
      <c s="142" r="X24"/>
      <c s="142" r="Y24"/>
      <c s="142" r="Z24"/>
      <c s="142" r="AA24"/>
      <c s="142" r="AB24"/>
      <c s="142" r="AC24"/>
      <c s="142" r="AD24"/>
      <c s="142" r="AE24"/>
      <c s="142" r="AF24"/>
      <c s="142" r="AG24"/>
      <c s="142" r="AH24"/>
      <c s="142" r="AI24"/>
      <c s="142" r="AJ24"/>
      <c s="142" r="AK24"/>
      <c s="142" r="AL24"/>
      <c s="142" r="AM24"/>
      <c s="142" r="AN24"/>
      <c s="142" r="AO24"/>
      <c s="142" r="AP24"/>
      <c s="142" r="AQ24"/>
      <c s="142" r="AR24"/>
      <c s="142" r="AS24"/>
      <c s="142" r="AT24"/>
      <c s="142" r="AU24"/>
      <c s="142" r="AV24"/>
      <c s="142" r="AW24"/>
      <c s="142" r="AX24"/>
      <c s="142" r="AY24"/>
      <c s="142" r="AZ24"/>
      <c s="142" r="BA24"/>
      <c s="142" r="BB24"/>
      <c s="142" r="BC24"/>
      <c s="142" r="BD24"/>
    </row>
    <row customHeight="1" r="25" ht="15.75">
      <c t="s" s="31" r="A25">
        <v>280</v>
      </c>
      <c t="s" s="31" r="B25">
        <v>281</v>
      </c>
      <c s="25" r="C25">
        <v>5500.0</v>
      </c>
      <c s="57" r="D25">
        <v>0.0</v>
      </c>
      <c s="144" r="E25"/>
      <c s="145" r="F25"/>
      <c s="145" r="G25"/>
      <c s="145" r="H25"/>
      <c s="145" r="I25"/>
      <c s="145" r="J25"/>
      <c s="57" r="K25"/>
      <c s="57" r="L25"/>
      <c s="57" r="M25"/>
      <c s="57" r="N25"/>
      <c s="57" r="O25"/>
      <c s="57" r="P25"/>
      <c s="57" r="Q25">
        <v>0.0</v>
      </c>
      <c s="57" r="R25">
        <v>0.0</v>
      </c>
      <c s="57" r="S25">
        <v>0.0</v>
      </c>
      <c s="57" r="T25">
        <v>0.0</v>
      </c>
      <c s="57" r="U25">
        <v>0.0</v>
      </c>
      <c s="57" r="V25">
        <v>0.0</v>
      </c>
      <c s="57" r="W25">
        <v>0.0</v>
      </c>
      <c s="57" r="X25">
        <v>0.0</v>
      </c>
      <c s="57" r="Y25">
        <v>0.0</v>
      </c>
      <c s="57" r="Z25">
        <v>0.0</v>
      </c>
      <c s="57" r="AA25">
        <v>0.0</v>
      </c>
      <c s="57" r="AB25">
        <v>0.0</v>
      </c>
      <c s="57" r="AC25">
        <v>1.0</v>
      </c>
      <c s="57" r="AD25">
        <v>1.0</v>
      </c>
      <c s="57" r="AE25">
        <v>1.0</v>
      </c>
      <c s="57" r="AF25">
        <v>1.0</v>
      </c>
      <c s="57" r="AG25">
        <v>1.0</v>
      </c>
      <c s="57" r="AH25">
        <v>1.0</v>
      </c>
      <c s="57" r="AI25">
        <v>1.0</v>
      </c>
      <c s="57" r="AJ25">
        <v>1.0</v>
      </c>
      <c s="57" r="AK25">
        <v>1.0</v>
      </c>
      <c s="57" r="AL25">
        <v>1.0</v>
      </c>
      <c s="57" r="AM25">
        <v>1.0</v>
      </c>
      <c s="57" r="AN25">
        <v>1.0</v>
      </c>
      <c s="57" r="AO25">
        <v>1.0</v>
      </c>
      <c s="57" r="AP25">
        <v>1.0</v>
      </c>
      <c s="57" r="AQ25">
        <v>1.0</v>
      </c>
      <c s="57" r="AR25">
        <v>1.0</v>
      </c>
      <c s="57" r="AS25">
        <v>1.0</v>
      </c>
      <c s="57" r="AT25">
        <v>1.0</v>
      </c>
      <c s="57" r="AU25">
        <v>1.0</v>
      </c>
      <c s="57" r="AV25">
        <v>1.0</v>
      </c>
      <c s="57" r="AW25">
        <v>1.0</v>
      </c>
      <c s="57" r="AX25">
        <v>1.0</v>
      </c>
      <c s="57" r="AY25">
        <v>1.0</v>
      </c>
      <c s="57" r="AZ25">
        <v>1.0</v>
      </c>
      <c s="31" r="BA25"/>
      <c s="31" r="BB25"/>
      <c s="31" r="BC25"/>
      <c s="31" r="BD25"/>
    </row>
    <row customHeight="1" r="26" ht="15.75">
      <c t="s" s="31" r="A26">
        <v>282</v>
      </c>
      <c t="s" s="31" r="B26">
        <v>283</v>
      </c>
      <c s="25" r="C26">
        <v>1800.0</v>
      </c>
      <c s="146" r="D26"/>
      <c s="145" r="E26"/>
      <c s="145" r="F26"/>
      <c s="145" r="G26"/>
      <c s="145" r="H26"/>
      <c s="145" r="I26"/>
      <c s="145" r="J26"/>
      <c s="57" r="K26"/>
      <c s="57" r="L26"/>
      <c s="57" r="M26"/>
      <c s="57" r="N26"/>
      <c s="57" r="O26"/>
      <c s="57" r="P26"/>
      <c s="57" r="Q26">
        <v>0.0</v>
      </c>
      <c s="57" r="R26">
        <v>1.0</v>
      </c>
      <c s="57" r="S26">
        <v>2.0</v>
      </c>
      <c s="57" r="T26">
        <v>2.0</v>
      </c>
      <c s="57" r="U26">
        <v>2.0</v>
      </c>
      <c s="57" r="V26">
        <v>2.0</v>
      </c>
      <c s="57" r="W26">
        <v>2.0</v>
      </c>
      <c s="57" r="X26">
        <v>2.0</v>
      </c>
      <c s="57" r="Y26">
        <v>2.0</v>
      </c>
      <c s="57" r="Z26">
        <v>2.0</v>
      </c>
      <c s="57" r="AA26">
        <v>2.0</v>
      </c>
      <c s="57" r="AB26">
        <v>2.0</v>
      </c>
      <c s="57" r="AC26">
        <v>3.0</v>
      </c>
      <c s="57" r="AD26">
        <v>4.0</v>
      </c>
      <c s="57" r="AE26">
        <v>4.0</v>
      </c>
      <c s="57" r="AF26">
        <v>4.0</v>
      </c>
      <c s="57" r="AG26">
        <v>4.0</v>
      </c>
      <c s="57" r="AH26">
        <v>4.0</v>
      </c>
      <c s="57" r="AI26">
        <v>4.0</v>
      </c>
      <c s="57" r="AJ26">
        <v>4.0</v>
      </c>
      <c s="57" r="AK26">
        <v>4.0</v>
      </c>
      <c s="57" r="AL26">
        <v>4.0</v>
      </c>
      <c s="57" r="AM26">
        <v>4.0</v>
      </c>
      <c s="57" r="AN26">
        <v>4.0</v>
      </c>
      <c s="57" r="AO26">
        <v>4.0</v>
      </c>
      <c s="57" r="AP26">
        <v>4.0</v>
      </c>
      <c s="57" r="AQ26">
        <v>4.0</v>
      </c>
      <c s="57" r="AR26">
        <v>4.0</v>
      </c>
      <c s="57" r="AS26">
        <v>4.0</v>
      </c>
      <c s="57" r="AT26">
        <v>4.0</v>
      </c>
      <c s="57" r="AU26">
        <v>4.0</v>
      </c>
      <c s="57" r="AV26">
        <v>4.0</v>
      </c>
      <c s="57" r="AW26">
        <v>4.0</v>
      </c>
      <c s="57" r="AX26">
        <v>4.0</v>
      </c>
      <c s="57" r="AY26">
        <v>4.0</v>
      </c>
      <c s="57" r="AZ26">
        <v>4.0</v>
      </c>
      <c s="31" r="BA26"/>
      <c s="31" r="BB26"/>
      <c s="31" r="BC26"/>
      <c s="31" r="BD26"/>
    </row>
    <row customHeight="1" r="27" ht="15.75">
      <c t="s" s="31" r="A27">
        <v>284</v>
      </c>
      <c t="s" s="31" r="B27">
        <v>285</v>
      </c>
      <c t="str" s="25" r="C27">
        <f>52000/12</f>
        <v>€ 4 333,33</v>
      </c>
      <c s="146" r="D27"/>
      <c s="145" r="E27"/>
      <c s="145" r="F27"/>
      <c s="145" r="G27"/>
      <c s="145" r="H27"/>
      <c s="145" r="I27"/>
      <c s="145" r="J27"/>
      <c s="57" r="K27">
        <v>0.7</v>
      </c>
      <c s="57" r="L27">
        <v>0.0</v>
      </c>
      <c s="57" r="M27">
        <v>1.0</v>
      </c>
      <c s="57" r="N27">
        <v>1.0</v>
      </c>
      <c s="57" r="O27">
        <v>1.0</v>
      </c>
      <c s="57" r="P27">
        <v>1.0</v>
      </c>
      <c s="57" r="Q27">
        <v>1.0</v>
      </c>
      <c s="57" r="R27">
        <v>1.0</v>
      </c>
      <c s="57" r="S27">
        <v>1.0</v>
      </c>
      <c s="57" r="T27">
        <v>1.0</v>
      </c>
      <c s="57" r="U27">
        <v>1.0</v>
      </c>
      <c s="57" r="V27">
        <v>1.0</v>
      </c>
      <c s="57" r="W27">
        <v>1.0</v>
      </c>
      <c s="57" r="X27">
        <v>1.0</v>
      </c>
      <c s="57" r="Y27">
        <v>1.0</v>
      </c>
      <c s="57" r="Z27">
        <v>1.0</v>
      </c>
      <c s="57" r="AA27">
        <v>1.0</v>
      </c>
      <c s="57" r="AB27">
        <v>1.0</v>
      </c>
      <c s="57" r="AC27">
        <v>1.0</v>
      </c>
      <c s="57" r="AD27">
        <v>1.0</v>
      </c>
      <c s="57" r="AE27">
        <v>1.0</v>
      </c>
      <c s="57" r="AF27">
        <v>1.0</v>
      </c>
      <c s="57" r="AG27">
        <v>1.0</v>
      </c>
      <c s="57" r="AH27">
        <v>1.0</v>
      </c>
      <c s="57" r="AI27">
        <v>1.0</v>
      </c>
      <c s="57" r="AJ27">
        <v>1.0</v>
      </c>
      <c s="57" r="AK27">
        <v>1.0</v>
      </c>
      <c s="57" r="AL27">
        <v>1.0</v>
      </c>
      <c s="57" r="AM27">
        <v>1.0</v>
      </c>
      <c s="57" r="AN27">
        <v>1.0</v>
      </c>
      <c s="57" r="AO27">
        <v>1.0</v>
      </c>
      <c s="57" r="AP27">
        <v>1.0</v>
      </c>
      <c s="57" r="AQ27">
        <v>1.0</v>
      </c>
      <c s="57" r="AR27">
        <v>1.0</v>
      </c>
      <c s="57" r="AS27">
        <v>1.0</v>
      </c>
      <c s="57" r="AT27">
        <v>1.0</v>
      </c>
      <c s="57" r="AU27">
        <v>1.0</v>
      </c>
      <c s="57" r="AV27">
        <v>1.0</v>
      </c>
      <c s="57" r="AW27">
        <v>1.0</v>
      </c>
      <c s="57" r="AX27">
        <v>1.0</v>
      </c>
      <c s="57" r="AY27">
        <v>1.0</v>
      </c>
      <c s="57" r="AZ27">
        <v>1.0</v>
      </c>
      <c s="31" r="BA27"/>
      <c s="31" r="BB27"/>
      <c s="31" r="BC27"/>
      <c s="31" r="BD27"/>
    </row>
    <row customHeight="1" r="28" ht="15.75">
      <c t="s" s="31" r="A28">
        <v>286</v>
      </c>
      <c t="s" s="25" r="B28">
        <v>287</v>
      </c>
      <c s="25" r="C28">
        <v>2544.0</v>
      </c>
      <c s="146" r="D28"/>
      <c s="145" r="E28"/>
      <c s="145" r="F28"/>
      <c s="145" r="G28"/>
      <c s="145" r="H28"/>
      <c s="145" r="I28"/>
      <c s="145" r="J28"/>
      <c s="57" r="K28">
        <v>0.7</v>
      </c>
      <c s="57" r="L28">
        <v>0.0</v>
      </c>
      <c s="57" r="M28">
        <v>1.0</v>
      </c>
      <c s="57" r="N28">
        <v>1.0</v>
      </c>
      <c s="57" r="O28">
        <v>1.0</v>
      </c>
      <c s="57" r="P28">
        <v>1.0</v>
      </c>
      <c s="57" r="Q28">
        <v>1.0</v>
      </c>
      <c s="57" r="R28">
        <v>1.0</v>
      </c>
      <c s="57" r="S28">
        <v>1.0</v>
      </c>
      <c s="57" r="T28">
        <v>1.0</v>
      </c>
      <c s="57" r="U28">
        <v>1.0</v>
      </c>
      <c s="57" r="V28">
        <v>1.0</v>
      </c>
      <c s="57" r="W28">
        <v>1.0</v>
      </c>
      <c s="57" r="X28">
        <v>1.0</v>
      </c>
      <c s="57" r="Y28">
        <v>1.0</v>
      </c>
      <c s="57" r="Z28">
        <v>1.0</v>
      </c>
      <c s="57" r="AA28">
        <v>1.0</v>
      </c>
      <c s="57" r="AB28">
        <v>2.0</v>
      </c>
      <c s="57" r="AC28">
        <v>2.0</v>
      </c>
      <c s="57" r="AD28">
        <v>2.0</v>
      </c>
      <c s="57" r="AE28">
        <v>2.0</v>
      </c>
      <c s="57" r="AF28">
        <v>2.0</v>
      </c>
      <c s="57" r="AG28">
        <v>2.0</v>
      </c>
      <c s="57" r="AH28">
        <v>2.0</v>
      </c>
      <c s="57" r="AI28">
        <v>2.0</v>
      </c>
      <c s="57" r="AJ28">
        <v>2.0</v>
      </c>
      <c s="57" r="AK28">
        <v>2.0</v>
      </c>
      <c s="57" r="AL28">
        <v>2.0</v>
      </c>
      <c s="57" r="AM28">
        <v>2.0</v>
      </c>
      <c s="57" r="AN28">
        <v>2.0</v>
      </c>
      <c s="57" r="AO28">
        <v>3.0</v>
      </c>
      <c s="57" r="AP28">
        <v>3.0</v>
      </c>
      <c s="57" r="AQ28">
        <v>3.0</v>
      </c>
      <c s="57" r="AR28">
        <v>3.0</v>
      </c>
      <c s="57" r="AS28">
        <v>3.0</v>
      </c>
      <c s="57" r="AT28">
        <v>3.0</v>
      </c>
      <c s="57" r="AU28">
        <v>3.0</v>
      </c>
      <c s="57" r="AV28">
        <v>3.0</v>
      </c>
      <c s="57" r="AW28">
        <v>3.0</v>
      </c>
      <c s="57" r="AX28">
        <v>3.0</v>
      </c>
      <c s="57" r="AY28">
        <v>3.0</v>
      </c>
      <c s="57" r="AZ28">
        <v>3.0</v>
      </c>
      <c s="31" r="BA28"/>
      <c s="31" r="BB28"/>
      <c s="31" r="BC28"/>
      <c s="31" r="BD28"/>
    </row>
    <row customHeight="1" r="29" ht="15.75">
      <c t="s" s="31" r="A29">
        <v>288</v>
      </c>
      <c t="s" s="25" r="B29">
        <v>289</v>
      </c>
      <c s="25" r="C29">
        <v>1133.0</v>
      </c>
      <c s="57" r="D29">
        <v>0.0</v>
      </c>
      <c s="144" r="E29"/>
      <c s="145" r="F29"/>
      <c s="145" r="G29"/>
      <c s="145" r="H29"/>
      <c s="145" r="I29"/>
      <c s="145" r="J29"/>
      <c s="57" r="K29"/>
      <c s="57" r="L29"/>
      <c s="57" r="M29"/>
      <c s="57" r="N29"/>
      <c s="57" r="O29"/>
      <c s="57" r="P29"/>
      <c s="57" r="Q29"/>
      <c s="57" r="R29">
        <v>1.0</v>
      </c>
      <c s="57" r="S29">
        <v>1.0</v>
      </c>
      <c s="57" r="T29">
        <v>1.0</v>
      </c>
      <c s="57" r="U29">
        <v>2.0</v>
      </c>
      <c s="57" r="V29">
        <v>2.0</v>
      </c>
      <c s="57" r="W29">
        <v>2.0</v>
      </c>
      <c s="57" r="X29">
        <v>2.0</v>
      </c>
      <c s="57" r="Y29">
        <v>2.0</v>
      </c>
      <c s="57" r="Z29">
        <v>2.0</v>
      </c>
      <c s="57" r="AA29">
        <v>2.0</v>
      </c>
      <c s="57" r="AB29">
        <v>2.0</v>
      </c>
      <c s="57" r="AC29">
        <v>4.0</v>
      </c>
      <c s="57" r="AD29">
        <v>5.0</v>
      </c>
      <c s="57" r="AE29">
        <v>5.0</v>
      </c>
      <c s="57" r="AF29">
        <v>5.0</v>
      </c>
      <c s="57" r="AG29">
        <v>5.0</v>
      </c>
      <c s="57" r="AH29">
        <v>5.0</v>
      </c>
      <c s="57" r="AI29">
        <v>5.0</v>
      </c>
      <c s="57" r="AJ29">
        <v>5.0</v>
      </c>
      <c s="57" r="AK29">
        <v>5.0</v>
      </c>
      <c s="57" r="AL29">
        <v>5.0</v>
      </c>
      <c s="57" r="AM29">
        <v>5.0</v>
      </c>
      <c s="57" r="AN29">
        <v>5.0</v>
      </c>
      <c s="57" r="AO29">
        <v>8.0</v>
      </c>
      <c s="57" r="AP29">
        <v>8.0</v>
      </c>
      <c s="57" r="AQ29">
        <v>8.0</v>
      </c>
      <c s="57" r="AR29">
        <v>8.0</v>
      </c>
      <c s="57" r="AS29">
        <v>8.0</v>
      </c>
      <c s="57" r="AT29">
        <v>8.0</v>
      </c>
      <c s="57" r="AU29">
        <v>8.0</v>
      </c>
      <c s="57" r="AV29">
        <v>8.0</v>
      </c>
      <c s="57" r="AW29">
        <v>8.0</v>
      </c>
      <c s="57" r="AX29">
        <v>8.0</v>
      </c>
      <c s="57" r="AY29">
        <v>8.0</v>
      </c>
      <c s="57" r="AZ29">
        <v>8.0</v>
      </c>
      <c s="31" r="BA29"/>
      <c s="31" r="BB29"/>
      <c s="31" r="BC29"/>
      <c s="31" r="BD29"/>
    </row>
    <row customHeight="1" r="30" ht="15.75">
      <c t="s" s="31" r="A30">
        <v>290</v>
      </c>
      <c t="s" s="25" r="B30">
        <v>291</v>
      </c>
      <c s="25" r="C30">
        <v>1500.0</v>
      </c>
      <c s="146" r="D30"/>
      <c s="145" r="E30"/>
      <c s="145" r="F30"/>
      <c s="145" r="G30"/>
      <c s="145" r="H30"/>
      <c s="145" r="I30"/>
      <c s="145" r="J30"/>
      <c s="57" r="K30"/>
      <c s="57" r="L30"/>
      <c s="57" r="M30"/>
      <c s="57" r="N30"/>
      <c s="57" r="O30"/>
      <c s="57" r="P30"/>
      <c s="57" r="Q30"/>
      <c s="57" r="R30"/>
      <c s="57" r="S30">
        <v>1.0</v>
      </c>
      <c s="57" r="T30">
        <v>1.0</v>
      </c>
      <c s="57" r="U30">
        <v>1.0</v>
      </c>
      <c s="57" r="V30">
        <v>1.0</v>
      </c>
      <c s="57" r="W30">
        <v>1.0</v>
      </c>
      <c s="57" r="X30">
        <v>1.0</v>
      </c>
      <c s="57" r="Y30">
        <v>1.0</v>
      </c>
      <c s="57" r="Z30">
        <v>1.0</v>
      </c>
      <c s="57" r="AA30">
        <v>1.0</v>
      </c>
      <c s="57" r="AB30">
        <v>1.0</v>
      </c>
      <c s="57" r="AC30">
        <v>2.0</v>
      </c>
      <c s="57" r="AD30">
        <v>2.0</v>
      </c>
      <c s="57" r="AE30">
        <v>2.0</v>
      </c>
      <c s="57" r="AF30">
        <v>2.0</v>
      </c>
      <c s="57" r="AG30">
        <v>2.0</v>
      </c>
      <c s="57" r="AH30">
        <v>2.0</v>
      </c>
      <c s="57" r="AI30">
        <v>2.0</v>
      </c>
      <c s="57" r="AJ30">
        <v>2.0</v>
      </c>
      <c s="57" r="AK30">
        <v>2.0</v>
      </c>
      <c s="57" r="AL30">
        <v>2.0</v>
      </c>
      <c s="57" r="AM30">
        <v>2.0</v>
      </c>
      <c s="57" r="AN30">
        <v>2.0</v>
      </c>
      <c s="57" r="AO30">
        <v>2.0</v>
      </c>
      <c s="57" r="AP30">
        <v>2.0</v>
      </c>
      <c s="57" r="AQ30">
        <v>2.0</v>
      </c>
      <c s="57" r="AR30">
        <v>2.0</v>
      </c>
      <c s="57" r="AS30">
        <v>2.0</v>
      </c>
      <c s="57" r="AT30">
        <v>2.0</v>
      </c>
      <c s="57" r="AU30">
        <v>2.0</v>
      </c>
      <c s="57" r="AV30">
        <v>2.0</v>
      </c>
      <c s="57" r="AW30">
        <v>2.0</v>
      </c>
      <c s="57" r="AX30">
        <v>2.0</v>
      </c>
      <c s="57" r="AY30">
        <v>2.0</v>
      </c>
      <c s="57" r="AZ30">
        <v>2.0</v>
      </c>
      <c s="31" r="BA30"/>
      <c s="31" r="BB30"/>
      <c s="31" r="BC30"/>
      <c s="31" r="BD30"/>
    </row>
    <row customHeight="1" r="31" ht="15.75">
      <c t="s" s="31" r="A31">
        <v>292</v>
      </c>
      <c t="s" s="31" r="B31">
        <v>293</v>
      </c>
      <c s="25" r="C31">
        <v>3000.0</v>
      </c>
      <c s="146" r="D31"/>
      <c s="144" r="E31"/>
      <c s="144" r="F31"/>
      <c s="144" r="G31"/>
      <c s="144" r="H31"/>
      <c s="144" r="I31"/>
      <c s="145" r="J31"/>
      <c s="57" r="K31"/>
      <c s="57" r="L31"/>
      <c s="57" r="M31"/>
      <c s="57" r="N31"/>
      <c s="57" r="O31"/>
      <c s="57" r="P31"/>
      <c s="57" r="Q31">
        <v>0.0</v>
      </c>
      <c s="57" r="R31">
        <v>0.0</v>
      </c>
      <c s="57" r="S31">
        <v>0.0</v>
      </c>
      <c s="57" r="T31">
        <v>0.0</v>
      </c>
      <c s="57" r="U31">
        <v>0.0</v>
      </c>
      <c s="57" r="V31">
        <v>0.0</v>
      </c>
      <c s="57" r="W31">
        <v>0.0</v>
      </c>
      <c s="57" r="X31">
        <v>0.0</v>
      </c>
      <c s="57" r="Y31">
        <v>1.0</v>
      </c>
      <c s="57" r="Z31">
        <v>1.0</v>
      </c>
      <c s="57" r="AA31">
        <v>1.0</v>
      </c>
      <c s="57" r="AB31">
        <v>1.0</v>
      </c>
      <c s="57" r="AC31">
        <v>1.0</v>
      </c>
      <c s="57" r="AD31">
        <v>1.0</v>
      </c>
      <c s="57" r="AE31">
        <v>1.0</v>
      </c>
      <c s="57" r="AF31">
        <v>1.0</v>
      </c>
      <c s="57" r="AG31">
        <v>1.0</v>
      </c>
      <c s="57" r="AH31">
        <v>1.0</v>
      </c>
      <c s="57" r="AI31">
        <v>1.0</v>
      </c>
      <c s="57" r="AJ31">
        <v>1.0</v>
      </c>
      <c s="57" r="AK31">
        <v>1.0</v>
      </c>
      <c s="57" r="AL31">
        <v>1.0</v>
      </c>
      <c s="57" r="AM31">
        <v>1.0</v>
      </c>
      <c s="57" r="AN31">
        <v>1.0</v>
      </c>
      <c s="57" r="AO31">
        <v>1.0</v>
      </c>
      <c s="57" r="AP31">
        <v>1.0</v>
      </c>
      <c s="57" r="AQ31">
        <v>1.0</v>
      </c>
      <c s="57" r="AR31">
        <v>1.0</v>
      </c>
      <c s="57" r="AS31">
        <v>1.0</v>
      </c>
      <c s="57" r="AT31">
        <v>1.0</v>
      </c>
      <c s="57" r="AU31">
        <v>1.0</v>
      </c>
      <c s="57" r="AV31">
        <v>1.0</v>
      </c>
      <c s="57" r="AW31">
        <v>1.0</v>
      </c>
      <c s="57" r="AX31">
        <v>1.0</v>
      </c>
      <c s="57" r="AY31">
        <v>1.0</v>
      </c>
      <c s="57" r="AZ31">
        <v>1.0</v>
      </c>
      <c s="31" r="BA31"/>
      <c s="31" r="BB31"/>
      <c s="31" r="BC31"/>
      <c s="31" r="BD31"/>
    </row>
    <row customHeight="1" r="32" ht="15.75">
      <c s="31" r="A32"/>
      <c t="s" s="31" r="B32">
        <v>294</v>
      </c>
      <c t="str" s="146" r="D32">
        <f ref="D32:AZ32" t="shared" si="7">SUM(D25:D31)</f>
        <v>0,</v>
      </c>
      <c t="str" s="144" r="E32">
        <f t="shared" si="7"/>
        <v>0,</v>
      </c>
      <c t="str" s="144" r="F32">
        <f t="shared" si="7"/>
        <v>0,</v>
      </c>
      <c t="str" s="144" r="G32">
        <f t="shared" si="7"/>
        <v>0,</v>
      </c>
      <c t="str" s="144" r="H32">
        <f t="shared" si="7"/>
        <v>0,</v>
      </c>
      <c t="str" s="144" r="I32">
        <f t="shared" si="7"/>
        <v>0,</v>
      </c>
      <c t="str" s="144" r="J32">
        <f t="shared" si="7"/>
        <v>0,</v>
      </c>
      <c t="str" s="146" r="K32">
        <f t="shared" si="7"/>
        <v>1,4</v>
      </c>
      <c t="str" s="146" r="L32">
        <f t="shared" si="7"/>
        <v>0,</v>
      </c>
      <c t="str" s="146" r="M32">
        <f t="shared" si="7"/>
        <v>2,</v>
      </c>
      <c t="str" s="146" r="N32">
        <f t="shared" si="7"/>
        <v>2,</v>
      </c>
      <c t="str" s="146" r="O32">
        <f t="shared" si="7"/>
        <v>2,</v>
      </c>
      <c t="str" s="146" r="P32">
        <f t="shared" si="7"/>
        <v>2,</v>
      </c>
      <c t="str" s="146" r="Q32">
        <f t="shared" si="7"/>
        <v>2,</v>
      </c>
      <c t="str" s="146" r="R32">
        <f t="shared" si="7"/>
        <v>4,</v>
      </c>
      <c t="str" s="146" r="S32">
        <f t="shared" si="7"/>
        <v>6,</v>
      </c>
      <c t="str" s="146" r="T32">
        <f t="shared" si="7"/>
        <v>6,</v>
      </c>
      <c t="str" s="146" r="U32">
        <f t="shared" si="7"/>
        <v>7,</v>
      </c>
      <c t="str" s="146" r="V32">
        <f t="shared" si="7"/>
        <v>7,</v>
      </c>
      <c t="str" s="146" r="W32">
        <f t="shared" si="7"/>
        <v>7,</v>
      </c>
      <c t="str" s="146" r="X32">
        <f t="shared" si="7"/>
        <v>7,</v>
      </c>
      <c t="str" s="146" r="Y32">
        <f t="shared" si="7"/>
        <v>8,</v>
      </c>
      <c t="str" s="146" r="Z32">
        <f t="shared" si="7"/>
        <v>8,</v>
      </c>
      <c t="str" s="146" r="AA32">
        <f t="shared" si="7"/>
        <v>8,</v>
      </c>
      <c t="str" s="146" r="AB32">
        <f t="shared" si="7"/>
        <v>9,</v>
      </c>
      <c t="str" s="146" r="AC32">
        <f t="shared" si="7"/>
        <v>14,</v>
      </c>
      <c t="str" s="146" r="AD32">
        <f t="shared" si="7"/>
        <v>16,</v>
      </c>
      <c t="str" s="146" r="AE32">
        <f t="shared" si="7"/>
        <v>16,</v>
      </c>
      <c t="str" s="146" r="AF32">
        <f t="shared" si="7"/>
        <v>16,</v>
      </c>
      <c t="str" s="146" r="AG32">
        <f t="shared" si="7"/>
        <v>16,</v>
      </c>
      <c t="str" s="146" r="AH32">
        <f t="shared" si="7"/>
        <v>16,</v>
      </c>
      <c t="str" s="146" r="AI32">
        <f t="shared" si="7"/>
        <v>16,</v>
      </c>
      <c t="str" s="146" r="AJ32">
        <f t="shared" si="7"/>
        <v>16,</v>
      </c>
      <c t="str" s="146" r="AK32">
        <f t="shared" si="7"/>
        <v>16,</v>
      </c>
      <c t="str" s="146" r="AL32">
        <f t="shared" si="7"/>
        <v>16,</v>
      </c>
      <c t="str" s="146" r="AM32">
        <f t="shared" si="7"/>
        <v>16,</v>
      </c>
      <c t="str" s="146" r="AN32">
        <f t="shared" si="7"/>
        <v>16,</v>
      </c>
      <c t="str" s="146" r="AO32">
        <f t="shared" si="7"/>
        <v>20,</v>
      </c>
      <c t="str" s="146" r="AP32">
        <f t="shared" si="7"/>
        <v>20,</v>
      </c>
      <c t="str" s="146" r="AQ32">
        <f t="shared" si="7"/>
        <v>20,</v>
      </c>
      <c t="str" s="146" r="AR32">
        <f t="shared" si="7"/>
        <v>20,</v>
      </c>
      <c t="str" s="146" r="AS32">
        <f t="shared" si="7"/>
        <v>20,</v>
      </c>
      <c t="str" s="146" r="AT32">
        <f t="shared" si="7"/>
        <v>20,</v>
      </c>
      <c t="str" s="146" r="AU32">
        <f t="shared" si="7"/>
        <v>20,</v>
      </c>
      <c t="str" s="146" r="AV32">
        <f t="shared" si="7"/>
        <v>20,</v>
      </c>
      <c t="str" s="146" r="AW32">
        <f t="shared" si="7"/>
        <v>20,</v>
      </c>
      <c t="str" s="146" r="AX32">
        <f t="shared" si="7"/>
        <v>20,</v>
      </c>
      <c t="str" s="146" r="AY32">
        <f t="shared" si="7"/>
        <v>20,</v>
      </c>
      <c t="str" s="146" r="AZ32">
        <f t="shared" si="7"/>
        <v>20,</v>
      </c>
    </row>
    <row customHeight="1" r="33" ht="15.75">
      <c t="s" s="31" r="A33">
        <v>295</v>
      </c>
      <c s="25" r="B33"/>
      <c s="25" r="C33"/>
      <c t="str" s="147" r="D33">
        <f>'Annuel Cumulé'!A1</f>
        <v/>
      </c>
      <c t="str" s="148" r="E33">
        <f>Mensuel!B7</f>
        <v>1</v>
      </c>
      <c t="str" s="148" r="F33">
        <f>Mensuel!C7</f>
        <v>0</v>
      </c>
      <c t="str" s="148" r="G33">
        <f>Mensuel!D7</f>
        <v>0</v>
      </c>
      <c t="str" s="148" r="H33">
        <f>Mensuel!E7</f>
        <v>0</v>
      </c>
      <c t="str" s="148" r="I33">
        <f>Mensuel!F7</f>
        <v>0</v>
      </c>
      <c t="str" s="148" r="J33">
        <f>Mensuel!G7</f>
        <v>0</v>
      </c>
      <c t="str" s="149" r="K33">
        <f>Mensuel!H7</f>
        <v>0</v>
      </c>
      <c t="str" s="149" r="L33">
        <f>Mensuel!I7</f>
        <v>0</v>
      </c>
      <c t="str" s="149" r="M33">
        <f>Mensuel!J7</f>
        <v>0</v>
      </c>
      <c t="str" s="149" r="N33">
        <f>Mensuel!K7</f>
        <v>0</v>
      </c>
      <c t="str" s="149" r="O33">
        <f>Mensuel!L7</f>
        <v>2</v>
      </c>
      <c t="str" s="149" r="P33">
        <f>Mensuel!M7</f>
        <v>3</v>
      </c>
      <c t="str" s="149" r="Q33">
        <f>Mensuel!N7-(Mensuel!N6/2)</f>
        <v>3</v>
      </c>
      <c t="str" s="149" r="R33">
        <f>Mensuel!O7-(Mensuel!O6/2)</f>
        <v>2</v>
      </c>
      <c t="str" s="149" r="S33">
        <f>Mensuel!P7-(Mensuel!P6/2)</f>
        <v>2</v>
      </c>
      <c t="str" s="149" r="T33">
        <f>Mensuel!Q7-(Mensuel!Q6/2)</f>
        <v>4</v>
      </c>
      <c t="str" s="149" r="U33">
        <f>Mensuel!R7-(Mensuel!R6/2)</f>
        <v>3</v>
      </c>
      <c t="str" s="149" r="V33">
        <f>Mensuel!S7-(Mensuel!S6/2)</f>
        <v>3</v>
      </c>
      <c t="str" s="149" r="W33">
        <f>Mensuel!T7-(Mensuel!T6/2)</f>
        <v>6</v>
      </c>
      <c t="str" s="149" r="X33">
        <f>Mensuel!U7-(Mensuel!U6/2)</f>
        <v>3</v>
      </c>
      <c t="str" s="149" r="Y33">
        <f>Mensuel!V7-(Mensuel!V6/2)</f>
        <v>3</v>
      </c>
      <c t="str" s="149" r="Z33">
        <f>Mensuel!W7-(Mensuel!W6/2)</f>
        <v>6</v>
      </c>
      <c t="str" s="149" r="AA33">
        <f>Mensuel!X7-(Mensuel!X6/2)</f>
        <v>3</v>
      </c>
      <c t="str" s="149" r="AB33">
        <f>Mensuel!Y7-(Mensuel!Y6/2)</f>
        <v>6</v>
      </c>
      <c t="str" s="149" r="AC33">
        <f>Mensuel!Z7-(Mensuel!Z6/2)</f>
        <v>9</v>
      </c>
      <c t="str" s="149" r="AD33">
        <f>Mensuel!AA7-(Mensuel!AA6/2)</f>
        <v>10</v>
      </c>
      <c t="str" s="149" r="AE33">
        <f>Mensuel!AB7-(Mensuel!AB6/2)</f>
        <v>11</v>
      </c>
      <c t="str" s="149" r="AF33">
        <f>Mensuel!AC7-(Mensuel!AC6/2)</f>
        <v>11</v>
      </c>
      <c t="str" s="149" r="AG33">
        <f>Mensuel!AD7-(Mensuel!AD6/2)</f>
        <v>11</v>
      </c>
      <c t="str" s="149" r="AH33">
        <f>Mensuel!AE7-(Mensuel!AE6/2)</f>
        <v>11</v>
      </c>
      <c t="str" s="149" r="AI33">
        <f>Mensuel!AF7-(Mensuel!AF6/2)</f>
        <v>11</v>
      </c>
      <c t="str" s="149" r="AJ33">
        <f>Mensuel!AG7-(Mensuel!AG6/2)</f>
        <v>11</v>
      </c>
      <c t="str" s="149" r="AK33">
        <f>Mensuel!AH7-(Mensuel!AH6/2)</f>
        <v>11</v>
      </c>
      <c t="str" s="149" r="AL33">
        <f>Mensuel!AI7-(Mensuel!AI6/2)</f>
        <v>11</v>
      </c>
      <c t="str" s="149" r="AM33">
        <f>Mensuel!AJ7-(Mensuel!AJ6/2)</f>
        <v>12</v>
      </c>
      <c t="str" s="149" r="AN33">
        <f>Mensuel!AK7-(Mensuel!AK6/2)</f>
        <v>12</v>
      </c>
      <c t="str" s="149" r="AO33">
        <f>Mensuel!AL7-(Mensuel!AL6/2)</f>
        <v>16</v>
      </c>
      <c t="str" s="149" r="AP33">
        <f>Mensuel!AM7-(Mensuel!AM6/2)</f>
        <v>16</v>
      </c>
      <c t="str" s="149" r="AQ33">
        <f>Mensuel!AN7-(Mensuel!AN6/2)</f>
        <v>16</v>
      </c>
      <c t="str" s="149" r="AR33">
        <f>Mensuel!AO7-(Mensuel!AO6/2)</f>
        <v>16</v>
      </c>
      <c t="str" s="149" r="AS33">
        <f>Mensuel!AP7-(Mensuel!AP6/2)</f>
        <v>16</v>
      </c>
      <c t="str" s="149" r="AT33">
        <f>Mensuel!AQ7-(Mensuel!AQ6/2)</f>
        <v>16</v>
      </c>
      <c t="str" s="149" r="AU33">
        <f>Mensuel!AR7-(Mensuel!AR6/2)</f>
        <v>16</v>
      </c>
      <c t="str" s="149" r="AV33">
        <f>Mensuel!AS7-(Mensuel!AS6/2)</f>
        <v>16</v>
      </c>
      <c t="str" s="149" r="AW33">
        <f>Mensuel!AT7-(Mensuel!AT6/2)</f>
        <v>16</v>
      </c>
      <c t="str" s="149" r="AX33">
        <f>Mensuel!AU7-(Mensuel!AU6/2)</f>
        <v>17</v>
      </c>
      <c t="str" s="149" r="AY33">
        <f>Mensuel!AV7-(Mensuel!AV6/2)</f>
        <v>17</v>
      </c>
      <c t="str" s="149" r="AZ33">
        <f>Mensuel!AW7-(Mensuel!AW6/2)</f>
        <v>17</v>
      </c>
      <c s="147" r="BA33"/>
      <c s="147" r="BB33"/>
      <c s="147" r="BC33"/>
      <c s="147" r="BD33"/>
    </row>
    <row customHeight="1" r="34" ht="15.75">
      <c t="s" s="25" r="A34">
        <v>296</v>
      </c>
      <c t="s" s="25" r="B34">
        <v>297</v>
      </c>
      <c s="25" r="C34"/>
      <c s="150" r="D34"/>
      <c s="151" r="E34"/>
      <c s="151" r="F34"/>
      <c s="151" r="G34"/>
      <c s="151" r="H34"/>
      <c s="151" r="I34"/>
      <c s="151" r="J34"/>
      <c s="150" r="K34"/>
      <c t="str" s="152" r="L34">
        <f ref="L34:M34" t="shared" si="8">(5600/12)*4</f>
        <v>€ 1 866,67</v>
      </c>
      <c t="str" s="152" r="M34">
        <f t="shared" si="8"/>
        <v>€ 1 866,67</v>
      </c>
      <c t="str" s="152" r="N34">
        <f>((5600/12)*4)/5*N33</f>
        <v>€ 0,00</v>
      </c>
      <c t="str" s="152" r="O34">
        <f>((5600/12)*4)/5*(O33+N33)</f>
        <v>€ 746,67</v>
      </c>
      <c t="str" s="152" r="P34">
        <f>((5600/12)*4)/5*(P33+O33+N33)</f>
        <v>€ 1 866,67</v>
      </c>
      <c t="str" s="152" r="Q34">
        <f>'Hypothèses'!$C$4*2.2%</f>
        <v>€ 916,48</v>
      </c>
      <c t="str" s="152" r="R34">
        <f>'Hypothèses'!$C$4*2.1%</f>
        <v>€ 874,83</v>
      </c>
      <c t="str" s="152" r="S34">
        <f>'Hypothèses'!$C$4*2.1%</f>
        <v>€ 874,83</v>
      </c>
      <c t="str" s="152" r="T34">
        <f>'Hypothèses'!$C$4*2.1%</f>
        <v>€ 874,83</v>
      </c>
      <c t="str" s="152" r="U34">
        <f>'Hypothèses'!$C$4*2.1%</f>
        <v>€ 874,83</v>
      </c>
      <c t="str" s="152" r="V34">
        <f>'Hypothèses'!$C$4*2.1%</f>
        <v>€ 874,83</v>
      </c>
      <c t="str" s="152" r="W34">
        <f>'Hypothèses'!$C$4*2.1%</f>
        <v>€ 874,83</v>
      </c>
      <c t="str" s="152" r="X34">
        <f>'Hypothèses'!$C$4*2.1%</f>
        <v>€ 874,83</v>
      </c>
      <c t="str" s="152" r="Y34">
        <f>'Hypothèses'!$C$4*2.1%</f>
        <v>€ 874,83</v>
      </c>
      <c t="str" s="152" r="Z34">
        <f>'Hypothèses'!$C$4*2.1%</f>
        <v>€ 874,83</v>
      </c>
      <c t="str" s="152" r="AA34">
        <f>'Hypothèses'!$C$4*2.1%</f>
        <v>€ 874,83</v>
      </c>
      <c t="str" s="152" r="AB34">
        <f>'Hypothèses'!$C$4*2.1%</f>
        <v>€ 874,83</v>
      </c>
      <c t="str" s="152" r="AC34">
        <f>'Hypothèses'!$C$4*2.1%</f>
        <v>€ 874,83</v>
      </c>
      <c t="str" s="152" r="AD34">
        <f>'Hypothèses'!$C$4*2.1%</f>
        <v>€ 874,83</v>
      </c>
      <c t="str" s="152" r="AE34">
        <f>'Hypothèses'!$C$4*2.1%</f>
        <v>€ 874,83</v>
      </c>
      <c t="str" s="152" r="AF34">
        <f>'Hypothèses'!$C$4*2.1%</f>
        <v>€ 874,83</v>
      </c>
      <c t="str" s="152" r="AG34">
        <f>'Hypothèses'!$C$4*2.1%</f>
        <v>€ 874,83</v>
      </c>
      <c t="str" s="152" r="AH34">
        <f>'Hypothèses'!$C$4*2.1%</f>
        <v>€ 874,83</v>
      </c>
      <c t="str" s="152" r="AI34">
        <f>'Hypothèses'!$C$4*2.1%</f>
        <v>€ 874,83</v>
      </c>
      <c t="str" s="152" r="AJ34">
        <f>'Hypothèses'!$C$4*2.1%</f>
        <v>€ 874,83</v>
      </c>
      <c t="str" s="152" r="AK34">
        <f>'Hypothèses'!$C$4*2.1%</f>
        <v>€ 874,83</v>
      </c>
      <c t="str" s="152" r="AL34">
        <f>'Hypothèses'!$C$4*2.1%</f>
        <v>€ 874,83</v>
      </c>
      <c t="str" s="152" r="AM34">
        <f>'Hypothèses'!$C$4*2.1%</f>
        <v>€ 874,83</v>
      </c>
      <c t="str" s="152" r="AN34">
        <f>'Hypothèses'!$C$4*2.1%</f>
        <v>€ 874,83</v>
      </c>
      <c t="str" s="152" r="AO34">
        <f>'Hypothèses'!$C$4*2.1%</f>
        <v>€ 874,83</v>
      </c>
      <c t="str" s="152" r="AP34">
        <f>'Hypothèses'!$C$4*2.1%</f>
        <v>€ 874,83</v>
      </c>
      <c t="str" s="152" r="AQ34">
        <f>'Hypothèses'!$C$4*2.1%</f>
        <v>€ 874,83</v>
      </c>
      <c t="str" s="152" r="AR34">
        <f>'Hypothèses'!$C$4*2.1%</f>
        <v>€ 874,83</v>
      </c>
      <c t="str" s="152" r="AS34">
        <f>'Hypothèses'!$C$4*2.1%</f>
        <v>€ 874,83</v>
      </c>
      <c t="str" s="152" r="AT34">
        <f>'Hypothèses'!$C$4*2.1%</f>
        <v>€ 874,83</v>
      </c>
      <c t="str" s="152" r="AU34">
        <f>'Hypothèses'!$C$4*2.1%</f>
        <v>€ 874,83</v>
      </c>
      <c t="str" s="152" r="AV34">
        <f>'Hypothèses'!$C$4*2.1%</f>
        <v>€ 874,83</v>
      </c>
      <c t="str" s="152" r="AW34">
        <f>'Hypothèses'!$C$4*2.1%</f>
        <v>€ 874,83</v>
      </c>
      <c t="str" s="152" r="AX34">
        <f>'Hypothèses'!$C$4*2.1%</f>
        <v>€ 874,83</v>
      </c>
      <c t="str" s="152" r="AY34">
        <f>'Hypothèses'!$C$4*2.1%</f>
        <v>€ 874,83</v>
      </c>
      <c t="str" s="152" r="AZ34">
        <f>'Hypothèses'!$C$4*2.1%</f>
        <v>€ 874,83</v>
      </c>
      <c s="150" r="BA34"/>
      <c s="150" r="BB34"/>
      <c s="150" r="BC34"/>
      <c s="150" r="BD34"/>
    </row>
    <row customHeight="1" r="35" ht="15.75">
      <c t="s" s="31" r="A35">
        <v>298</v>
      </c>
      <c t="s" s="25" r="B35">
        <v>299</v>
      </c>
      <c s="25" r="C35"/>
      <c s="150" r="D35"/>
      <c t="str" s="153" r="E35">
        <f ref="E35:AZ35" t="shared" si="9">752/5</f>
        <v>€ 150,40</v>
      </c>
      <c t="str" s="153" r="F35">
        <f t="shared" si="9"/>
        <v>€ 150,40</v>
      </c>
      <c t="str" s="153" r="G35">
        <f t="shared" si="9"/>
        <v>€ 150,40</v>
      </c>
      <c t="str" s="153" r="H35">
        <f t="shared" si="9"/>
        <v>€ 150,40</v>
      </c>
      <c t="str" s="153" r="I35">
        <f t="shared" si="9"/>
        <v>€ 150,40</v>
      </c>
      <c t="str" s="153" r="J35">
        <f t="shared" si="9"/>
        <v>€ 150,40</v>
      </c>
      <c t="str" s="150" r="K35">
        <f t="shared" si="9"/>
        <v>€ 150,40</v>
      </c>
      <c t="str" s="150" r="L35">
        <f t="shared" si="9"/>
        <v>€ 150,40</v>
      </c>
      <c t="str" s="150" r="M35">
        <f t="shared" si="9"/>
        <v>€ 150,40</v>
      </c>
      <c t="str" s="150" r="N35">
        <f t="shared" si="9"/>
        <v>€ 150,40</v>
      </c>
      <c t="str" s="150" r="O35">
        <f t="shared" si="9"/>
        <v>€ 150,40</v>
      </c>
      <c t="str" s="150" r="P35">
        <f t="shared" si="9"/>
        <v>€ 150,40</v>
      </c>
      <c t="str" s="150" r="Q35">
        <f t="shared" si="9"/>
        <v>€ 150,40</v>
      </c>
      <c t="str" s="150" r="R35">
        <f t="shared" si="9"/>
        <v>€ 150,40</v>
      </c>
      <c t="str" s="150" r="S35">
        <f t="shared" si="9"/>
        <v>€ 150,40</v>
      </c>
      <c t="str" s="150" r="T35">
        <f t="shared" si="9"/>
        <v>€ 150,40</v>
      </c>
      <c t="str" s="150" r="U35">
        <f t="shared" si="9"/>
        <v>€ 150,40</v>
      </c>
      <c t="str" s="150" r="V35">
        <f t="shared" si="9"/>
        <v>€ 150,40</v>
      </c>
      <c t="str" s="150" r="W35">
        <f t="shared" si="9"/>
        <v>€ 150,40</v>
      </c>
      <c t="str" s="150" r="X35">
        <f t="shared" si="9"/>
        <v>€ 150,40</v>
      </c>
      <c t="str" s="150" r="Y35">
        <f t="shared" si="9"/>
        <v>€ 150,40</v>
      </c>
      <c t="str" s="150" r="Z35">
        <f t="shared" si="9"/>
        <v>€ 150,40</v>
      </c>
      <c t="str" s="150" r="AA35">
        <f t="shared" si="9"/>
        <v>€ 150,40</v>
      </c>
      <c t="str" s="150" r="AB35">
        <f t="shared" si="9"/>
        <v>€ 150,40</v>
      </c>
      <c t="str" s="150" r="AC35">
        <f t="shared" si="9"/>
        <v>€ 150,40</v>
      </c>
      <c t="str" s="150" r="AD35">
        <f t="shared" si="9"/>
        <v>€ 150,40</v>
      </c>
      <c t="str" s="150" r="AE35">
        <f t="shared" si="9"/>
        <v>€ 150,40</v>
      </c>
      <c t="str" s="150" r="AF35">
        <f t="shared" si="9"/>
        <v>€ 150,40</v>
      </c>
      <c t="str" s="150" r="AG35">
        <f t="shared" si="9"/>
        <v>€ 150,40</v>
      </c>
      <c t="str" s="150" r="AH35">
        <f t="shared" si="9"/>
        <v>€ 150,40</v>
      </c>
      <c t="str" s="150" r="AI35">
        <f t="shared" si="9"/>
        <v>€ 150,40</v>
      </c>
      <c t="str" s="150" r="AJ35">
        <f t="shared" si="9"/>
        <v>€ 150,40</v>
      </c>
      <c t="str" s="150" r="AK35">
        <f t="shared" si="9"/>
        <v>€ 150,40</v>
      </c>
      <c t="str" s="150" r="AL35">
        <f t="shared" si="9"/>
        <v>€ 150,40</v>
      </c>
      <c t="str" s="150" r="AM35">
        <f t="shared" si="9"/>
        <v>€ 150,40</v>
      </c>
      <c t="str" s="150" r="AN35">
        <f t="shared" si="9"/>
        <v>€ 150,40</v>
      </c>
      <c t="str" s="150" r="AO35">
        <f t="shared" si="9"/>
        <v>€ 150,40</v>
      </c>
      <c t="str" s="150" r="AP35">
        <f t="shared" si="9"/>
        <v>€ 150,40</v>
      </c>
      <c t="str" s="150" r="AQ35">
        <f t="shared" si="9"/>
        <v>€ 150,40</v>
      </c>
      <c t="str" s="150" r="AR35">
        <f t="shared" si="9"/>
        <v>€ 150,40</v>
      </c>
      <c t="str" s="150" r="AS35">
        <f t="shared" si="9"/>
        <v>€ 150,40</v>
      </c>
      <c t="str" s="150" r="AT35">
        <f t="shared" si="9"/>
        <v>€ 150,40</v>
      </c>
      <c t="str" s="150" r="AU35">
        <f t="shared" si="9"/>
        <v>€ 150,40</v>
      </c>
      <c t="str" s="150" r="AV35">
        <f t="shared" si="9"/>
        <v>€ 150,40</v>
      </c>
      <c t="str" s="150" r="AW35">
        <f t="shared" si="9"/>
        <v>€ 150,40</v>
      </c>
      <c t="str" s="150" r="AX35">
        <f t="shared" si="9"/>
        <v>€ 150,40</v>
      </c>
      <c t="str" s="150" r="AY35">
        <f t="shared" si="9"/>
        <v>€ 150,40</v>
      </c>
      <c t="str" s="150" r="AZ35">
        <f t="shared" si="9"/>
        <v>€ 150,40</v>
      </c>
      <c s="150" r="BA35"/>
      <c s="150" r="BB35"/>
      <c s="150" r="BC35"/>
      <c s="150" r="BD35"/>
    </row>
    <row customHeight="1" r="36" ht="15.75">
      <c s="31" r="A36"/>
      <c s="18" r="B36"/>
      <c s="154" r="C36"/>
      <c s="146" r="D36"/>
      <c s="144" r="E36"/>
      <c s="144" r="F36"/>
      <c s="144" r="G36"/>
      <c s="144" r="H36"/>
      <c s="144" r="I36"/>
      <c s="144" r="J36"/>
      <c s="146" r="K36"/>
      <c s="146" r="L36"/>
      <c s="146" r="M36"/>
      <c s="146" r="N36"/>
      <c s="146" r="O36"/>
      <c s="146" r="P36"/>
      <c s="146" r="Q36"/>
      <c s="146" r="R36"/>
      <c s="146" r="S36"/>
      <c s="146" r="T36"/>
      <c s="146" r="U36"/>
      <c s="146" r="V36"/>
      <c s="146" r="W36"/>
      <c s="146" r="X36"/>
      <c s="146" r="Y36"/>
      <c s="146" r="Z36"/>
      <c s="146" r="AA36"/>
      <c s="146" r="AB36"/>
      <c s="146" r="AC36"/>
      <c s="146" r="AD36"/>
      <c s="146" r="AE36"/>
      <c s="146" r="AF36"/>
      <c s="146" r="AG36"/>
      <c s="146" r="AH36"/>
      <c s="146" r="AI36"/>
      <c s="146" r="AJ36"/>
      <c s="146" r="AK36"/>
      <c s="146" r="AL36"/>
      <c s="146" r="AM36"/>
      <c s="146" r="AN36"/>
      <c s="146" r="AO36"/>
    </row>
    <row customHeight="1" r="37" ht="15.75">
      <c t="s" s="31" r="A37">
        <v>300</v>
      </c>
      <c s="18" r="B37"/>
      <c s="154" r="C37">
        <v>0.55</v>
      </c>
      <c s="146" r="D37"/>
      <c s="144" r="E37"/>
      <c s="144" r="F37"/>
      <c s="144" r="G37"/>
      <c s="144" r="H37"/>
      <c s="144" r="I37"/>
      <c s="144" r="J37"/>
      <c s="146" r="K37"/>
      <c s="146" r="L37"/>
      <c s="146" r="M37"/>
      <c s="146" r="N37"/>
      <c s="146" r="O37"/>
      <c s="146" r="P37"/>
      <c s="146" r="Q37"/>
      <c s="146" r="R37"/>
      <c s="146" r="S37"/>
      <c s="146" r="T37"/>
      <c s="146" r="U37"/>
      <c s="146" r="V37"/>
      <c s="146" r="W37"/>
      <c s="146" r="X37"/>
      <c s="146" r="Y37"/>
      <c s="146" r="Z37"/>
      <c s="146" r="AA37"/>
      <c s="146" r="AB37"/>
      <c s="146" r="AC37"/>
      <c s="146" r="AD37"/>
      <c s="146" r="AE37"/>
      <c s="146" r="AF37"/>
      <c s="146" r="AG37"/>
      <c s="146" r="AH37"/>
      <c s="146" r="AI37"/>
      <c s="146" r="AJ37"/>
      <c s="146" r="AK37"/>
      <c s="146" r="AL37"/>
      <c s="146" r="AM37"/>
      <c s="146" r="AN37"/>
      <c s="146" r="AO37"/>
    </row>
    <row customHeight="1" r="38" ht="15.75">
      <c t="s" s="31" r="A38">
        <v>301</v>
      </c>
      <c t="str" s="31" r="B38">
        <f ref="B38:B40" t="shared" si="11">B25</f>
        <v>DG</v>
      </c>
      <c s="31" r="C38"/>
      <c t="str" s="31" r="D38">
        <f ref="D38:D39" t="shared" si="12">(D25*$C25)*12</f>
        <v>€ 0,00</v>
      </c>
      <c t="str" s="155" r="E38">
        <f ref="E38:AZ38" t="shared" si="10">(E25*$C25)</f>
        <v>€ 0,00</v>
      </c>
      <c t="str" s="155" r="F38">
        <f t="shared" si="10"/>
        <v>€ 0,00</v>
      </c>
      <c t="str" s="155" r="G38">
        <f t="shared" si="10"/>
        <v>€ 0,00</v>
      </c>
      <c t="str" s="155" r="H38">
        <f t="shared" si="10"/>
        <v>€ 0,00</v>
      </c>
      <c t="str" s="155" r="I38">
        <f t="shared" si="10"/>
        <v>€ 0,00</v>
      </c>
      <c t="str" s="155" r="J38">
        <f t="shared" si="10"/>
        <v>€ 0,00</v>
      </c>
      <c t="str" s="31" r="K38">
        <f t="shared" si="10"/>
        <v>€ 0,00</v>
      </c>
      <c t="str" s="31" r="L38">
        <f t="shared" si="10"/>
        <v>€ 0,00</v>
      </c>
      <c t="str" s="31" r="M38">
        <f t="shared" si="10"/>
        <v>€ 0,00</v>
      </c>
      <c t="str" s="31" r="N38">
        <f t="shared" si="10"/>
        <v>€ 0,00</v>
      </c>
      <c t="str" s="31" r="O38">
        <f t="shared" si="10"/>
        <v>€ 0,00</v>
      </c>
      <c t="str" s="31" r="P38">
        <f t="shared" si="10"/>
        <v>€ 0,00</v>
      </c>
      <c t="str" s="31" r="Q38">
        <f t="shared" si="10"/>
        <v>€ 0,00</v>
      </c>
      <c t="str" s="31" r="R38">
        <f t="shared" si="10"/>
        <v>€ 0,00</v>
      </c>
      <c t="str" s="31" r="S38">
        <f t="shared" si="10"/>
        <v>€ 0,00</v>
      </c>
      <c t="str" s="31" r="T38">
        <f t="shared" si="10"/>
        <v>€ 0,00</v>
      </c>
      <c t="str" s="31" r="U38">
        <f t="shared" si="10"/>
        <v>€ 0,00</v>
      </c>
      <c t="str" s="31" r="V38">
        <f t="shared" si="10"/>
        <v>€ 0,00</v>
      </c>
      <c t="str" s="31" r="W38">
        <f t="shared" si="10"/>
        <v>€ 0,00</v>
      </c>
      <c t="str" s="31" r="X38">
        <f t="shared" si="10"/>
        <v>€ 0,00</v>
      </c>
      <c t="str" s="31" r="Y38">
        <f t="shared" si="10"/>
        <v>€ 0,00</v>
      </c>
      <c t="str" s="31" r="Z38">
        <f t="shared" si="10"/>
        <v>€ 0,00</v>
      </c>
      <c t="str" s="31" r="AA38">
        <f t="shared" si="10"/>
        <v>€ 0,00</v>
      </c>
      <c t="str" s="31" r="AB38">
        <f t="shared" si="10"/>
        <v>€ 0,00</v>
      </c>
      <c t="str" s="31" r="AC38">
        <f t="shared" si="10"/>
        <v>€ 5 500,00</v>
      </c>
      <c t="str" s="31" r="AD38">
        <f t="shared" si="10"/>
        <v>€ 5 500,00</v>
      </c>
      <c t="str" s="31" r="AE38">
        <f t="shared" si="10"/>
        <v>€ 5 500,00</v>
      </c>
      <c t="str" s="31" r="AF38">
        <f t="shared" si="10"/>
        <v>€ 5 500,00</v>
      </c>
      <c t="str" s="31" r="AG38">
        <f t="shared" si="10"/>
        <v>€ 5 500,00</v>
      </c>
      <c t="str" s="31" r="AH38">
        <f t="shared" si="10"/>
        <v>€ 5 500,00</v>
      </c>
      <c t="str" s="31" r="AI38">
        <f t="shared" si="10"/>
        <v>€ 5 500,00</v>
      </c>
      <c t="str" s="31" r="AJ38">
        <f t="shared" si="10"/>
        <v>€ 5 500,00</v>
      </c>
      <c t="str" s="31" r="AK38">
        <f t="shared" si="10"/>
        <v>€ 5 500,00</v>
      </c>
      <c t="str" s="31" r="AL38">
        <f t="shared" si="10"/>
        <v>€ 5 500,00</v>
      </c>
      <c t="str" s="31" r="AM38">
        <f t="shared" si="10"/>
        <v>€ 5 500,00</v>
      </c>
      <c t="str" s="31" r="AN38">
        <f t="shared" si="10"/>
        <v>€ 5 500,00</v>
      </c>
      <c t="str" s="31" r="AO38">
        <f t="shared" si="10"/>
        <v>€ 5 500,00</v>
      </c>
      <c t="str" s="31" r="AP38">
        <f t="shared" si="10"/>
        <v>€ 5 500,00</v>
      </c>
      <c t="str" s="31" r="AQ38">
        <f t="shared" si="10"/>
        <v>€ 5 500,00</v>
      </c>
      <c t="str" s="31" r="AR38">
        <f t="shared" si="10"/>
        <v>€ 5 500,00</v>
      </c>
      <c t="str" s="31" r="AS38">
        <f t="shared" si="10"/>
        <v>€ 5 500,00</v>
      </c>
      <c t="str" s="31" r="AT38">
        <f t="shared" si="10"/>
        <v>€ 5 500,00</v>
      </c>
      <c t="str" s="31" r="AU38">
        <f t="shared" si="10"/>
        <v>€ 5 500,00</v>
      </c>
      <c t="str" s="31" r="AV38">
        <f t="shared" si="10"/>
        <v>€ 5 500,00</v>
      </c>
      <c t="str" s="31" r="AW38">
        <f t="shared" si="10"/>
        <v>€ 5 500,00</v>
      </c>
      <c t="str" s="31" r="AX38">
        <f t="shared" si="10"/>
        <v>€ 5 500,00</v>
      </c>
      <c t="str" s="31" r="AY38">
        <f t="shared" si="10"/>
        <v>€ 5 500,00</v>
      </c>
      <c t="str" s="31" r="AZ38">
        <f t="shared" si="10"/>
        <v>€ 5 500,00</v>
      </c>
      <c s="31" r="BA38"/>
      <c s="31" r="BB38"/>
      <c s="31" r="BC38"/>
      <c s="31" r="BD38"/>
    </row>
    <row customHeight="1" r="39" ht="15.75">
      <c t="s" s="31" r="A39">
        <v>302</v>
      </c>
      <c t="str" s="31" r="B39">
        <f t="shared" si="11"/>
        <v>Assistante</v>
      </c>
      <c s="31" r="C39"/>
      <c t="str" s="31" r="D39">
        <f t="shared" si="12"/>
        <v>€ 0,00</v>
      </c>
      <c t="str" s="155" r="E39">
        <f ref="E39:AZ39" t="shared" si="13">(E26*$C26)</f>
        <v>€ 0,00</v>
      </c>
      <c t="str" s="155" r="F39">
        <f t="shared" si="13"/>
        <v>€ 0,00</v>
      </c>
      <c t="str" s="155" r="G39">
        <f t="shared" si="13"/>
        <v>€ 0,00</v>
      </c>
      <c t="str" s="155" r="H39">
        <f t="shared" si="13"/>
        <v>€ 0,00</v>
      </c>
      <c t="str" s="155" r="I39">
        <f t="shared" si="13"/>
        <v>€ 0,00</v>
      </c>
      <c t="str" s="155" r="J39">
        <f t="shared" si="13"/>
        <v>€ 0,00</v>
      </c>
      <c t="str" s="31" r="K39">
        <f t="shared" si="13"/>
        <v>€ 0,00</v>
      </c>
      <c t="str" s="31" r="L39">
        <f t="shared" si="13"/>
        <v>€ 0,00</v>
      </c>
      <c t="str" s="31" r="M39">
        <f t="shared" si="13"/>
        <v>€ 0,00</v>
      </c>
      <c t="str" s="31" r="N39">
        <f t="shared" si="13"/>
        <v>€ 0,00</v>
      </c>
      <c t="str" s="31" r="O39">
        <f t="shared" si="13"/>
        <v>€ 0,00</v>
      </c>
      <c t="str" s="31" r="P39">
        <f t="shared" si="13"/>
        <v>€ 0,00</v>
      </c>
      <c t="str" s="31" r="Q39">
        <f t="shared" si="13"/>
        <v>€ 0,00</v>
      </c>
      <c t="str" s="31" r="R39">
        <f t="shared" si="13"/>
        <v>€ 1 800,00</v>
      </c>
      <c t="str" s="31" r="S39">
        <f t="shared" si="13"/>
        <v>€ 3 600,00</v>
      </c>
      <c t="str" s="31" r="T39">
        <f t="shared" si="13"/>
        <v>€ 3 600,00</v>
      </c>
      <c t="str" s="31" r="U39">
        <f t="shared" si="13"/>
        <v>€ 3 600,00</v>
      </c>
      <c t="str" s="31" r="V39">
        <f t="shared" si="13"/>
        <v>€ 3 600,00</v>
      </c>
      <c t="str" s="31" r="W39">
        <f t="shared" si="13"/>
        <v>€ 3 600,00</v>
      </c>
      <c t="str" s="31" r="X39">
        <f t="shared" si="13"/>
        <v>€ 3 600,00</v>
      </c>
      <c t="str" s="31" r="Y39">
        <f t="shared" si="13"/>
        <v>€ 3 600,00</v>
      </c>
      <c t="str" s="31" r="Z39">
        <f t="shared" si="13"/>
        <v>€ 3 600,00</v>
      </c>
      <c t="str" s="31" r="AA39">
        <f t="shared" si="13"/>
        <v>€ 3 600,00</v>
      </c>
      <c t="str" s="31" r="AB39">
        <f t="shared" si="13"/>
        <v>€ 3 600,00</v>
      </c>
      <c t="str" s="31" r="AC39">
        <f t="shared" si="13"/>
        <v>€ 5 400,00</v>
      </c>
      <c t="str" s="31" r="AD39">
        <f t="shared" si="13"/>
        <v>€ 7 200,00</v>
      </c>
      <c t="str" s="31" r="AE39">
        <f t="shared" si="13"/>
        <v>€ 7 200,00</v>
      </c>
      <c t="str" s="31" r="AF39">
        <f t="shared" si="13"/>
        <v>€ 7 200,00</v>
      </c>
      <c t="str" s="31" r="AG39">
        <f t="shared" si="13"/>
        <v>€ 7 200,00</v>
      </c>
      <c t="str" s="31" r="AH39">
        <f t="shared" si="13"/>
        <v>€ 7 200,00</v>
      </c>
      <c t="str" s="31" r="AI39">
        <f t="shared" si="13"/>
        <v>€ 7 200,00</v>
      </c>
      <c t="str" s="31" r="AJ39">
        <f t="shared" si="13"/>
        <v>€ 7 200,00</v>
      </c>
      <c t="str" s="31" r="AK39">
        <f t="shared" si="13"/>
        <v>€ 7 200,00</v>
      </c>
      <c t="str" s="31" r="AL39">
        <f t="shared" si="13"/>
        <v>€ 7 200,00</v>
      </c>
      <c t="str" s="31" r="AM39">
        <f t="shared" si="13"/>
        <v>€ 7 200,00</v>
      </c>
      <c t="str" s="31" r="AN39">
        <f t="shared" si="13"/>
        <v>€ 7 200,00</v>
      </c>
      <c t="str" s="31" r="AO39">
        <f t="shared" si="13"/>
        <v>€ 7 200,00</v>
      </c>
      <c t="str" s="31" r="AP39">
        <f t="shared" si="13"/>
        <v>€ 7 200,00</v>
      </c>
      <c t="str" s="31" r="AQ39">
        <f t="shared" si="13"/>
        <v>€ 7 200,00</v>
      </c>
      <c t="str" s="31" r="AR39">
        <f t="shared" si="13"/>
        <v>€ 7 200,00</v>
      </c>
      <c t="str" s="31" r="AS39">
        <f t="shared" si="13"/>
        <v>€ 7 200,00</v>
      </c>
      <c t="str" s="31" r="AT39">
        <f t="shared" si="13"/>
        <v>€ 7 200,00</v>
      </c>
      <c t="str" s="31" r="AU39">
        <f t="shared" si="13"/>
        <v>€ 7 200,00</v>
      </c>
      <c t="str" s="31" r="AV39">
        <f t="shared" si="13"/>
        <v>€ 7 200,00</v>
      </c>
      <c t="str" s="31" r="AW39">
        <f t="shared" si="13"/>
        <v>€ 7 200,00</v>
      </c>
      <c t="str" s="31" r="AX39">
        <f t="shared" si="13"/>
        <v>€ 7 200,00</v>
      </c>
      <c t="str" s="31" r="AY39">
        <f t="shared" si="13"/>
        <v>€ 7 200,00</v>
      </c>
      <c t="str" s="31" r="AZ39">
        <f t="shared" si="13"/>
        <v>€ 7 200,00</v>
      </c>
      <c s="31" r="BA39"/>
      <c s="31" r="BB39"/>
      <c s="31" r="BC39"/>
      <c s="31" r="BD39"/>
    </row>
    <row customHeight="1" r="40" ht="15.75">
      <c t="s" s="25" r="A40">
        <v>303</v>
      </c>
      <c t="str" s="31" r="B40">
        <f t="shared" si="11"/>
        <v>Directeur commercial</v>
      </c>
      <c s="31" r="C40"/>
      <c t="str" s="31" r="D40">
        <f ref="D40:AZ40" t="shared" si="14">(D27*$C27)+(D34*D33)</f>
        <v>€ 0,00</v>
      </c>
      <c t="str" s="155" r="E40">
        <f t="shared" si="14"/>
        <v>€ 0,00</v>
      </c>
      <c t="str" s="155" r="F40">
        <f t="shared" si="14"/>
        <v>€ 0,00</v>
      </c>
      <c t="str" s="155" r="G40">
        <f t="shared" si="14"/>
        <v>€ 0,00</v>
      </c>
      <c t="str" s="155" r="H40">
        <f t="shared" si="14"/>
        <v>€ 0,00</v>
      </c>
      <c t="str" s="155" r="I40">
        <f t="shared" si="14"/>
        <v>€ 0,00</v>
      </c>
      <c t="str" s="155" r="J40">
        <f t="shared" si="14"/>
        <v>€ 0,00</v>
      </c>
      <c t="str" s="31" r="K40">
        <f t="shared" si="14"/>
        <v>€ 3 033,33</v>
      </c>
      <c t="str" s="31" r="L40">
        <f t="shared" si="14"/>
        <v>€ 0,00</v>
      </c>
      <c t="str" s="31" r="M40">
        <f t="shared" si="14"/>
        <v>€ 4 333,33</v>
      </c>
      <c t="str" s="31" r="N40">
        <f t="shared" si="14"/>
        <v>€ 4 333,33</v>
      </c>
      <c t="str" s="31" r="O40">
        <f t="shared" si="14"/>
        <v>€ 5 826,67</v>
      </c>
      <c t="str" s="31" r="P40">
        <f t="shared" si="14"/>
        <v>€ 9 933,33</v>
      </c>
      <c t="str" s="31" r="Q40">
        <f t="shared" si="14"/>
        <v>€ 6 624,54</v>
      </c>
      <c t="str" s="31" r="R40">
        <f t="shared" si="14"/>
        <v>€ 6 082,98</v>
      </c>
      <c t="str" s="31" r="S40">
        <f t="shared" si="14"/>
        <v>€ 6 082,98</v>
      </c>
      <c t="str" s="31" r="T40">
        <f t="shared" si="14"/>
        <v>€ 7 832,63</v>
      </c>
      <c t="str" s="31" r="U40">
        <f t="shared" si="14"/>
        <v>€ 6 957,81</v>
      </c>
      <c t="str" s="31" r="V40">
        <f t="shared" si="14"/>
        <v>€ 6 957,81</v>
      </c>
      <c t="str" s="31" r="W40">
        <f t="shared" si="14"/>
        <v>€ 9 171,12</v>
      </c>
      <c t="str" s="31" r="X40">
        <f t="shared" si="14"/>
        <v>€ 7 010,30</v>
      </c>
      <c t="str" s="31" r="Y40">
        <f t="shared" si="14"/>
        <v>€ 7 036,54</v>
      </c>
      <c t="str" s="31" r="Z40">
        <f t="shared" si="14"/>
        <v>€ 9 978,80</v>
      </c>
      <c t="str" s="31" r="AA40">
        <f t="shared" si="14"/>
        <v>€ 7 089,03</v>
      </c>
      <c t="str" s="31" r="AB40">
        <f t="shared" si="14"/>
        <v>€ 9 302,34</v>
      </c>
      <c t="str" s="31" r="AC40">
        <f t="shared" si="14"/>
        <v>€ 11 929,73</v>
      </c>
      <c t="str" s="31" r="AD40">
        <f t="shared" si="14"/>
        <v>€ 13 282,79</v>
      </c>
      <c t="str" s="31" r="AE40">
        <f t="shared" si="14"/>
        <v>€ 13 991,40</v>
      </c>
      <c t="str" s="31" r="AF40">
        <f t="shared" si="14"/>
        <v>€ 14 043,89</v>
      </c>
      <c t="str" s="31" r="AG40">
        <f t="shared" si="14"/>
        <v>€ 14 096,38</v>
      </c>
      <c t="str" s="31" r="AH40">
        <f t="shared" si="14"/>
        <v>€ 14 148,87</v>
      </c>
      <c t="str" s="31" r="AI40">
        <f t="shared" si="14"/>
        <v>€ 14 201,36</v>
      </c>
      <c t="str" s="31" r="AJ40">
        <f t="shared" si="14"/>
        <v>€ 14 253,85</v>
      </c>
      <c t="str" s="31" r="AK40">
        <f t="shared" si="14"/>
        <v>€ 14 306,34</v>
      </c>
      <c t="str" s="31" r="AL40">
        <f t="shared" si="14"/>
        <v>€ 14 358,83</v>
      </c>
      <c t="str" s="31" r="AM40">
        <f t="shared" si="14"/>
        <v>€ 14 411,32</v>
      </c>
      <c t="str" s="31" r="AN40">
        <f t="shared" si="14"/>
        <v>€ 14 463,81</v>
      </c>
      <c t="str" s="31" r="AO40">
        <f t="shared" si="14"/>
        <v>€ 18 076,83</v>
      </c>
      <c t="str" s="31" r="AP40">
        <f t="shared" si="14"/>
        <v>€ 18 155,57</v>
      </c>
      <c t="str" s="31" r="AQ40">
        <f t="shared" si="14"/>
        <v>€ 18 234,30</v>
      </c>
      <c t="str" s="31" r="AR40">
        <f t="shared" si="14"/>
        <v>€ 18 313,04</v>
      </c>
      <c t="str" s="31" r="AS40">
        <f t="shared" si="14"/>
        <v>€ 18 391,77</v>
      </c>
      <c t="str" s="31" r="AT40">
        <f t="shared" si="14"/>
        <v>€ 18 470,51</v>
      </c>
      <c t="str" s="31" r="AU40">
        <f t="shared" si="14"/>
        <v>€ 18 549,24</v>
      </c>
      <c t="str" s="31" r="AV40">
        <f t="shared" si="14"/>
        <v>€ 18 627,97</v>
      </c>
      <c t="str" s="31" r="AW40">
        <f t="shared" si="14"/>
        <v>€ 18 706,71</v>
      </c>
      <c t="str" s="31" r="AX40">
        <f t="shared" si="14"/>
        <v>€ 18 785,44</v>
      </c>
      <c t="str" s="31" r="AY40">
        <f t="shared" si="14"/>
        <v>€ 18 864,18</v>
      </c>
      <c t="str" s="31" r="AZ40">
        <f t="shared" si="14"/>
        <v>€ 18 942,91</v>
      </c>
      <c s="31" r="BA40"/>
      <c s="31" r="BB40"/>
      <c s="31" r="BC40"/>
      <c s="31" r="BD40"/>
    </row>
    <row customHeight="1" r="41" ht="15.75">
      <c t="s" s="25" r="A41">
        <v>304</v>
      </c>
      <c t="s" s="25" r="B41">
        <v>305</v>
      </c>
      <c s="31" r="C41"/>
      <c t="str" s="31" r="D41">
        <f ref="D41:AZ41" t="shared" si="15">(D29*$C29)+(D35*D33)</f>
        <v>€ 0,00</v>
      </c>
      <c t="str" s="155" r="E41">
        <f t="shared" si="15"/>
        <v>€ 150,40</v>
      </c>
      <c t="str" s="155" r="F41">
        <f t="shared" si="15"/>
        <v>€ 0,00</v>
      </c>
      <c t="str" s="155" r="G41">
        <f t="shared" si="15"/>
        <v>€ 0,00</v>
      </c>
      <c t="str" s="155" r="H41">
        <f t="shared" si="15"/>
        <v>€ 0,00</v>
      </c>
      <c t="str" s="155" r="I41">
        <f t="shared" si="15"/>
        <v>€ 0,00</v>
      </c>
      <c t="str" s="155" r="J41">
        <f t="shared" si="15"/>
        <v>€ 0,00</v>
      </c>
      <c t="str" s="31" r="K41">
        <f t="shared" si="15"/>
        <v>€ 0,00</v>
      </c>
      <c t="str" s="31" r="L41">
        <f t="shared" si="15"/>
        <v>€ 0,00</v>
      </c>
      <c t="str" s="31" r="M41">
        <f t="shared" si="15"/>
        <v>€ 0,00</v>
      </c>
      <c t="str" s="31" r="N41">
        <f t="shared" si="15"/>
        <v>€ 0,00</v>
      </c>
      <c t="str" s="31" r="O41">
        <f t="shared" si="15"/>
        <v>€ 300,80</v>
      </c>
      <c t="str" s="31" r="P41">
        <f t="shared" si="15"/>
        <v>€ 451,20</v>
      </c>
      <c t="str" s="31" r="Q41">
        <f t="shared" si="15"/>
        <v>€ 376,00</v>
      </c>
      <c t="str" s="31" r="R41">
        <f t="shared" si="15"/>
        <v>€ 1 433,80</v>
      </c>
      <c t="str" s="31" r="S41">
        <f t="shared" si="15"/>
        <v>€ 1 433,80</v>
      </c>
      <c t="str" s="31" r="T41">
        <f t="shared" si="15"/>
        <v>€ 1 734,60</v>
      </c>
      <c t="str" s="31" r="U41">
        <f t="shared" si="15"/>
        <v>€ 2 717,20</v>
      </c>
      <c t="str" s="31" r="V41">
        <f t="shared" si="15"/>
        <v>€ 2 717,20</v>
      </c>
      <c t="str" s="31" r="W41">
        <f t="shared" si="15"/>
        <v>€ 3 097,71</v>
      </c>
      <c t="str" s="31" r="X41">
        <f t="shared" si="15"/>
        <v>€ 2 726,22</v>
      </c>
      <c t="str" s="31" r="Y41">
        <f t="shared" si="15"/>
        <v>€ 2 730,74</v>
      </c>
      <c t="str" s="31" r="Z41">
        <f t="shared" si="15"/>
        <v>€ 3 236,57</v>
      </c>
      <c t="str" s="31" r="AA41">
        <f t="shared" si="15"/>
        <v>€ 2 739,76</v>
      </c>
      <c t="str" s="31" r="AB41">
        <f t="shared" si="15"/>
        <v>€ 3 120,27</v>
      </c>
      <c t="str" s="31" r="AC41">
        <f t="shared" si="15"/>
        <v>€ 5 837,97</v>
      </c>
      <c t="str" s="31" r="AD41">
        <f t="shared" si="15"/>
        <v>€ 7 203,59</v>
      </c>
      <c t="str" s="31" r="AE41">
        <f t="shared" si="15"/>
        <v>€ 7 325,42</v>
      </c>
      <c t="str" s="31" r="AF41">
        <f t="shared" si="15"/>
        <v>€ 7 334,44</v>
      </c>
      <c t="str" s="31" r="AG41">
        <f t="shared" si="15"/>
        <v>€ 7 343,46</v>
      </c>
      <c t="str" s="31" r="AH41">
        <f t="shared" si="15"/>
        <v>€ 7 352,49</v>
      </c>
      <c t="str" s="31" r="AI41">
        <f t="shared" si="15"/>
        <v>€ 7 361,51</v>
      </c>
      <c t="str" s="31" r="AJ41">
        <f t="shared" si="15"/>
        <v>€ 7 370,54</v>
      </c>
      <c t="str" s="31" r="AK41">
        <f t="shared" si="15"/>
        <v>€ 7 379,56</v>
      </c>
      <c t="str" s="31" r="AL41">
        <f t="shared" si="15"/>
        <v>€ 7 388,58</v>
      </c>
      <c t="str" s="31" r="AM41">
        <f t="shared" si="15"/>
        <v>€ 7 397,61</v>
      </c>
      <c t="str" s="31" r="AN41">
        <f t="shared" si="15"/>
        <v>€ 7 406,63</v>
      </c>
      <c t="str" s="31" r="AO41">
        <f t="shared" si="15"/>
        <v>€ 11 426,78</v>
      </c>
      <c t="str" s="31" r="AP41">
        <f t="shared" si="15"/>
        <v>€ 11 440,32</v>
      </c>
      <c t="str" s="31" r="AQ41">
        <f t="shared" si="15"/>
        <v>€ 11 453,86</v>
      </c>
      <c t="str" s="31" r="AR41">
        <f t="shared" si="15"/>
        <v>€ 11 467,39</v>
      </c>
      <c t="str" s="31" r="AS41">
        <f t="shared" si="15"/>
        <v>€ 11 480,93</v>
      </c>
      <c t="str" s="31" r="AT41">
        <f t="shared" si="15"/>
        <v>€ 11 494,46</v>
      </c>
      <c t="str" s="31" r="AU41">
        <f t="shared" si="15"/>
        <v>€ 11 508,00</v>
      </c>
      <c t="str" s="31" r="AV41">
        <f t="shared" si="15"/>
        <v>€ 11 521,54</v>
      </c>
      <c t="str" s="31" r="AW41">
        <f t="shared" si="15"/>
        <v>€ 11 535,07</v>
      </c>
      <c t="str" s="31" r="AX41">
        <f t="shared" si="15"/>
        <v>€ 11 548,61</v>
      </c>
      <c t="str" s="31" r="AY41">
        <f t="shared" si="15"/>
        <v>€ 11 562,14</v>
      </c>
      <c t="str" s="31" r="AZ41">
        <f t="shared" si="15"/>
        <v>€ 11 575,68</v>
      </c>
      <c s="31" r="BA41"/>
      <c s="31" r="BB41"/>
      <c s="31" r="BC41"/>
      <c s="31" r="BD41"/>
    </row>
    <row customHeight="1" r="42" ht="15.75">
      <c t="s" s="25" r="A42">
        <v>306</v>
      </c>
      <c t="str" s="31" r="B42">
        <f>B28</f>
        <v>Chef de projet installations</v>
      </c>
      <c s="31" r="C42"/>
      <c t="str" s="31" r="D42">
        <f ref="D42:AZ42" t="shared" si="16">(D28*$C28)+(D35*D33)</f>
        <v>€ 0,00</v>
      </c>
      <c t="str" s="155" r="E42">
        <f t="shared" si="16"/>
        <v>€ 150,40</v>
      </c>
      <c t="str" s="155" r="F42">
        <f t="shared" si="16"/>
        <v>€ 0,00</v>
      </c>
      <c t="str" s="155" r="G42">
        <f t="shared" si="16"/>
        <v>€ 0,00</v>
      </c>
      <c t="str" s="155" r="H42">
        <f t="shared" si="16"/>
        <v>€ 0,00</v>
      </c>
      <c t="str" s="155" r="I42">
        <f t="shared" si="16"/>
        <v>€ 0,00</v>
      </c>
      <c t="str" s="155" r="J42">
        <f t="shared" si="16"/>
        <v>€ 0,00</v>
      </c>
      <c t="str" s="31" r="K42">
        <f t="shared" si="16"/>
        <v>€ 1 780,80</v>
      </c>
      <c t="str" s="31" r="L42">
        <f t="shared" si="16"/>
        <v>€ 0,00</v>
      </c>
      <c t="str" s="31" r="M42">
        <f t="shared" si="16"/>
        <v>€ 2 544,00</v>
      </c>
      <c t="str" s="31" r="N42">
        <f t="shared" si="16"/>
        <v>€ 2 544,00</v>
      </c>
      <c t="str" s="31" r="O42">
        <f t="shared" si="16"/>
        <v>€ 2 844,80</v>
      </c>
      <c t="str" s="31" r="P42">
        <f t="shared" si="16"/>
        <v>€ 2 995,20</v>
      </c>
      <c t="str" s="31" r="Q42">
        <f t="shared" si="16"/>
        <v>€ 2 920,00</v>
      </c>
      <c t="str" s="31" r="R42">
        <f t="shared" si="16"/>
        <v>€ 2 844,80</v>
      </c>
      <c t="str" s="31" r="S42">
        <f t="shared" si="16"/>
        <v>€ 2 844,80</v>
      </c>
      <c t="str" s="31" r="T42">
        <f t="shared" si="16"/>
        <v>€ 3 145,60</v>
      </c>
      <c t="str" s="31" r="U42">
        <f t="shared" si="16"/>
        <v>€ 2 995,20</v>
      </c>
      <c t="str" s="31" r="V42">
        <f t="shared" si="16"/>
        <v>€ 2 995,20</v>
      </c>
      <c t="str" s="31" r="W42">
        <f t="shared" si="16"/>
        <v>€ 3 375,71</v>
      </c>
      <c t="str" s="31" r="X42">
        <f t="shared" si="16"/>
        <v>€ 3 004,22</v>
      </c>
      <c t="str" s="31" r="Y42">
        <f t="shared" si="16"/>
        <v>€ 3 008,74</v>
      </c>
      <c t="str" s="31" r="Z42">
        <f t="shared" si="16"/>
        <v>€ 3 514,57</v>
      </c>
      <c t="str" s="31" r="AA42">
        <f t="shared" si="16"/>
        <v>€ 3 017,76</v>
      </c>
      <c t="str" s="31" r="AB42">
        <f t="shared" si="16"/>
        <v>€ 5 942,27</v>
      </c>
      <c t="str" s="31" r="AC42">
        <f t="shared" si="16"/>
        <v>€ 6 393,97</v>
      </c>
      <c t="str" s="31" r="AD42">
        <f t="shared" si="16"/>
        <v>€ 6 626,59</v>
      </c>
      <c t="str" s="31" r="AE42">
        <f t="shared" si="16"/>
        <v>€ 6 748,42</v>
      </c>
      <c t="str" s="31" r="AF42">
        <f t="shared" si="16"/>
        <v>€ 6 757,44</v>
      </c>
      <c t="str" s="31" r="AG42">
        <f t="shared" si="16"/>
        <v>€ 6 766,46</v>
      </c>
      <c t="str" s="31" r="AH42">
        <f t="shared" si="16"/>
        <v>€ 6 775,49</v>
      </c>
      <c t="str" s="31" r="AI42">
        <f t="shared" si="16"/>
        <v>€ 6 784,51</v>
      </c>
      <c t="str" s="31" r="AJ42">
        <f t="shared" si="16"/>
        <v>€ 6 793,54</v>
      </c>
      <c t="str" s="31" r="AK42">
        <f t="shared" si="16"/>
        <v>€ 6 802,56</v>
      </c>
      <c t="str" s="31" r="AL42">
        <f t="shared" si="16"/>
        <v>€ 6 811,58</v>
      </c>
      <c t="str" s="31" r="AM42">
        <f t="shared" si="16"/>
        <v>€ 6 820,61</v>
      </c>
      <c t="str" s="31" r="AN42">
        <f t="shared" si="16"/>
        <v>€ 6 829,63</v>
      </c>
      <c t="str" s="31" r="AO42">
        <f t="shared" si="16"/>
        <v>€ 9 994,78</v>
      </c>
      <c t="str" s="31" r="AP42">
        <f t="shared" si="16"/>
        <v>€ 10 008,32</v>
      </c>
      <c t="str" s="31" r="AQ42">
        <f t="shared" si="16"/>
        <v>€ 10 021,86</v>
      </c>
      <c t="str" s="31" r="AR42">
        <f t="shared" si="16"/>
        <v>€ 10 035,39</v>
      </c>
      <c t="str" s="31" r="AS42">
        <f t="shared" si="16"/>
        <v>€ 10 048,93</v>
      </c>
      <c t="str" s="31" r="AT42">
        <f t="shared" si="16"/>
        <v>€ 10 062,46</v>
      </c>
      <c t="str" s="31" r="AU42">
        <f t="shared" si="16"/>
        <v>€ 10 076,00</v>
      </c>
      <c t="str" s="31" r="AV42">
        <f t="shared" si="16"/>
        <v>€ 10 089,54</v>
      </c>
      <c t="str" s="31" r="AW42">
        <f t="shared" si="16"/>
        <v>€ 10 103,07</v>
      </c>
      <c t="str" s="31" r="AX42">
        <f t="shared" si="16"/>
        <v>€ 10 116,61</v>
      </c>
      <c t="str" s="31" r="AY42">
        <f t="shared" si="16"/>
        <v>€ 10 130,14</v>
      </c>
      <c t="str" s="31" r="AZ42">
        <f t="shared" si="16"/>
        <v>€ 10 143,68</v>
      </c>
      <c s="31" r="BA42"/>
      <c s="31" r="BB42"/>
      <c s="31" r="BC42"/>
      <c s="31" r="BD42"/>
    </row>
    <row customHeight="1" r="43" ht="15.75">
      <c t="s" s="31" r="A43">
        <v>307</v>
      </c>
      <c t="str" s="31" r="B43">
        <f>B31</f>
        <v>R&amp;D responsable</v>
      </c>
      <c s="31" r="C43"/>
      <c t="str" s="31" r="D43">
        <f>(D31*$C31)*12</f>
        <v>€ 0,00</v>
      </c>
      <c t="str" s="155" r="E43">
        <f ref="E43:AZ43" t="shared" si="17">(E31*$C31)</f>
        <v>€ 0,00</v>
      </c>
      <c t="str" s="155" r="F43">
        <f t="shared" si="17"/>
        <v>€ 0,00</v>
      </c>
      <c t="str" s="155" r="G43">
        <f t="shared" si="17"/>
        <v>€ 0,00</v>
      </c>
      <c t="str" s="155" r="H43">
        <f t="shared" si="17"/>
        <v>€ 0,00</v>
      </c>
      <c t="str" s="155" r="I43">
        <f t="shared" si="17"/>
        <v>€ 0,00</v>
      </c>
      <c t="str" s="155" r="J43">
        <f t="shared" si="17"/>
        <v>€ 0,00</v>
      </c>
      <c t="str" s="31" r="K43">
        <f t="shared" si="17"/>
        <v>€ 0,00</v>
      </c>
      <c t="str" s="31" r="L43">
        <f t="shared" si="17"/>
        <v>€ 0,00</v>
      </c>
      <c t="str" s="31" r="M43">
        <f t="shared" si="17"/>
        <v>€ 0,00</v>
      </c>
      <c t="str" s="31" r="N43">
        <f t="shared" si="17"/>
        <v>€ 0,00</v>
      </c>
      <c t="str" s="31" r="O43">
        <f t="shared" si="17"/>
        <v>€ 0,00</v>
      </c>
      <c t="str" s="31" r="P43">
        <f t="shared" si="17"/>
        <v>€ 0,00</v>
      </c>
      <c t="str" s="31" r="Q43">
        <f t="shared" si="17"/>
        <v>€ 0,00</v>
      </c>
      <c t="str" s="31" r="R43">
        <f t="shared" si="17"/>
        <v>€ 0,00</v>
      </c>
      <c t="str" s="31" r="S43">
        <f t="shared" si="17"/>
        <v>€ 0,00</v>
      </c>
      <c t="str" s="31" r="T43">
        <f t="shared" si="17"/>
        <v>€ 0,00</v>
      </c>
      <c t="str" s="31" r="U43">
        <f t="shared" si="17"/>
        <v>€ 0,00</v>
      </c>
      <c t="str" s="31" r="V43">
        <f t="shared" si="17"/>
        <v>€ 0,00</v>
      </c>
      <c t="str" s="31" r="W43">
        <f t="shared" si="17"/>
        <v>€ 0,00</v>
      </c>
      <c t="str" s="31" r="X43">
        <f t="shared" si="17"/>
        <v>€ 0,00</v>
      </c>
      <c t="str" s="31" r="Y43">
        <f t="shared" si="17"/>
        <v>€ 3 000,00</v>
      </c>
      <c t="str" s="31" r="Z43">
        <f t="shared" si="17"/>
        <v>€ 3 000,00</v>
      </c>
      <c t="str" s="31" r="AA43">
        <f t="shared" si="17"/>
        <v>€ 3 000,00</v>
      </c>
      <c t="str" s="31" r="AB43">
        <f t="shared" si="17"/>
        <v>€ 3 000,00</v>
      </c>
      <c t="str" s="31" r="AC43">
        <f t="shared" si="17"/>
        <v>€ 3 000,00</v>
      </c>
      <c t="str" s="31" r="AD43">
        <f t="shared" si="17"/>
        <v>€ 3 000,00</v>
      </c>
      <c t="str" s="31" r="AE43">
        <f t="shared" si="17"/>
        <v>€ 3 000,00</v>
      </c>
      <c t="str" s="31" r="AF43">
        <f t="shared" si="17"/>
        <v>€ 3 000,00</v>
      </c>
      <c t="str" s="31" r="AG43">
        <f t="shared" si="17"/>
        <v>€ 3 000,00</v>
      </c>
      <c t="str" s="31" r="AH43">
        <f t="shared" si="17"/>
        <v>€ 3 000,00</v>
      </c>
      <c t="str" s="31" r="AI43">
        <f t="shared" si="17"/>
        <v>€ 3 000,00</v>
      </c>
      <c t="str" s="31" r="AJ43">
        <f t="shared" si="17"/>
        <v>€ 3 000,00</v>
      </c>
      <c t="str" s="31" r="AK43">
        <f t="shared" si="17"/>
        <v>€ 3 000,00</v>
      </c>
      <c t="str" s="31" r="AL43">
        <f t="shared" si="17"/>
        <v>€ 3 000,00</v>
      </c>
      <c t="str" s="31" r="AM43">
        <f t="shared" si="17"/>
        <v>€ 3 000,00</v>
      </c>
      <c t="str" s="31" r="AN43">
        <f t="shared" si="17"/>
        <v>€ 3 000,00</v>
      </c>
      <c t="str" s="31" r="AO43">
        <f t="shared" si="17"/>
        <v>€ 3 000,00</v>
      </c>
      <c t="str" s="31" r="AP43">
        <f t="shared" si="17"/>
        <v>€ 3 000,00</v>
      </c>
      <c t="str" s="31" r="AQ43">
        <f t="shared" si="17"/>
        <v>€ 3 000,00</v>
      </c>
      <c t="str" s="31" r="AR43">
        <f t="shared" si="17"/>
        <v>€ 3 000,00</v>
      </c>
      <c t="str" s="31" r="AS43">
        <f t="shared" si="17"/>
        <v>€ 3 000,00</v>
      </c>
      <c t="str" s="31" r="AT43">
        <f t="shared" si="17"/>
        <v>€ 3 000,00</v>
      </c>
      <c t="str" s="31" r="AU43">
        <f t="shared" si="17"/>
        <v>€ 3 000,00</v>
      </c>
      <c t="str" s="31" r="AV43">
        <f t="shared" si="17"/>
        <v>€ 3 000,00</v>
      </c>
      <c t="str" s="31" r="AW43">
        <f t="shared" si="17"/>
        <v>€ 3 000,00</v>
      </c>
      <c t="str" s="31" r="AX43">
        <f t="shared" si="17"/>
        <v>€ 3 000,00</v>
      </c>
      <c t="str" s="31" r="AY43">
        <f t="shared" si="17"/>
        <v>€ 3 000,00</v>
      </c>
      <c t="str" s="31" r="AZ43">
        <f t="shared" si="17"/>
        <v>€ 3 000,00</v>
      </c>
      <c s="31" r="BA43"/>
      <c s="31" r="BB43"/>
      <c s="31" r="BC43"/>
      <c s="31" r="BD43"/>
    </row>
    <row customHeight="1" r="44" ht="15.75">
      <c t="s" s="40" r="A44">
        <v>308</v>
      </c>
      <c t="s" s="40" r="B44">
        <v>309</v>
      </c>
      <c s="40" r="C44"/>
      <c t="str" s="40" r="D44">
        <f ref="D44:AZ44" t="shared" si="18">SUM(D38:D43)</f>
        <v>€ 0,00</v>
      </c>
      <c t="str" s="139" r="E44">
        <f t="shared" si="18"/>
        <v>€ 300,80</v>
      </c>
      <c t="str" s="139" r="F44">
        <f t="shared" si="18"/>
        <v>€ 0,00</v>
      </c>
      <c t="str" s="139" r="G44">
        <f t="shared" si="18"/>
        <v>€ 0,00</v>
      </c>
      <c t="str" s="139" r="H44">
        <f t="shared" si="18"/>
        <v>€ 0,00</v>
      </c>
      <c t="str" s="139" r="I44">
        <f t="shared" si="18"/>
        <v>€ 0,00</v>
      </c>
      <c t="str" s="139" r="J44">
        <f t="shared" si="18"/>
        <v>€ 0,00</v>
      </c>
      <c t="str" s="40" r="K44">
        <f t="shared" si="18"/>
        <v>€ 4 814,13</v>
      </c>
      <c t="str" s="40" r="L44">
        <f t="shared" si="18"/>
        <v>€ 0,00</v>
      </c>
      <c t="str" s="40" r="M44">
        <f t="shared" si="18"/>
        <v>€ 6 877,33</v>
      </c>
      <c t="str" s="40" r="N44">
        <f t="shared" si="18"/>
        <v>€ 6 877,33</v>
      </c>
      <c t="str" s="40" r="O44">
        <f t="shared" si="18"/>
        <v>€ 8 972,27</v>
      </c>
      <c t="str" s="40" r="P44">
        <f t="shared" si="18"/>
        <v>€ 13 379,73</v>
      </c>
      <c t="str" s="40" r="Q44">
        <f t="shared" si="18"/>
        <v>€ 9 920,54</v>
      </c>
      <c t="str" s="40" r="R44">
        <f t="shared" si="18"/>
        <v>€ 12 161,58</v>
      </c>
      <c t="str" s="40" r="S44">
        <f t="shared" si="18"/>
        <v>€ 13 961,58</v>
      </c>
      <c t="str" s="40" r="T44">
        <f t="shared" si="18"/>
        <v>€ 16 312,83</v>
      </c>
      <c t="str" s="40" r="U44">
        <f t="shared" si="18"/>
        <v>€ 16 270,21</v>
      </c>
      <c t="str" s="40" r="V44">
        <f t="shared" si="18"/>
        <v>€ 16 270,21</v>
      </c>
      <c t="str" s="40" r="W44">
        <f t="shared" si="18"/>
        <v>€ 19 244,54</v>
      </c>
      <c t="str" s="40" r="X44">
        <f t="shared" si="18"/>
        <v>€ 16 340,75</v>
      </c>
      <c t="str" s="40" r="Y44">
        <f t="shared" si="18"/>
        <v>€ 19 376,01</v>
      </c>
      <c t="str" s="40" r="Z44">
        <f t="shared" si="18"/>
        <v>€ 23 329,94</v>
      </c>
      <c t="str" s="40" r="AA44">
        <f t="shared" si="18"/>
        <v>€ 19 446,55</v>
      </c>
      <c t="str" s="40" r="AB44">
        <f t="shared" si="18"/>
        <v>€ 24 964,88</v>
      </c>
      <c t="str" s="40" r="AC44">
        <f t="shared" si="18"/>
        <v>€ 38 061,68</v>
      </c>
      <c t="str" s="40" r="AD44">
        <f t="shared" si="18"/>
        <v>€ 42 812,98</v>
      </c>
      <c t="str" s="40" r="AE44">
        <f t="shared" si="18"/>
        <v>€ 43 765,23</v>
      </c>
      <c t="str" s="40" r="AF44">
        <f t="shared" si="18"/>
        <v>€ 43 835,77</v>
      </c>
      <c t="str" s="40" r="AG44">
        <f t="shared" si="18"/>
        <v>€ 43 906,31</v>
      </c>
      <c t="str" s="40" r="AH44">
        <f t="shared" si="18"/>
        <v>€ 43 976,85</v>
      </c>
      <c t="str" s="40" r="AI44">
        <f t="shared" si="18"/>
        <v>€ 44 047,38</v>
      </c>
      <c t="str" s="40" r="AJ44">
        <f t="shared" si="18"/>
        <v>€ 44 117,92</v>
      </c>
      <c t="str" s="40" r="AK44">
        <f t="shared" si="18"/>
        <v>€ 44 188,46</v>
      </c>
      <c t="str" s="40" r="AL44">
        <f t="shared" si="18"/>
        <v>€ 44 259,00</v>
      </c>
      <c t="str" s="40" r="AM44">
        <f t="shared" si="18"/>
        <v>€ 44 329,53</v>
      </c>
      <c t="str" s="40" r="AN44">
        <f t="shared" si="18"/>
        <v>€ 44 400,07</v>
      </c>
      <c t="str" s="40" r="AO44">
        <f t="shared" si="18"/>
        <v>€ 55 198,40</v>
      </c>
      <c t="str" s="40" r="AP44">
        <f t="shared" si="18"/>
        <v>€ 55 304,21</v>
      </c>
      <c t="str" s="40" r="AQ44">
        <f t="shared" si="18"/>
        <v>€ 55 410,01</v>
      </c>
      <c t="str" s="40" r="AR44">
        <f t="shared" si="18"/>
        <v>€ 55 515,82</v>
      </c>
      <c t="str" s="40" r="AS44">
        <f t="shared" si="18"/>
        <v>€ 55 621,63</v>
      </c>
      <c t="str" s="40" r="AT44">
        <f t="shared" si="18"/>
        <v>€ 55 727,43</v>
      </c>
      <c t="str" s="40" r="AU44">
        <f t="shared" si="18"/>
        <v>€ 55 833,24</v>
      </c>
      <c t="str" s="40" r="AV44">
        <f t="shared" si="18"/>
        <v>€ 55 939,05</v>
      </c>
      <c t="str" s="40" r="AW44">
        <f t="shared" si="18"/>
        <v>€ 56 044,85</v>
      </c>
      <c t="str" s="40" r="AX44">
        <f t="shared" si="18"/>
        <v>€ 56 150,66</v>
      </c>
      <c t="str" s="40" r="AY44">
        <f t="shared" si="18"/>
        <v>€ 56 256,46</v>
      </c>
      <c t="str" s="40" r="AZ44">
        <f t="shared" si="18"/>
        <v>€ 56 362,27</v>
      </c>
      <c s="40" r="BA44"/>
      <c s="40" r="BB44"/>
      <c s="40" r="BC44"/>
      <c s="40" r="BD44"/>
    </row>
    <row customHeight="1" r="45" ht="15.75">
      <c t="s" s="40" r="A45">
        <v>310</v>
      </c>
      <c s="40" r="B45"/>
      <c s="40" r="C45"/>
      <c t="str" s="40" r="D45">
        <f ref="D45:AZ45" t="shared" si="19">D44*$C$37</f>
        <v>€ 0,00</v>
      </c>
      <c t="str" s="139" r="E45">
        <f t="shared" si="19"/>
        <v>€ 165,44</v>
      </c>
      <c t="str" s="139" r="F45">
        <f t="shared" si="19"/>
        <v>€ 0,00</v>
      </c>
      <c t="str" s="139" r="G45">
        <f t="shared" si="19"/>
        <v>€ 0,00</v>
      </c>
      <c t="str" s="139" r="H45">
        <f t="shared" si="19"/>
        <v>€ 0,00</v>
      </c>
      <c t="str" s="139" r="I45">
        <f t="shared" si="19"/>
        <v>€ 0,00</v>
      </c>
      <c t="str" s="139" r="J45">
        <f t="shared" si="19"/>
        <v>€ 0,00</v>
      </c>
      <c t="str" s="40" r="K45">
        <f t="shared" si="19"/>
        <v>€ 2 647,77</v>
      </c>
      <c t="str" s="40" r="L45">
        <f t="shared" si="19"/>
        <v>€ 0,00</v>
      </c>
      <c t="str" s="40" r="M45">
        <f t="shared" si="19"/>
        <v>€ 3 782,53</v>
      </c>
      <c t="str" s="40" r="N45">
        <f t="shared" si="19"/>
        <v>€ 3 782,53</v>
      </c>
      <c t="str" s="40" r="O45">
        <f t="shared" si="19"/>
        <v>€ 4 934,75</v>
      </c>
      <c t="str" s="40" r="P45">
        <f t="shared" si="19"/>
        <v>€ 7 358,85</v>
      </c>
      <c t="str" s="40" r="Q45">
        <f t="shared" si="19"/>
        <v>€ 5 456,30</v>
      </c>
      <c t="str" s="40" r="R45">
        <f t="shared" si="19"/>
        <v>€ 6 688,87</v>
      </c>
      <c t="str" s="40" r="S45">
        <f t="shared" si="19"/>
        <v>€ 7 678,87</v>
      </c>
      <c t="str" s="40" r="T45">
        <f t="shared" si="19"/>
        <v>€ 8 972,06</v>
      </c>
      <c t="str" s="40" r="U45">
        <f t="shared" si="19"/>
        <v>€ 8 948,61</v>
      </c>
      <c t="str" s="40" r="V45">
        <f t="shared" si="19"/>
        <v>€ 8 948,61</v>
      </c>
      <c t="str" s="40" r="W45">
        <f t="shared" si="19"/>
        <v>€ 10 584,50</v>
      </c>
      <c t="str" s="40" r="X45">
        <f t="shared" si="19"/>
        <v>€ 8 987,41</v>
      </c>
      <c t="str" s="40" r="Y45">
        <f t="shared" si="19"/>
        <v>€ 10 656,81</v>
      </c>
      <c t="str" s="40" r="Z45">
        <f t="shared" si="19"/>
        <v>€ 12 831,46</v>
      </c>
      <c t="str" s="40" r="AA45">
        <f t="shared" si="19"/>
        <v>€ 10 695,60</v>
      </c>
      <c t="str" s="40" r="AB45">
        <f t="shared" si="19"/>
        <v>€ 13 730,69</v>
      </c>
      <c t="str" s="40" r="AC45">
        <f t="shared" si="19"/>
        <v>€ 20 933,92</v>
      </c>
      <c t="str" s="40" r="AD45">
        <f t="shared" si="19"/>
        <v>€ 23 547,14</v>
      </c>
      <c t="str" s="40" r="AE45">
        <f t="shared" si="19"/>
        <v>€ 24 070,88</v>
      </c>
      <c t="str" s="40" r="AF45">
        <f t="shared" si="19"/>
        <v>€ 24 109,67</v>
      </c>
      <c t="str" s="40" r="AG45">
        <f t="shared" si="19"/>
        <v>€ 24 148,47</v>
      </c>
      <c t="str" s="40" r="AH45">
        <f t="shared" si="19"/>
        <v>€ 24 187,27</v>
      </c>
      <c t="str" s="40" r="AI45">
        <f t="shared" si="19"/>
        <v>€ 24 226,06</v>
      </c>
      <c t="str" s="40" r="AJ45">
        <f t="shared" si="19"/>
        <v>€ 24 264,86</v>
      </c>
      <c t="str" s="40" r="AK45">
        <f t="shared" si="19"/>
        <v>€ 24 303,65</v>
      </c>
      <c t="str" s="40" r="AL45">
        <f t="shared" si="19"/>
        <v>€ 24 342,45</v>
      </c>
      <c t="str" s="40" r="AM45">
        <f t="shared" si="19"/>
        <v>€ 24 381,24</v>
      </c>
      <c t="str" s="40" r="AN45">
        <f t="shared" si="19"/>
        <v>€ 24 420,04</v>
      </c>
      <c t="str" s="40" r="AO45">
        <f t="shared" si="19"/>
        <v>€ 30 359,12</v>
      </c>
      <c t="str" s="40" r="AP45">
        <f t="shared" si="19"/>
        <v>€ 30 417,31</v>
      </c>
      <c t="str" s="40" r="AQ45">
        <f t="shared" si="19"/>
        <v>€ 30 475,51</v>
      </c>
      <c t="str" s="40" r="AR45">
        <f t="shared" si="19"/>
        <v>€ 30 533,70</v>
      </c>
      <c t="str" s="40" r="AS45">
        <f t="shared" si="19"/>
        <v>€ 30 591,89</v>
      </c>
      <c t="str" s="40" r="AT45">
        <f t="shared" si="19"/>
        <v>€ 30 650,09</v>
      </c>
      <c t="str" s="40" r="AU45">
        <f t="shared" si="19"/>
        <v>€ 30 708,28</v>
      </c>
      <c t="str" s="40" r="AV45">
        <f t="shared" si="19"/>
        <v>€ 30 766,48</v>
      </c>
      <c t="str" s="40" r="AW45">
        <f t="shared" si="19"/>
        <v>€ 30 824,67</v>
      </c>
      <c t="str" s="40" r="AX45">
        <f t="shared" si="19"/>
        <v>€ 30 882,86</v>
      </c>
      <c t="str" s="40" r="AY45">
        <f t="shared" si="19"/>
        <v>€ 30 941,06</v>
      </c>
      <c t="str" s="40" r="AZ45">
        <f t="shared" si="19"/>
        <v>€ 30 999,25</v>
      </c>
      <c s="40" r="BA45"/>
      <c s="40" r="BB45"/>
      <c s="40" r="BC45"/>
      <c s="40" r="BD45"/>
    </row>
    <row customHeight="1" r="46" ht="12.75">
      <c s="18" r="A46"/>
      <c s="18" r="B46"/>
      <c s="156" r="E46"/>
      <c s="156" r="F46"/>
      <c s="156" r="G46"/>
      <c s="156" r="H46"/>
      <c s="156" r="I46"/>
      <c s="156" r="J46"/>
    </row>
    <row customHeight="1" r="47" ht="12.75">
      <c s="18" r="A47"/>
      <c s="18" r="B47"/>
      <c s="156" r="E47"/>
      <c s="156" r="F47"/>
      <c s="156" r="G47"/>
      <c s="156" r="H47"/>
      <c s="156" r="I47"/>
      <c s="156" r="J47"/>
    </row>
    <row customHeight="1" r="48" ht="12.75">
      <c t="s" s="140" r="A48">
        <v>311</v>
      </c>
      <c s="141" r="B48"/>
      <c s="142" r="C48"/>
      <c s="142" r="D48"/>
      <c s="143" r="E48"/>
      <c s="143" r="F48"/>
      <c s="143" r="G48"/>
      <c s="143" r="H48"/>
      <c s="143" r="I48"/>
      <c s="143" r="J48"/>
      <c s="142" r="K48"/>
      <c s="142" r="L48"/>
      <c s="142" r="M48"/>
      <c s="142" r="N48"/>
      <c s="142" r="O48"/>
      <c s="142" r="P48"/>
      <c s="142" r="Q48"/>
      <c s="142" r="R48"/>
      <c s="142" r="S48"/>
      <c s="142" r="T48"/>
      <c s="142" r="U48"/>
      <c s="142" r="V48"/>
      <c s="142" r="W48"/>
      <c s="142" r="X48"/>
      <c s="142" r="Y48"/>
      <c s="142" r="Z48"/>
      <c s="142" r="AA48"/>
      <c s="142" r="AB48"/>
      <c s="142" r="AC48"/>
      <c s="142" r="AD48"/>
      <c s="142" r="AE48"/>
      <c s="142" r="AF48"/>
      <c s="142" r="AG48"/>
      <c s="142" r="AH48"/>
      <c s="142" r="AI48"/>
      <c s="142" r="AJ48"/>
      <c s="142" r="AK48"/>
      <c s="142" r="AL48"/>
      <c s="142" r="AM48"/>
      <c s="142" r="AN48"/>
      <c s="142" r="AO48"/>
      <c s="142" r="AP48"/>
      <c s="142" r="AQ48"/>
      <c s="142" r="AR48"/>
      <c s="142" r="AS48"/>
      <c s="142" r="AT48"/>
      <c s="142" r="AU48"/>
      <c s="142" r="AV48"/>
      <c s="142" r="AW48"/>
      <c s="142" r="AX48"/>
      <c s="142" r="AY48"/>
      <c s="142" r="AZ48"/>
      <c s="142" r="BA48"/>
      <c s="142" r="BB48"/>
      <c s="142" r="BC48"/>
      <c s="142" r="BD48"/>
    </row>
    <row customHeight="1" r="49" ht="26.25">
      <c t="s" s="18" r="A49">
        <v>312</v>
      </c>
      <c t="s" s="33" r="B49">
        <v>313</v>
      </c>
      <c s="25" r="C49">
        <v>300.0</v>
      </c>
      <c t="str" s="18" r="D49">
        <f>'Annuel (OLD)'!B2</f>
        <v>1</v>
      </c>
      <c s="157" r="E49">
        <v>3.0</v>
      </c>
      <c s="157" r="F49">
        <v>3.0</v>
      </c>
      <c s="157" r="G49">
        <v>3.0</v>
      </c>
      <c s="157" r="H49">
        <v>3.0</v>
      </c>
      <c s="157" r="I49">
        <v>3.0</v>
      </c>
      <c s="157" r="J49">
        <v>3.0</v>
      </c>
      <c s="33" r="K49">
        <v>0.0</v>
      </c>
      <c s="33" r="L49">
        <v>1.0</v>
      </c>
      <c s="158" r="M49">
        <v>3.0</v>
      </c>
      <c t="str" s="159" r="N49">
        <f ref="N49:AZ49" t="shared" si="20">N33*2</f>
        <v>0</v>
      </c>
      <c t="str" s="159" r="O49">
        <f t="shared" si="20"/>
        <v>4</v>
      </c>
      <c t="str" s="159" r="P49">
        <f t="shared" si="20"/>
        <v>6</v>
      </c>
      <c t="str" s="159" r="Q49">
        <f t="shared" si="20"/>
        <v>5</v>
      </c>
      <c t="str" s="159" r="R49">
        <f t="shared" si="20"/>
        <v>4</v>
      </c>
      <c t="str" s="159" r="S49">
        <f t="shared" si="20"/>
        <v>4</v>
      </c>
      <c t="str" s="159" r="T49">
        <f t="shared" si="20"/>
        <v>8</v>
      </c>
      <c t="str" s="159" r="U49">
        <f t="shared" si="20"/>
        <v>6</v>
      </c>
      <c t="str" s="159" r="V49">
        <f t="shared" si="20"/>
        <v>6</v>
      </c>
      <c t="str" s="159" r="W49">
        <f t="shared" si="20"/>
        <v>11</v>
      </c>
      <c t="str" s="159" r="X49">
        <f t="shared" si="20"/>
        <v>6</v>
      </c>
      <c t="str" s="159" r="Y49">
        <f t="shared" si="20"/>
        <v>6</v>
      </c>
      <c t="str" s="159" r="Z49">
        <f t="shared" si="20"/>
        <v>13</v>
      </c>
      <c t="str" s="159" r="AA49">
        <f t="shared" si="20"/>
        <v>6</v>
      </c>
      <c t="str" s="159" r="AB49">
        <f t="shared" si="20"/>
        <v>11</v>
      </c>
      <c t="str" s="159" r="AC49">
        <f t="shared" si="20"/>
        <v>17</v>
      </c>
      <c t="str" s="159" r="AD49">
        <f t="shared" si="20"/>
        <v>20</v>
      </c>
      <c t="str" s="159" r="AE49">
        <f t="shared" si="20"/>
        <v>22</v>
      </c>
      <c t="str" s="159" r="AF49">
        <f t="shared" si="20"/>
        <v>22</v>
      </c>
      <c t="str" s="159" r="AG49">
        <f t="shared" si="20"/>
        <v>22</v>
      </c>
      <c t="str" s="159" r="AH49">
        <f t="shared" si="20"/>
        <v>22</v>
      </c>
      <c t="str" s="159" r="AI49">
        <f t="shared" si="20"/>
        <v>23</v>
      </c>
      <c t="str" s="159" r="AJ49">
        <f t="shared" si="20"/>
        <v>23</v>
      </c>
      <c t="str" s="159" r="AK49">
        <f t="shared" si="20"/>
        <v>23</v>
      </c>
      <c t="str" s="159" r="AL49">
        <f t="shared" si="20"/>
        <v>23</v>
      </c>
      <c t="str" s="159" r="AM49">
        <f t="shared" si="20"/>
        <v>23</v>
      </c>
      <c t="str" s="159" r="AN49">
        <f t="shared" si="20"/>
        <v>23</v>
      </c>
      <c t="str" s="159" r="AO49">
        <f t="shared" si="20"/>
        <v>31</v>
      </c>
      <c t="str" s="159" r="AP49">
        <f t="shared" si="20"/>
        <v>32</v>
      </c>
      <c t="str" s="159" r="AQ49">
        <f t="shared" si="20"/>
        <v>32</v>
      </c>
      <c t="str" s="159" r="AR49">
        <f t="shared" si="20"/>
        <v>32</v>
      </c>
      <c t="str" s="159" r="AS49">
        <f t="shared" si="20"/>
        <v>32</v>
      </c>
      <c t="str" s="159" r="AT49">
        <f t="shared" si="20"/>
        <v>32</v>
      </c>
      <c t="str" s="159" r="AU49">
        <f t="shared" si="20"/>
        <v>33</v>
      </c>
      <c t="str" s="159" r="AV49">
        <f t="shared" si="20"/>
        <v>33</v>
      </c>
      <c t="str" s="159" r="AW49">
        <f t="shared" si="20"/>
        <v>33</v>
      </c>
      <c t="str" s="159" r="AX49">
        <f t="shared" si="20"/>
        <v>33</v>
      </c>
      <c t="str" s="159" r="AY49">
        <f t="shared" si="20"/>
        <v>33</v>
      </c>
      <c t="str" s="159" r="AZ49">
        <f t="shared" si="20"/>
        <v>33</v>
      </c>
    </row>
    <row customHeight="1" r="50" ht="26.25">
      <c t="s" s="18" r="A50">
        <v>314</v>
      </c>
      <c t="s" s="33" r="B50">
        <v>315</v>
      </c>
      <c s="25" r="C50">
        <v>1000.0</v>
      </c>
      <c s="33" r="D50">
        <v>5.0</v>
      </c>
      <c s="160" r="E50">
        <v>1.0</v>
      </c>
      <c s="160" r="F50">
        <v>1.0</v>
      </c>
      <c s="160" r="G50">
        <v>1.0</v>
      </c>
      <c s="160" r="H50">
        <v>1.0</v>
      </c>
      <c s="160" r="I50">
        <v>1.0</v>
      </c>
      <c s="160" r="J50">
        <v>1.0</v>
      </c>
      <c s="33" r="K50">
        <v>1.0</v>
      </c>
      <c s="33" r="L50">
        <v>0.0</v>
      </c>
      <c s="33" r="M50">
        <v>1.0</v>
      </c>
      <c s="33" r="N50">
        <v>1.0</v>
      </c>
      <c s="33" r="O50">
        <v>1.0</v>
      </c>
      <c s="33" r="P50">
        <v>1.0</v>
      </c>
      <c s="33" r="Q50">
        <v>1.0</v>
      </c>
      <c s="33" r="R50">
        <v>1.0</v>
      </c>
      <c s="33" r="S50">
        <v>1.0</v>
      </c>
      <c s="33" r="T50">
        <v>1.0</v>
      </c>
      <c s="33" r="U50">
        <v>1.0</v>
      </c>
      <c s="33" r="V50">
        <v>1.0</v>
      </c>
      <c s="33" r="W50">
        <v>1.0</v>
      </c>
      <c s="33" r="X50">
        <v>1.0</v>
      </c>
      <c s="33" r="Y50">
        <v>1.0</v>
      </c>
      <c s="33" r="Z50">
        <v>1.0</v>
      </c>
      <c s="33" r="AA50">
        <v>1.0</v>
      </c>
      <c s="33" r="AB50">
        <v>1.0</v>
      </c>
      <c s="33" r="AC50">
        <v>2.0</v>
      </c>
      <c s="33" r="AD50">
        <v>2.0</v>
      </c>
      <c s="33" r="AE50">
        <v>2.0</v>
      </c>
      <c s="33" r="AF50">
        <v>2.0</v>
      </c>
      <c s="33" r="AG50">
        <v>2.0</v>
      </c>
      <c s="33" r="AH50">
        <v>2.0</v>
      </c>
      <c s="33" r="AI50">
        <v>2.0</v>
      </c>
      <c s="33" r="AJ50">
        <v>2.0</v>
      </c>
      <c s="33" r="AK50">
        <v>2.0</v>
      </c>
      <c s="33" r="AL50">
        <v>2.0</v>
      </c>
      <c s="33" r="AM50">
        <v>2.0</v>
      </c>
      <c s="33" r="AN50">
        <v>2.0</v>
      </c>
      <c s="33" r="AO50">
        <v>2.0</v>
      </c>
      <c s="33" r="AP50">
        <v>2.0</v>
      </c>
      <c s="33" r="AQ50">
        <v>2.0</v>
      </c>
      <c s="33" r="AR50">
        <v>2.0</v>
      </c>
      <c s="33" r="AS50">
        <v>2.0</v>
      </c>
      <c s="33" r="AT50">
        <v>2.0</v>
      </c>
      <c s="33" r="AU50">
        <v>2.0</v>
      </c>
      <c s="33" r="AV50">
        <v>2.0</v>
      </c>
      <c s="33" r="AW50">
        <v>2.0</v>
      </c>
      <c s="33" r="AX50">
        <v>2.0</v>
      </c>
      <c s="33" r="AY50">
        <v>2.0</v>
      </c>
      <c s="33" r="AZ50">
        <v>2.0</v>
      </c>
    </row>
    <row customHeight="1" r="51" ht="12.75">
      <c t="s" s="33" r="A51">
        <v>316</v>
      </c>
      <c s="18" r="B51"/>
      <c s="25" r="C51">
        <v>400.0</v>
      </c>
      <c s="18" r="D51"/>
      <c s="161" r="E51"/>
      <c s="161" r="F51"/>
      <c s="161" r="G51"/>
      <c s="161" r="H51"/>
      <c s="161" r="I51"/>
      <c s="161" r="J51"/>
      <c s="33" r="K51">
        <v>1.0</v>
      </c>
      <c s="33" r="L51">
        <v>0.0</v>
      </c>
      <c s="33" r="M51">
        <v>2.0</v>
      </c>
      <c s="33" r="N51">
        <v>2.0</v>
      </c>
      <c s="33" r="O51">
        <v>2.0</v>
      </c>
      <c s="33" r="P51">
        <v>2.0</v>
      </c>
      <c s="33" r="Q51">
        <v>2.0</v>
      </c>
      <c s="33" r="R51">
        <v>2.0</v>
      </c>
      <c s="33" r="S51">
        <v>2.0</v>
      </c>
      <c s="33" r="T51">
        <v>2.0</v>
      </c>
      <c s="33" r="U51">
        <v>2.0</v>
      </c>
      <c s="33" r="V51">
        <v>2.0</v>
      </c>
      <c s="33" r="W51">
        <v>2.0</v>
      </c>
      <c s="33" r="X51">
        <v>2.0</v>
      </c>
      <c s="33" r="Y51">
        <v>2.0</v>
      </c>
      <c s="33" r="Z51">
        <v>2.0</v>
      </c>
      <c s="33" r="AA51">
        <v>2.0</v>
      </c>
      <c s="33" r="AB51">
        <v>2.0</v>
      </c>
      <c s="33" r="AC51">
        <v>2.0</v>
      </c>
      <c s="33" r="AD51">
        <v>2.0</v>
      </c>
      <c s="33" r="AE51">
        <v>2.0</v>
      </c>
      <c s="33" r="AF51">
        <v>2.0</v>
      </c>
      <c s="33" r="AG51">
        <v>2.0</v>
      </c>
      <c s="33" r="AH51">
        <v>2.0</v>
      </c>
      <c s="33" r="AI51">
        <v>2.0</v>
      </c>
      <c s="33" r="AJ51">
        <v>2.0</v>
      </c>
      <c s="33" r="AK51">
        <v>2.0</v>
      </c>
      <c s="33" r="AL51">
        <v>2.0</v>
      </c>
      <c s="33" r="AM51">
        <v>2.0</v>
      </c>
      <c s="33" r="AN51">
        <v>2.0</v>
      </c>
      <c s="33" r="AO51">
        <v>2.0</v>
      </c>
      <c s="33" r="AP51">
        <v>2.0</v>
      </c>
      <c s="33" r="AQ51">
        <v>2.0</v>
      </c>
      <c s="33" r="AR51">
        <v>2.0</v>
      </c>
      <c s="33" r="AS51">
        <v>2.0</v>
      </c>
      <c s="33" r="AT51">
        <v>2.0</v>
      </c>
      <c s="33" r="AU51">
        <v>2.0</v>
      </c>
      <c s="33" r="AV51">
        <v>2.0</v>
      </c>
      <c s="33" r="AW51">
        <v>2.0</v>
      </c>
      <c s="33" r="AX51">
        <v>2.0</v>
      </c>
      <c s="33" r="AY51">
        <v>2.0</v>
      </c>
      <c s="33" r="AZ51">
        <v>2.0</v>
      </c>
    </row>
    <row customHeight="1" r="52" ht="12.75">
      <c t="str" s="18" r="A52">
        <f ref="A52:A54" t="shared" si="22">A49</f>
        <v>Deplacement (par voyage, q-té de voyages)</v>
      </c>
      <c s="18" r="B52"/>
      <c t="str" s="18" r="D52">
        <f ref="D52:AZ52" t="shared" si="21">D49*$C49</f>
        <v>€ 300,00</v>
      </c>
      <c t="str" s="161" r="E52">
        <f t="shared" si="21"/>
        <v>€ 900,00</v>
      </c>
      <c t="str" s="161" r="F52">
        <f t="shared" si="21"/>
        <v>€ 900,00</v>
      </c>
      <c t="str" s="161" r="G52">
        <f t="shared" si="21"/>
        <v>€ 900,00</v>
      </c>
      <c t="str" s="161" r="H52">
        <f t="shared" si="21"/>
        <v>€ 900,00</v>
      </c>
      <c t="str" s="161" r="I52">
        <f t="shared" si="21"/>
        <v>€ 900,00</v>
      </c>
      <c t="str" s="161" r="J52">
        <f t="shared" si="21"/>
        <v>€ 900,00</v>
      </c>
      <c t="str" s="18" r="K52">
        <f t="shared" si="21"/>
        <v>€ 0,00</v>
      </c>
      <c t="str" s="18" r="L52">
        <f t="shared" si="21"/>
        <v>€ 300,00</v>
      </c>
      <c t="str" s="18" r="M52">
        <f t="shared" si="21"/>
        <v>€ 900,00</v>
      </c>
      <c t="str" s="18" r="N52">
        <f t="shared" si="21"/>
        <v>€ 0,00</v>
      </c>
      <c t="str" s="18" r="O52">
        <f t="shared" si="21"/>
        <v>€ 1 200,00</v>
      </c>
      <c t="str" s="18" r="P52">
        <f t="shared" si="21"/>
        <v>€ 1 800,00</v>
      </c>
      <c t="str" s="18" r="Q52">
        <f t="shared" si="21"/>
        <v>€ 1 500,00</v>
      </c>
      <c t="str" s="18" r="R52">
        <f t="shared" si="21"/>
        <v>€ 1 200,00</v>
      </c>
      <c t="str" s="18" r="S52">
        <f t="shared" si="21"/>
        <v>€ 1 200,00</v>
      </c>
      <c t="str" s="18" r="T52">
        <f t="shared" si="21"/>
        <v>€ 2 400,00</v>
      </c>
      <c t="str" s="18" r="U52">
        <f t="shared" si="21"/>
        <v>€ 1 800,00</v>
      </c>
      <c t="str" s="18" r="V52">
        <f t="shared" si="21"/>
        <v>€ 1 800,00</v>
      </c>
      <c t="str" s="18" r="W52">
        <f t="shared" si="21"/>
        <v>€ 3 318,00</v>
      </c>
      <c t="str" s="18" r="X52">
        <f t="shared" si="21"/>
        <v>€ 1 836,00</v>
      </c>
      <c t="str" s="18" r="Y52">
        <f t="shared" si="21"/>
        <v>€ 1 854,00</v>
      </c>
      <c t="str" s="18" r="Z52">
        <f t="shared" si="21"/>
        <v>€ 3 871,95</v>
      </c>
      <c t="str" s="18" r="AA52">
        <f t="shared" si="21"/>
        <v>€ 1 890,00</v>
      </c>
      <c t="str" s="18" r="AB52">
        <f t="shared" si="21"/>
        <v>€ 3 408,00</v>
      </c>
      <c t="str" s="18" r="AC52">
        <f t="shared" si="21"/>
        <v>€ 5 210,00</v>
      </c>
      <c t="str" s="18" r="AD52">
        <f t="shared" si="21"/>
        <v>€ 6 138,00</v>
      </c>
      <c t="str" s="18" r="AE52">
        <f t="shared" si="21"/>
        <v>€ 6 624,00</v>
      </c>
      <c t="str" s="18" r="AF52">
        <f t="shared" si="21"/>
        <v>€ 6 660,00</v>
      </c>
      <c t="str" s="18" r="AG52">
        <f t="shared" si="21"/>
        <v>€ 6 696,00</v>
      </c>
      <c t="str" s="18" r="AH52">
        <f t="shared" si="21"/>
        <v>€ 6 732,00</v>
      </c>
      <c t="str" s="18" r="AI52">
        <f t="shared" si="21"/>
        <v>€ 6 768,00</v>
      </c>
      <c t="str" s="18" r="AJ52">
        <f t="shared" si="21"/>
        <v>€ 6 804,00</v>
      </c>
      <c t="str" s="18" r="AK52">
        <f t="shared" si="21"/>
        <v>€ 6 840,00</v>
      </c>
      <c t="str" s="18" r="AL52">
        <f t="shared" si="21"/>
        <v>€ 6 876,00</v>
      </c>
      <c t="str" s="18" r="AM52">
        <f t="shared" si="21"/>
        <v>€ 6 912,00</v>
      </c>
      <c t="str" s="18" r="AN52">
        <f t="shared" si="21"/>
        <v>€ 6 948,00</v>
      </c>
      <c t="str" s="18" r="AO52">
        <f t="shared" si="21"/>
        <v>€ 9 426,00</v>
      </c>
      <c t="str" s="18" r="AP52">
        <f t="shared" si="21"/>
        <v>€ 9 480,00</v>
      </c>
      <c t="str" s="18" r="AQ52">
        <f t="shared" si="21"/>
        <v>€ 9 534,00</v>
      </c>
      <c t="str" s="18" r="AR52">
        <f t="shared" si="21"/>
        <v>€ 9 588,00</v>
      </c>
      <c t="str" s="18" r="AS52">
        <f t="shared" si="21"/>
        <v>€ 9 642,00</v>
      </c>
      <c t="str" s="18" r="AT52">
        <f t="shared" si="21"/>
        <v>€ 9 696,00</v>
      </c>
      <c t="str" s="18" r="AU52">
        <f t="shared" si="21"/>
        <v>€ 9 750,00</v>
      </c>
      <c t="str" s="18" r="AV52">
        <f t="shared" si="21"/>
        <v>€ 9 804,00</v>
      </c>
      <c t="str" s="18" r="AW52">
        <f t="shared" si="21"/>
        <v>€ 9 858,00</v>
      </c>
      <c t="str" s="18" r="AX52">
        <f t="shared" si="21"/>
        <v>€ 9 912,00</v>
      </c>
      <c t="str" s="18" r="AY52">
        <f t="shared" si="21"/>
        <v>€ 9 966,00</v>
      </c>
      <c t="str" s="18" r="AZ52">
        <f t="shared" si="21"/>
        <v>€ 10 020,00</v>
      </c>
    </row>
    <row customHeight="1" r="53" ht="12.75">
      <c t="str" s="18" r="A53">
        <f t="shared" si="22"/>
        <v>Deplacement (par voyage, q-té de voyages)</v>
      </c>
      <c s="18" r="B53"/>
      <c t="str" s="18" r="D53">
        <f ref="D53:AZ53" t="shared" si="23">D50*$C50</f>
        <v>€ 5 000,00</v>
      </c>
      <c t="str" s="161" r="E53">
        <f t="shared" si="23"/>
        <v>€ 1 000,00</v>
      </c>
      <c t="str" s="161" r="F53">
        <f t="shared" si="23"/>
        <v>€ 1 000,00</v>
      </c>
      <c t="str" s="161" r="G53">
        <f t="shared" si="23"/>
        <v>€ 1 000,00</v>
      </c>
      <c t="str" s="161" r="H53">
        <f t="shared" si="23"/>
        <v>€ 1 000,00</v>
      </c>
      <c t="str" s="161" r="I53">
        <f t="shared" si="23"/>
        <v>€ 1 000,00</v>
      </c>
      <c t="str" s="161" r="J53">
        <f t="shared" si="23"/>
        <v>€ 1 000,00</v>
      </c>
      <c t="str" s="18" r="K53">
        <f t="shared" si="23"/>
        <v>€ 1 000,00</v>
      </c>
      <c t="str" s="18" r="L53">
        <f t="shared" si="23"/>
        <v>€ 0,00</v>
      </c>
      <c t="str" s="18" r="M53">
        <f t="shared" si="23"/>
        <v>€ 1 000,00</v>
      </c>
      <c t="str" s="18" r="N53">
        <f t="shared" si="23"/>
        <v>€ 1 000,00</v>
      </c>
      <c t="str" s="18" r="O53">
        <f t="shared" si="23"/>
        <v>€ 1 000,00</v>
      </c>
      <c t="str" s="18" r="P53">
        <f t="shared" si="23"/>
        <v>€ 1 000,00</v>
      </c>
      <c t="str" s="18" r="Q53">
        <f t="shared" si="23"/>
        <v>€ 1 000,00</v>
      </c>
      <c t="str" s="18" r="R53">
        <f t="shared" si="23"/>
        <v>€ 1 000,00</v>
      </c>
      <c t="str" s="18" r="S53">
        <f t="shared" si="23"/>
        <v>€ 1 000,00</v>
      </c>
      <c t="str" s="18" r="T53">
        <f t="shared" si="23"/>
        <v>€ 1 000,00</v>
      </c>
      <c t="str" s="18" r="U53">
        <f t="shared" si="23"/>
        <v>€ 1 000,00</v>
      </c>
      <c t="str" s="18" r="V53">
        <f t="shared" si="23"/>
        <v>€ 1 000,00</v>
      </c>
      <c t="str" s="18" r="W53">
        <f t="shared" si="23"/>
        <v>€ 1 000,00</v>
      </c>
      <c t="str" s="18" r="X53">
        <f t="shared" si="23"/>
        <v>€ 1 000,00</v>
      </c>
      <c t="str" s="18" r="Y53">
        <f t="shared" si="23"/>
        <v>€ 1 000,00</v>
      </c>
      <c t="str" s="18" r="Z53">
        <f t="shared" si="23"/>
        <v>€ 1 000,00</v>
      </c>
      <c t="str" s="18" r="AA53">
        <f t="shared" si="23"/>
        <v>€ 1 000,00</v>
      </c>
      <c t="str" s="18" r="AB53">
        <f t="shared" si="23"/>
        <v>€ 1 000,00</v>
      </c>
      <c t="str" s="18" r="AC53">
        <f t="shared" si="23"/>
        <v>€ 2 000,00</v>
      </c>
      <c t="str" s="18" r="AD53">
        <f t="shared" si="23"/>
        <v>€ 2 000,00</v>
      </c>
      <c t="str" s="18" r="AE53">
        <f t="shared" si="23"/>
        <v>€ 2 000,00</v>
      </c>
      <c t="str" s="18" r="AF53">
        <f t="shared" si="23"/>
        <v>€ 2 000,00</v>
      </c>
      <c t="str" s="18" r="AG53">
        <f t="shared" si="23"/>
        <v>€ 2 000,00</v>
      </c>
      <c t="str" s="18" r="AH53">
        <f t="shared" si="23"/>
        <v>€ 2 000,00</v>
      </c>
      <c t="str" s="18" r="AI53">
        <f t="shared" si="23"/>
        <v>€ 2 000,00</v>
      </c>
      <c t="str" s="18" r="AJ53">
        <f t="shared" si="23"/>
        <v>€ 2 000,00</v>
      </c>
      <c t="str" s="18" r="AK53">
        <f t="shared" si="23"/>
        <v>€ 2 000,00</v>
      </c>
      <c t="str" s="18" r="AL53">
        <f t="shared" si="23"/>
        <v>€ 2 000,00</v>
      </c>
      <c t="str" s="18" r="AM53">
        <f t="shared" si="23"/>
        <v>€ 2 000,00</v>
      </c>
      <c t="str" s="18" r="AN53">
        <f t="shared" si="23"/>
        <v>€ 2 000,00</v>
      </c>
      <c t="str" s="18" r="AO53">
        <f t="shared" si="23"/>
        <v>€ 2 000,00</v>
      </c>
      <c t="str" s="18" r="AP53">
        <f t="shared" si="23"/>
        <v>€ 2 000,00</v>
      </c>
      <c t="str" s="18" r="AQ53">
        <f t="shared" si="23"/>
        <v>€ 2 000,00</v>
      </c>
      <c t="str" s="18" r="AR53">
        <f t="shared" si="23"/>
        <v>€ 2 000,00</v>
      </c>
      <c t="str" s="18" r="AS53">
        <f t="shared" si="23"/>
        <v>€ 2 000,00</v>
      </c>
      <c t="str" s="18" r="AT53">
        <f t="shared" si="23"/>
        <v>€ 2 000,00</v>
      </c>
      <c t="str" s="18" r="AU53">
        <f t="shared" si="23"/>
        <v>€ 2 000,00</v>
      </c>
      <c t="str" s="18" r="AV53">
        <f t="shared" si="23"/>
        <v>€ 2 000,00</v>
      </c>
      <c t="str" s="18" r="AW53">
        <f t="shared" si="23"/>
        <v>€ 2 000,00</v>
      </c>
      <c t="str" s="18" r="AX53">
        <f t="shared" si="23"/>
        <v>€ 2 000,00</v>
      </c>
      <c t="str" s="18" r="AY53">
        <f t="shared" si="23"/>
        <v>€ 2 000,00</v>
      </c>
      <c t="str" s="18" r="AZ53">
        <f t="shared" si="23"/>
        <v>€ 2 000,00</v>
      </c>
    </row>
    <row customHeight="1" r="54" ht="15.75">
      <c t="str" s="18" r="A54">
        <f t="shared" si="22"/>
        <v>Deplacement aux bureaux (avec hotel à Paris) de Directeur Commercial (pas une semaine, q-té des semaines par moi</v>
      </c>
      <c s="40" r="B54"/>
      <c s="40" r="C54"/>
      <c s="40" r="D54"/>
      <c s="139" r="E54"/>
      <c s="139" r="F54"/>
      <c s="139" r="G54"/>
      <c s="139" r="H54"/>
      <c s="139" r="I54"/>
      <c s="139" r="J54"/>
      <c t="str" s="18" r="K54">
        <f ref="K54:AZ54" t="shared" si="24">K51*$C51</f>
        <v>€ 400,00</v>
      </c>
      <c t="str" s="18" r="L54">
        <f t="shared" si="24"/>
        <v>€ 0,00</v>
      </c>
      <c t="str" s="18" r="M54">
        <f t="shared" si="24"/>
        <v>€ 800,00</v>
      </c>
      <c t="str" s="18" r="N54">
        <f t="shared" si="24"/>
        <v>€ 800,00</v>
      </c>
      <c t="str" s="18" r="O54">
        <f t="shared" si="24"/>
        <v>€ 800,00</v>
      </c>
      <c t="str" s="18" r="P54">
        <f t="shared" si="24"/>
        <v>€ 800,00</v>
      </c>
      <c t="str" s="18" r="Q54">
        <f t="shared" si="24"/>
        <v>€ 800,00</v>
      </c>
      <c t="str" s="18" r="R54">
        <f t="shared" si="24"/>
        <v>€ 800,00</v>
      </c>
      <c t="str" s="18" r="S54">
        <f t="shared" si="24"/>
        <v>€ 800,00</v>
      </c>
      <c t="str" s="18" r="T54">
        <f t="shared" si="24"/>
        <v>€ 800,00</v>
      </c>
      <c t="str" s="18" r="U54">
        <f t="shared" si="24"/>
        <v>€ 800,00</v>
      </c>
      <c t="str" s="18" r="V54">
        <f t="shared" si="24"/>
        <v>€ 800,00</v>
      </c>
      <c t="str" s="18" r="W54">
        <f t="shared" si="24"/>
        <v>€ 800,00</v>
      </c>
      <c t="str" s="18" r="X54">
        <f t="shared" si="24"/>
        <v>€ 800,00</v>
      </c>
      <c t="str" s="18" r="Y54">
        <f t="shared" si="24"/>
        <v>€ 800,00</v>
      </c>
      <c t="str" s="18" r="Z54">
        <f t="shared" si="24"/>
        <v>€ 800,00</v>
      </c>
      <c t="str" s="18" r="AA54">
        <f t="shared" si="24"/>
        <v>€ 800,00</v>
      </c>
      <c t="str" s="18" r="AB54">
        <f t="shared" si="24"/>
        <v>€ 800,00</v>
      </c>
      <c t="str" s="18" r="AC54">
        <f t="shared" si="24"/>
        <v>€ 800,00</v>
      </c>
      <c t="str" s="18" r="AD54">
        <f t="shared" si="24"/>
        <v>€ 800,00</v>
      </c>
      <c t="str" s="18" r="AE54">
        <f t="shared" si="24"/>
        <v>€ 800,00</v>
      </c>
      <c t="str" s="18" r="AF54">
        <f t="shared" si="24"/>
        <v>€ 800,00</v>
      </c>
      <c t="str" s="18" r="AG54">
        <f t="shared" si="24"/>
        <v>€ 800,00</v>
      </c>
      <c t="str" s="18" r="AH54">
        <f t="shared" si="24"/>
        <v>€ 800,00</v>
      </c>
      <c t="str" s="18" r="AI54">
        <f t="shared" si="24"/>
        <v>€ 800,00</v>
      </c>
      <c t="str" s="18" r="AJ54">
        <f t="shared" si="24"/>
        <v>€ 800,00</v>
      </c>
      <c t="str" s="18" r="AK54">
        <f t="shared" si="24"/>
        <v>€ 800,00</v>
      </c>
      <c t="str" s="18" r="AL54">
        <f t="shared" si="24"/>
        <v>€ 800,00</v>
      </c>
      <c t="str" s="18" r="AM54">
        <f t="shared" si="24"/>
        <v>€ 800,00</v>
      </c>
      <c t="str" s="18" r="AN54">
        <f t="shared" si="24"/>
        <v>€ 800,00</v>
      </c>
      <c t="str" s="18" r="AO54">
        <f t="shared" si="24"/>
        <v>€ 800,00</v>
      </c>
      <c t="str" s="18" r="AP54">
        <f t="shared" si="24"/>
        <v>€ 800,00</v>
      </c>
      <c t="str" s="18" r="AQ54">
        <f t="shared" si="24"/>
        <v>€ 800,00</v>
      </c>
      <c t="str" s="18" r="AR54">
        <f t="shared" si="24"/>
        <v>€ 800,00</v>
      </c>
      <c t="str" s="18" r="AS54">
        <f t="shared" si="24"/>
        <v>€ 800,00</v>
      </c>
      <c t="str" s="18" r="AT54">
        <f t="shared" si="24"/>
        <v>€ 800,00</v>
      </c>
      <c t="str" s="18" r="AU54">
        <f t="shared" si="24"/>
        <v>€ 800,00</v>
      </c>
      <c t="str" s="18" r="AV54">
        <f t="shared" si="24"/>
        <v>€ 800,00</v>
      </c>
      <c t="str" s="18" r="AW54">
        <f t="shared" si="24"/>
        <v>€ 800,00</v>
      </c>
      <c t="str" s="18" r="AX54">
        <f t="shared" si="24"/>
        <v>€ 800,00</v>
      </c>
      <c t="str" s="18" r="AY54">
        <f t="shared" si="24"/>
        <v>€ 800,00</v>
      </c>
      <c t="str" s="18" r="AZ54">
        <f t="shared" si="24"/>
        <v>€ 800,00</v>
      </c>
      <c s="40" r="BA54"/>
      <c s="40" r="BB54"/>
      <c s="40" r="BC54"/>
      <c s="40" r="BD54"/>
    </row>
    <row customHeight="1" r="55" ht="15.75">
      <c t="s" s="40" r="A55">
        <v>317</v>
      </c>
      <c t="s" s="40" r="B55">
        <v>318</v>
      </c>
      <c s="40" r="C55"/>
      <c t="str" s="40" r="D55">
        <f ref="D55:J55" t="shared" si="25">SUM(D52:D53)</f>
        <v>€ 5 300,00</v>
      </c>
      <c t="str" s="139" r="E55">
        <f t="shared" si="25"/>
        <v>€ 1 900,00</v>
      </c>
      <c t="str" s="139" r="F55">
        <f t="shared" si="25"/>
        <v>€ 1 900,00</v>
      </c>
      <c t="str" s="139" r="G55">
        <f t="shared" si="25"/>
        <v>€ 1 900,00</v>
      </c>
      <c t="str" s="139" r="H55">
        <f t="shared" si="25"/>
        <v>€ 1 900,00</v>
      </c>
      <c t="str" s="139" r="I55">
        <f t="shared" si="25"/>
        <v>€ 1 900,00</v>
      </c>
      <c t="str" s="139" r="J55">
        <f t="shared" si="25"/>
        <v>€ 1 900,00</v>
      </c>
      <c t="str" s="40" r="K55">
        <f ref="K55:AZ55" t="shared" si="26">SUM(K52:K54)</f>
        <v>€ 1 400,00</v>
      </c>
      <c t="str" s="40" r="L55">
        <f t="shared" si="26"/>
        <v>€ 300,00</v>
      </c>
      <c t="str" s="40" r="M55">
        <f t="shared" si="26"/>
        <v>€ 2 700,00</v>
      </c>
      <c t="str" s="40" r="N55">
        <f t="shared" si="26"/>
        <v>€ 1 800,00</v>
      </c>
      <c t="str" s="40" r="O55">
        <f t="shared" si="26"/>
        <v>€ 3 000,00</v>
      </c>
      <c t="str" s="40" r="P55">
        <f t="shared" si="26"/>
        <v>€ 3 600,00</v>
      </c>
      <c t="str" s="40" r="Q55">
        <f t="shared" si="26"/>
        <v>€ 3 300,00</v>
      </c>
      <c t="str" s="40" r="R55">
        <f t="shared" si="26"/>
        <v>€ 3 000,00</v>
      </c>
      <c t="str" s="40" r="S55">
        <f t="shared" si="26"/>
        <v>€ 3 000,00</v>
      </c>
      <c t="str" s="40" r="T55">
        <f t="shared" si="26"/>
        <v>€ 4 200,00</v>
      </c>
      <c t="str" s="40" r="U55">
        <f t="shared" si="26"/>
        <v>€ 3 600,00</v>
      </c>
      <c t="str" s="40" r="V55">
        <f t="shared" si="26"/>
        <v>€ 3 600,00</v>
      </c>
      <c t="str" s="40" r="W55">
        <f t="shared" si="26"/>
        <v>€ 5 118,00</v>
      </c>
      <c t="str" s="40" r="X55">
        <f t="shared" si="26"/>
        <v>€ 3 636,00</v>
      </c>
      <c t="str" s="40" r="Y55">
        <f t="shared" si="26"/>
        <v>€ 3 654,00</v>
      </c>
      <c t="str" s="40" r="Z55">
        <f t="shared" si="26"/>
        <v>€ 5 671,95</v>
      </c>
      <c t="str" s="40" r="AA55">
        <f t="shared" si="26"/>
        <v>€ 3 690,00</v>
      </c>
      <c t="str" s="40" r="AB55">
        <f t="shared" si="26"/>
        <v>€ 5 208,00</v>
      </c>
      <c t="str" s="40" r="AC55">
        <f t="shared" si="26"/>
        <v>€ 8 010,00</v>
      </c>
      <c t="str" s="40" r="AD55">
        <f t="shared" si="26"/>
        <v>€ 8 938,00</v>
      </c>
      <c t="str" s="40" r="AE55">
        <f t="shared" si="26"/>
        <v>€ 9 424,00</v>
      </c>
      <c t="str" s="40" r="AF55">
        <f t="shared" si="26"/>
        <v>€ 9 460,00</v>
      </c>
      <c t="str" s="40" r="AG55">
        <f t="shared" si="26"/>
        <v>€ 9 496,00</v>
      </c>
      <c t="str" s="40" r="AH55">
        <f t="shared" si="26"/>
        <v>€ 9 532,00</v>
      </c>
      <c t="str" s="40" r="AI55">
        <f t="shared" si="26"/>
        <v>€ 9 568,00</v>
      </c>
      <c t="str" s="40" r="AJ55">
        <f t="shared" si="26"/>
        <v>€ 9 604,00</v>
      </c>
      <c t="str" s="40" r="AK55">
        <f t="shared" si="26"/>
        <v>€ 9 640,00</v>
      </c>
      <c t="str" s="40" r="AL55">
        <f t="shared" si="26"/>
        <v>€ 9 676,00</v>
      </c>
      <c t="str" s="40" r="AM55">
        <f t="shared" si="26"/>
        <v>€ 9 712,00</v>
      </c>
      <c t="str" s="40" r="AN55">
        <f t="shared" si="26"/>
        <v>€ 9 748,00</v>
      </c>
      <c t="str" s="40" r="AO55">
        <f t="shared" si="26"/>
        <v>€ 12 226,00</v>
      </c>
      <c t="str" s="40" r="AP55">
        <f t="shared" si="26"/>
        <v>€ 12 280,00</v>
      </c>
      <c t="str" s="40" r="AQ55">
        <f t="shared" si="26"/>
        <v>€ 12 334,00</v>
      </c>
      <c t="str" s="40" r="AR55">
        <f t="shared" si="26"/>
        <v>€ 12 388,00</v>
      </c>
      <c t="str" s="40" r="AS55">
        <f t="shared" si="26"/>
        <v>€ 12 442,00</v>
      </c>
      <c t="str" s="40" r="AT55">
        <f t="shared" si="26"/>
        <v>€ 12 496,00</v>
      </c>
      <c t="str" s="40" r="AU55">
        <f t="shared" si="26"/>
        <v>€ 12 550,00</v>
      </c>
      <c t="str" s="40" r="AV55">
        <f t="shared" si="26"/>
        <v>€ 12 604,00</v>
      </c>
      <c t="str" s="40" r="AW55">
        <f t="shared" si="26"/>
        <v>€ 12 658,00</v>
      </c>
      <c t="str" s="40" r="AX55">
        <f t="shared" si="26"/>
        <v>€ 12 712,00</v>
      </c>
      <c t="str" s="40" r="AY55">
        <f t="shared" si="26"/>
        <v>€ 12 766,00</v>
      </c>
      <c t="str" s="40" r="AZ55">
        <f t="shared" si="26"/>
        <v>€ 12 820,00</v>
      </c>
      <c s="40" r="BA55"/>
      <c s="40" r="BB55"/>
      <c s="40" r="BC55"/>
      <c s="40" r="BD55"/>
    </row>
    <row customHeight="1" r="58" ht="15.75">
      <c s="40" r="A58"/>
      <c s="40" r="B58"/>
      <c s="40" r="C58"/>
      <c s="40" r="D58"/>
      <c s="139" r="E58"/>
      <c s="139" r="F58"/>
      <c s="139" r="G58"/>
      <c s="139" r="H58"/>
      <c s="139" r="I58"/>
      <c s="139" r="J58"/>
      <c s="40" r="K58"/>
      <c s="40" r="L58"/>
      <c s="40" r="M58"/>
      <c s="40" r="N58"/>
      <c s="40" r="O58"/>
      <c s="40" r="P58"/>
      <c s="40" r="Q58"/>
      <c s="40" r="R58"/>
      <c s="40" r="S58"/>
      <c s="40" r="T58"/>
      <c s="40" r="U58"/>
      <c s="40" r="V58"/>
      <c s="40" r="W58"/>
      <c s="40" r="X58"/>
      <c s="40" r="Y58"/>
      <c s="40" r="Z58"/>
      <c s="40" r="AA58"/>
      <c s="40" r="AB58"/>
      <c s="40" r="AC58"/>
      <c s="40" r="AD58"/>
      <c s="40" r="AE58"/>
      <c s="40" r="AF58"/>
      <c s="40" r="AG58"/>
      <c s="40" r="AH58"/>
      <c s="40" r="AI58"/>
      <c s="40" r="AJ58"/>
      <c s="40" r="AK58"/>
      <c s="40" r="AL58"/>
      <c s="40" r="AM58"/>
      <c s="40" r="AN58"/>
      <c s="40" r="AO58"/>
      <c s="40" r="AP58"/>
      <c s="40" r="AQ58"/>
      <c s="40" r="AR58"/>
      <c s="40" r="AS58"/>
      <c s="40" r="AT58"/>
      <c s="40" r="AU58"/>
      <c s="40" r="AV58"/>
      <c s="40" r="AW58"/>
      <c s="40" r="AX58"/>
      <c s="40" r="AY58"/>
      <c s="40" r="AZ58"/>
      <c s="40" r="BA58"/>
      <c s="40" r="BB58"/>
      <c s="40" r="BC58"/>
      <c s="40" r="BD58"/>
    </row>
    <row customHeight="1" r="59" ht="26.25">
      <c t="s" s="18" r="A59">
        <v>319</v>
      </c>
      <c s="18" r="B59"/>
      <c s="25" r="C59">
        <v>30.0</v>
      </c>
      <c s="33" r="D59">
        <v>20.0</v>
      </c>
      <c s="160" r="E59">
        <v>40.0</v>
      </c>
      <c s="160" r="F59">
        <v>40.0</v>
      </c>
      <c s="160" r="G59">
        <v>40.0</v>
      </c>
      <c s="160" r="H59">
        <v>40.0</v>
      </c>
      <c s="160" r="I59">
        <v>40.0</v>
      </c>
      <c s="160" r="J59">
        <v>40.0</v>
      </c>
      <c s="33" r="K59">
        <v>0.0</v>
      </c>
      <c s="33" r="L59">
        <v>0.0</v>
      </c>
      <c s="33" r="M59">
        <v>0.0</v>
      </c>
      <c s="33" r="N59">
        <v>0.0</v>
      </c>
      <c s="33" r="O59">
        <v>0.0</v>
      </c>
      <c s="33" r="P59">
        <v>0.0</v>
      </c>
      <c s="33" r="Q59">
        <v>0.0</v>
      </c>
      <c s="33" r="R59">
        <v>0.0</v>
      </c>
      <c s="33" r="S59">
        <v>0.0</v>
      </c>
      <c s="33" r="T59">
        <v>0.0</v>
      </c>
      <c s="33" r="U59">
        <v>0.0</v>
      </c>
      <c s="33" r="V59">
        <v>0.0</v>
      </c>
      <c s="33" r="W59">
        <v>0.0</v>
      </c>
      <c s="33" r="X59">
        <v>0.0</v>
      </c>
      <c s="33" r="Y59">
        <v>0.0</v>
      </c>
      <c s="33" r="Z59">
        <v>0.0</v>
      </c>
      <c s="33" r="AA59">
        <v>0.0</v>
      </c>
      <c s="33" r="AB59">
        <v>0.0</v>
      </c>
      <c s="33" r="AC59">
        <v>200.0</v>
      </c>
      <c s="33" r="AD59">
        <v>200.0</v>
      </c>
      <c s="33" r="AE59">
        <v>200.0</v>
      </c>
      <c s="33" r="AF59">
        <v>200.0</v>
      </c>
      <c s="33" r="AG59">
        <v>200.0</v>
      </c>
      <c s="33" r="AH59">
        <v>200.0</v>
      </c>
      <c s="33" r="AI59">
        <v>200.0</v>
      </c>
      <c s="33" r="AJ59">
        <v>200.0</v>
      </c>
      <c s="33" r="AK59">
        <v>200.0</v>
      </c>
      <c s="33" r="AL59">
        <v>200.0</v>
      </c>
      <c s="33" r="AM59">
        <v>200.0</v>
      </c>
      <c s="33" r="AN59">
        <v>200.0</v>
      </c>
      <c s="33" r="AO59">
        <v>200.0</v>
      </c>
      <c s="33" r="AP59">
        <v>200.0</v>
      </c>
      <c s="33" r="AQ59">
        <v>200.0</v>
      </c>
      <c s="33" r="AR59">
        <v>200.0</v>
      </c>
      <c s="33" r="AS59">
        <v>200.0</v>
      </c>
      <c s="33" r="AT59">
        <v>200.0</v>
      </c>
      <c s="33" r="AU59">
        <v>200.0</v>
      </c>
      <c s="33" r="AV59">
        <v>200.0</v>
      </c>
      <c s="33" r="AW59">
        <v>200.0</v>
      </c>
      <c s="33" r="AX59">
        <v>200.0</v>
      </c>
      <c s="33" r="AY59">
        <v>200.0</v>
      </c>
      <c s="33" r="AZ59">
        <v>200.0</v>
      </c>
    </row>
    <row customHeight="1" r="60" ht="15.75">
      <c s="40" r="A60"/>
      <c s="40" r="B60"/>
      <c s="40" r="C60"/>
      <c s="40" r="D60"/>
      <c s="139" r="E60"/>
      <c s="139" r="F60"/>
      <c s="139" r="G60"/>
      <c s="139" r="H60"/>
      <c s="139" r="I60"/>
      <c s="139" r="J60"/>
      <c s="40" r="K60"/>
      <c s="40" r="L60"/>
      <c s="40" r="M60"/>
      <c s="40" r="N60"/>
      <c s="40" r="O60"/>
      <c s="40" r="P60"/>
      <c s="40" r="Q60"/>
      <c s="40" r="R60"/>
      <c s="40" r="S60"/>
      <c s="40" r="T60"/>
      <c s="40" r="U60"/>
      <c s="40" r="V60"/>
      <c s="40" r="W60"/>
      <c s="40" r="X60"/>
      <c s="40" r="Y60"/>
      <c s="40" r="Z60"/>
      <c s="40" r="AA60"/>
      <c s="40" r="AB60"/>
      <c s="40" r="AC60"/>
      <c s="40" r="AD60"/>
      <c s="40" r="AE60"/>
      <c s="40" r="AF60"/>
      <c s="40" r="AG60"/>
      <c s="40" r="AH60"/>
      <c s="40" r="AI60"/>
      <c s="40" r="AJ60"/>
      <c s="40" r="AK60"/>
      <c s="40" r="AL60"/>
      <c s="40" r="AM60"/>
      <c s="40" r="AN60"/>
      <c s="40" r="AO60"/>
      <c s="40" r="AP60"/>
      <c s="40" r="AQ60"/>
      <c s="40" r="AR60"/>
      <c s="40" r="AS60"/>
      <c s="40" r="AT60"/>
      <c s="40" r="AU60"/>
      <c s="40" r="AV60"/>
      <c s="40" r="AW60"/>
      <c s="40" r="AX60"/>
      <c s="40" r="AY60"/>
      <c s="40" r="AZ60"/>
      <c s="40" r="BA60"/>
      <c s="40" r="BB60"/>
      <c s="40" r="BC60"/>
      <c s="40" r="BD60"/>
    </row>
  </sheetData>
  <conditionalFormatting sqref="D1:AZ1 B3:BD23 A16:A19 A22:A23 A25:A45 B25:B35 C25:C31 D25:AP45 AQ25:AZ35 BA25:BD31 C33:C35 BA33:BD35 B38:C45 AQ38:BD45 C49:C51 B54:J55 L54:BD55 A55 K55 A58:B58 C58:C60 D58:BD58 A60:B60 D60:BD60">
    <cfRule priority="1" type="cellIs" operator="lessThan" stopIfTrue="1" dxfId="1">
      <formula>0</formula>
    </cfRule>
  </conditionalFormatting>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D3" ySplit="2.0" xSplit="3.0" activePane="bottomRight" state="frozen"/>
      <selection sqref="D1" activeCell="D1" pane="topRight"/>
      <selection sqref="A3" activeCell="A3" pane="bottomLeft"/>
      <selection sqref="D3" activeCell="D3" pane="bottomRight"/>
    </sheetView>
  </sheetViews>
  <sheetFormatPr customHeight="1" defaultColWidth="17.29" defaultRowHeight="15.75"/>
  <cols>
    <col min="1" customWidth="1" max="1" width="28.57"/>
    <col min="2" customWidth="1" max="2" width="20.29"/>
    <col min="3" customWidth="1" max="56" width="17.14"/>
  </cols>
  <sheetData>
    <row customHeight="1" r="1" ht="15.75">
      <c s="53" r="A1"/>
      <c t="str" s="53" r="B1">
        <f>'Annuel (OLD)'!A1</f>
        <v/>
      </c>
      <c s="54" r="C1"/>
      <c t="str" s="57" r="D1">
        <f>'Annuel (OLD)'!B1</f>
        <v>2 013,</v>
      </c>
      <c s="127" r="E1">
        <v>41640.0</v>
      </c>
      <c s="127" r="F1">
        <v>41671.0</v>
      </c>
      <c s="127" r="G1">
        <v>41699.0</v>
      </c>
      <c s="127" r="H1">
        <v>41730.0</v>
      </c>
      <c s="127" r="I1">
        <v>41760.0</v>
      </c>
      <c s="127" r="J1">
        <v>41791.0</v>
      </c>
      <c s="55" r="K1">
        <v>41821.0</v>
      </c>
      <c s="55" r="L1">
        <v>41852.0</v>
      </c>
      <c s="55" r="M1">
        <v>41883.0</v>
      </c>
      <c s="55" r="N1">
        <v>41913.0</v>
      </c>
      <c s="55" r="O1">
        <v>41944.0</v>
      </c>
      <c s="55" r="P1">
        <v>41974.0</v>
      </c>
      <c s="55" r="Q1">
        <v>42005.0</v>
      </c>
      <c s="55" r="R1">
        <v>42036.0</v>
      </c>
      <c s="55" r="S1">
        <v>42064.0</v>
      </c>
      <c s="55" r="T1">
        <v>42095.0</v>
      </c>
      <c s="55" r="U1">
        <v>42125.0</v>
      </c>
      <c s="55" r="V1">
        <v>42156.0</v>
      </c>
      <c s="55" r="W1">
        <v>42186.0</v>
      </c>
      <c s="55" r="X1">
        <v>42217.0</v>
      </c>
      <c s="55" r="Y1">
        <v>42248.0</v>
      </c>
      <c s="55" r="Z1">
        <v>42278.0</v>
      </c>
      <c s="55" r="AA1">
        <v>42309.0</v>
      </c>
      <c s="55" r="AB1">
        <v>42339.0</v>
      </c>
      <c s="55" r="AC1">
        <v>42370.0</v>
      </c>
      <c s="55" r="AD1">
        <v>42401.0</v>
      </c>
      <c s="55" r="AE1">
        <v>42430.0</v>
      </c>
      <c s="55" r="AF1">
        <v>42461.0</v>
      </c>
      <c s="55" r="AG1">
        <v>42491.0</v>
      </c>
      <c s="55" r="AH1">
        <v>42522.0</v>
      </c>
      <c s="55" r="AI1">
        <v>42552.0</v>
      </c>
      <c s="55" r="AJ1">
        <v>42583.0</v>
      </c>
      <c s="55" r="AK1">
        <v>42614.0</v>
      </c>
      <c s="55" r="AL1">
        <v>42644.0</v>
      </c>
      <c s="55" r="AM1">
        <v>42675.0</v>
      </c>
      <c s="55" r="AN1">
        <v>42705.0</v>
      </c>
      <c s="55" r="AO1">
        <v>42736.0</v>
      </c>
      <c s="55" r="AP1">
        <v>42767.0</v>
      </c>
      <c s="55" r="AQ1">
        <v>42795.0</v>
      </c>
      <c s="55" r="AR1">
        <v>42826.0</v>
      </c>
      <c s="55" r="AS1">
        <v>42856.0</v>
      </c>
      <c s="55" r="AT1">
        <v>42887.0</v>
      </c>
      <c s="55" r="AU1">
        <v>42917.0</v>
      </c>
      <c s="55" r="AV1">
        <v>42948.0</v>
      </c>
      <c s="55" r="AW1">
        <v>42979.0</v>
      </c>
      <c s="55" r="AX1">
        <v>43009.0</v>
      </c>
      <c s="55" r="AY1">
        <v>43040.0</v>
      </c>
      <c s="55" r="AZ1">
        <v>43070.0</v>
      </c>
      <c s="16" r="BA1">
        <v>2018.0</v>
      </c>
      <c s="54" r="BB1"/>
      <c s="54" r="BC1"/>
      <c s="54" r="BD1"/>
    </row>
    <row customHeight="1" r="2" ht="12.75">
      <c t="s" s="128" r="A2">
        <v>320</v>
      </c>
      <c t="s" s="128" r="B2">
        <v>321</v>
      </c>
      <c s="129" r="C2"/>
      <c s="129" r="D2"/>
      <c t="s" s="130" r="E2">
        <v>322</v>
      </c>
      <c t="s" s="130" r="F2">
        <v>323</v>
      </c>
      <c t="s" s="130" r="G2">
        <v>324</v>
      </c>
      <c t="s" s="130" r="H2">
        <v>325</v>
      </c>
      <c t="s" s="130" r="I2">
        <v>326</v>
      </c>
      <c t="s" s="130" r="J2">
        <v>327</v>
      </c>
      <c t="s" s="131" r="K2">
        <v>328</v>
      </c>
      <c t="s" s="131" r="L2">
        <v>329</v>
      </c>
      <c t="s" s="131" r="M2">
        <v>330</v>
      </c>
      <c t="s" s="131" r="N2">
        <v>331</v>
      </c>
      <c t="s" s="131" r="O2">
        <v>332</v>
      </c>
      <c t="s" s="131" r="P2">
        <v>333</v>
      </c>
      <c t="s" s="131" r="Q2">
        <v>334</v>
      </c>
      <c t="s" s="131" r="R2">
        <v>335</v>
      </c>
      <c t="s" s="131" r="S2">
        <v>336</v>
      </c>
      <c t="s" s="131" r="T2">
        <v>337</v>
      </c>
      <c t="s" s="131" r="U2">
        <v>338</v>
      </c>
      <c t="s" s="131" r="V2">
        <v>339</v>
      </c>
      <c t="s" s="131" r="W2">
        <v>340</v>
      </c>
      <c t="s" s="131" r="X2">
        <v>341</v>
      </c>
      <c t="s" s="131" r="Y2">
        <v>342</v>
      </c>
      <c t="s" s="131" r="Z2">
        <v>343</v>
      </c>
      <c t="s" s="131" r="AA2">
        <v>344</v>
      </c>
      <c t="s" s="131" r="AB2">
        <v>345</v>
      </c>
      <c t="s" s="131" r="AC2">
        <v>346</v>
      </c>
      <c t="s" s="131" r="AD2">
        <v>347</v>
      </c>
      <c t="s" s="131" r="AE2">
        <v>348</v>
      </c>
      <c t="s" s="131" r="AF2">
        <v>349</v>
      </c>
      <c t="s" s="131" r="AG2">
        <v>350</v>
      </c>
      <c t="s" s="131" r="AH2">
        <v>351</v>
      </c>
      <c t="s" s="131" r="AI2">
        <v>352</v>
      </c>
      <c t="s" s="131" r="AJ2">
        <v>353</v>
      </c>
      <c t="s" s="131" r="AK2">
        <v>354</v>
      </c>
      <c t="s" s="131" r="AL2">
        <v>355</v>
      </c>
      <c t="s" s="131" r="AM2">
        <v>356</v>
      </c>
      <c t="s" s="131" r="AN2">
        <v>357</v>
      </c>
      <c t="s" s="131" r="AO2">
        <v>358</v>
      </c>
      <c t="s" s="131" r="AP2">
        <v>359</v>
      </c>
      <c t="s" s="131" r="AQ2">
        <v>360</v>
      </c>
      <c t="s" s="131" r="AR2">
        <v>361</v>
      </c>
      <c t="s" s="131" r="AS2">
        <v>362</v>
      </c>
      <c t="s" s="131" r="AT2">
        <v>363</v>
      </c>
      <c t="s" s="131" r="AU2">
        <v>364</v>
      </c>
      <c t="s" s="131" r="AV2">
        <v>365</v>
      </c>
      <c t="s" s="131" r="AW2">
        <v>366</v>
      </c>
      <c t="s" s="131" r="AX2">
        <v>367</v>
      </c>
      <c t="s" s="131" r="AY2">
        <v>368</v>
      </c>
      <c t="s" s="131" r="AZ2">
        <v>369</v>
      </c>
      <c s="129" r="BA2"/>
      <c s="129" r="BB2"/>
      <c s="129" r="BC2"/>
      <c s="129" r="BD2"/>
    </row>
    <row customHeight="1" r="3" ht="15.75">
      <c t="s" s="56" r="A3">
        <v>370</v>
      </c>
      <c s="56" r="B3"/>
      <c s="25" r="C3"/>
      <c s="57" r="D3"/>
      <c t="str" s="162" r="E3">
        <f>'Hypothèses'!$C$4*'Hypothèses'!$C$30*Mensuel!B6</f>
        <v>0,00 €</v>
      </c>
      <c t="str" s="162" r="F3">
        <f>'Hypothèses'!$C$4*'Hypothèses'!$C$30*Mensuel!C6</f>
        <v>0,00 €</v>
      </c>
      <c t="str" s="162" r="G3">
        <f>'Hypothèses'!$C$4*'Hypothèses'!$C$30*Mensuel!D6</f>
        <v>0,00 €</v>
      </c>
      <c t="str" s="162" r="H3">
        <f>'Hypothèses'!$C$4*'Hypothèses'!$C$30*Mensuel!E6</f>
        <v>0,00 €</v>
      </c>
      <c t="str" s="162" r="I3">
        <f>'Hypothèses'!$C$4*'Hypothèses'!$C$30*Mensuel!F6</f>
        <v>0,00 €</v>
      </c>
      <c t="str" s="162" r="J3">
        <f>'Hypothèses'!$C$4*'Hypothèses'!$C$30*Mensuel!G6</f>
        <v>0,00 €</v>
      </c>
      <c t="str" s="162" r="K3">
        <f>'Hypothèses'!$C$4*'Hypothèses'!$C$30*Mensuel!H6</f>
        <v>0,00 €</v>
      </c>
      <c t="str" s="162" r="L3">
        <f>'Hypothèses'!$C$4*'Hypothèses'!$C$30*Mensuel!I6</f>
        <v>0,00 €</v>
      </c>
      <c t="str" s="162" r="M3">
        <f>'Hypothèses'!$C$4*'Hypothèses'!$C$30*Mensuel!J6</f>
        <v>0,00 €</v>
      </c>
      <c t="str" s="162" r="N3">
        <f>'Hypothèses'!$C$4*'Hypothèses'!$C$30*Mensuel!K6</f>
        <v>0,00 €</v>
      </c>
      <c t="str" s="162" r="O3">
        <f>'Hypothèses'!$C$4*'Hypothèses'!$C$30*Mensuel!L6</f>
        <v>0,00 €</v>
      </c>
      <c t="str" s="162" r="P3">
        <f>'Hypothèses'!$C$4*'Hypothèses'!$C$30*Mensuel!M6</f>
        <v>0,00 €</v>
      </c>
      <c t="str" s="162" r="Q3">
        <f>'Hypothèses'!$C$4*'Hypothèses'!$C$30*Mensuel!N6</f>
        <v>6 248,75 €</v>
      </c>
      <c t="str" s="162" r="R3">
        <f>'Hypothèses'!$C$4*'Hypothèses'!$C$30*Mensuel!O6</f>
        <v>0,00 €</v>
      </c>
      <c t="str" s="162" r="S3">
        <f>'Hypothèses'!$C$4*'Hypothèses'!$C$30*Mensuel!P6</f>
        <v>0,00 €</v>
      </c>
      <c t="str" s="162" r="T3">
        <f>'Hypothèses'!$C$4*'Hypothèses'!$C$30*Mensuel!Q6</f>
        <v>8 331,67 €</v>
      </c>
      <c t="str" s="162" r="U3">
        <f>'Hypothèses'!$C$4*'Hypothèses'!$C$30*Mensuel!R6</f>
        <v>0,00 €</v>
      </c>
      <c t="str" s="162" r="V3">
        <f>'Hypothèses'!$C$4*'Hypothèses'!$C$30*Mensuel!S6</f>
        <v>0,00 €</v>
      </c>
      <c t="str" s="162" r="W3">
        <f>'Hypothèses'!$C$4*'Hypothèses'!$C$30*Mensuel!T6</f>
        <v>10 414,58 €</v>
      </c>
      <c t="str" s="162" r="X3">
        <f>'Hypothèses'!$C$4*'Hypothèses'!$C$30*Mensuel!U6</f>
        <v>0,00 €</v>
      </c>
      <c t="str" s="162" r="Y3">
        <f>'Hypothèses'!$C$4*'Hypothèses'!$C$30*Mensuel!V6</f>
        <v>0,00 €</v>
      </c>
      <c t="str" s="162" r="Z3">
        <f>'Hypothèses'!$C$4*'Hypothèses'!$C$30*Mensuel!W6</f>
        <v>13 885,76 €</v>
      </c>
      <c t="str" s="162" r="AA3">
        <f>'Hypothèses'!$C$4*'Hypothèses'!$C$30*Mensuel!X6</f>
        <v>0,00 €</v>
      </c>
      <c t="str" s="162" r="AB3">
        <f>'Hypothèses'!$C$4*'Hypothèses'!$C$30*Mensuel!Y6</f>
        <v>10 414,58 €</v>
      </c>
      <c t="str" s="162" r="AC3">
        <f>'Hypothèses'!$C$4*'Hypothèses'!$C$30*Mensuel!Z6</f>
        <v>13 886,11 €</v>
      </c>
      <c t="str" s="162" r="AD3">
        <f>'Hypothèses'!$C$4*'Hypothèses'!$C$30*Mensuel!AA6</f>
        <v>15 621,88 €</v>
      </c>
      <c t="str" s="162" r="AE3">
        <f>'Hypothèses'!$C$4*'Hypothèses'!$C$30*Mensuel!AB6</f>
        <v>18 746,25 €</v>
      </c>
      <c t="str" s="162" r="AF3">
        <f>'Hypothèses'!$C$4*'Hypothèses'!$C$30*Mensuel!AC6</f>
        <v>18 746,25 €</v>
      </c>
      <c t="str" s="162" r="AG3">
        <f>'Hypothèses'!$C$4*'Hypothèses'!$C$30*Mensuel!AD6</f>
        <v>18 746,25 €</v>
      </c>
      <c t="str" s="162" r="AH3">
        <f>'Hypothèses'!$C$4*'Hypothèses'!$C$30*Mensuel!AE6</f>
        <v>18 746,25 €</v>
      </c>
      <c t="str" s="162" r="AI3">
        <f>'Hypothèses'!$C$4*'Hypothèses'!$C$30*Mensuel!AF6</f>
        <v>18 746,25 €</v>
      </c>
      <c t="str" s="162" r="AJ3">
        <f>'Hypothèses'!$C$4*'Hypothèses'!$C$30*Mensuel!AG6</f>
        <v>18 746,25 €</v>
      </c>
      <c t="str" s="162" r="AK3">
        <f>'Hypothèses'!$C$4*'Hypothèses'!$C$30*Mensuel!AH6</f>
        <v>18 746,25 €</v>
      </c>
      <c t="str" s="162" r="AL3">
        <f>'Hypothèses'!$C$4*'Hypothèses'!$C$30*Mensuel!AI6</f>
        <v>18 746,25 €</v>
      </c>
      <c t="str" s="162" r="AM3">
        <f>'Hypothèses'!$C$4*'Hypothèses'!$C$30*Mensuel!AJ6</f>
        <v>18 746,25 €</v>
      </c>
      <c t="str" s="162" r="AN3">
        <f>'Hypothèses'!$C$4*'Hypothèses'!$C$30*Mensuel!AK6</f>
        <v>18 746,25 €</v>
      </c>
      <c t="str" s="162" r="AO3">
        <f>'Hypothèses'!$C$4*'Hypothèses'!$C$30*Mensuel!AL6</f>
        <v>20 829,17 €</v>
      </c>
      <c t="str" s="162" r="AP3">
        <f>'Hypothèses'!$C$4*'Hypothèses'!$C$30*Mensuel!AM6</f>
        <v>20 829,17 €</v>
      </c>
      <c t="str" s="162" r="AQ3">
        <f>'Hypothèses'!$C$4*'Hypothèses'!$C$30*Mensuel!AN6</f>
        <v>20 829,17 €</v>
      </c>
      <c t="str" s="162" r="AR3">
        <f>'Hypothèses'!$C$4*'Hypothèses'!$C$30*Mensuel!AO6</f>
        <v>20 829,17 €</v>
      </c>
      <c t="str" s="162" r="AS3">
        <f>'Hypothèses'!$C$4*'Hypothèses'!$C$30*Mensuel!AP6</f>
        <v>20 829,17 €</v>
      </c>
      <c t="str" s="162" r="AT3">
        <f>'Hypothèses'!$C$4*'Hypothèses'!$C$30*Mensuel!AQ6</f>
        <v>20 829,17 €</v>
      </c>
      <c t="str" s="162" r="AU3">
        <f>'Hypothèses'!$C$4*'Hypothèses'!$C$30*Mensuel!AR6</f>
        <v>20 829,17 €</v>
      </c>
      <c t="str" s="162" r="AV3">
        <f>'Hypothèses'!$C$4*'Hypothèses'!$C$30*Mensuel!AS6</f>
        <v>20 829,17 €</v>
      </c>
      <c t="str" s="162" r="AW3">
        <f>'Hypothèses'!$C$4*'Hypothèses'!$C$30*Mensuel!AT6</f>
        <v>20 829,17 €</v>
      </c>
      <c t="str" s="162" r="AX3">
        <f>'Hypothèses'!$C$4*'Hypothèses'!$C$30*Mensuel!AU6</f>
        <v>20 829,17 €</v>
      </c>
      <c t="str" s="162" r="AY3">
        <f>'Hypothèses'!$C$4*'Hypothèses'!$C$30*Mensuel!AV6</f>
        <v>20 829,17 €</v>
      </c>
      <c t="str" s="162" r="AZ3">
        <f>'Hypothèses'!$C$4*'Hypothèses'!$C$30*Mensuel!AW6</f>
        <v>20 829,17 €</v>
      </c>
      <c t="str" s="162" r="BA3">
        <f>'Hypothèses'!$C$4*'Hypothèses'!$C$30*Mensuel!AX6</f>
        <v>249 950,00 €</v>
      </c>
      <c s="31" r="BB3"/>
      <c s="31" r="BC3"/>
      <c s="31" r="BD3"/>
    </row>
    <row customHeight="1" r="4" ht="15.75">
      <c t="s" s="56" r="A4">
        <v>371</v>
      </c>
      <c t="s" s="56" r="B4">
        <v>372</v>
      </c>
      <c s="25" r="C4"/>
      <c s="57" r="D4"/>
      <c s="162" r="E4">
        <v>0.0</v>
      </c>
      <c s="162" r="F4">
        <v>0.0</v>
      </c>
      <c s="162" r="G4">
        <v>0.0</v>
      </c>
      <c s="162" r="H4">
        <v>0.0</v>
      </c>
      <c s="162" r="I4">
        <v>0.0</v>
      </c>
      <c s="162" r="J4">
        <v>0.0</v>
      </c>
      <c t="str" s="133" r="K4">
        <f ref="K4:AZ4" t="shared" si="1">K19</f>
        <v>€ 0,00</v>
      </c>
      <c t="str" s="133" r="L4">
        <f t="shared" si="1"/>
        <v>€ 0,00</v>
      </c>
      <c t="str" s="133" r="M4">
        <f t="shared" si="1"/>
        <v>€ 0,00</v>
      </c>
      <c t="str" s="133" r="N4">
        <f t="shared" si="1"/>
        <v>€ 4 000,00</v>
      </c>
      <c t="str" s="133" r="O4">
        <f t="shared" si="1"/>
        <v>€ 2 000,00</v>
      </c>
      <c t="str" s="133" r="P4">
        <f t="shared" si="1"/>
        <v>€ 2 000,00</v>
      </c>
      <c t="str" s="133" r="Q4">
        <f t="shared" si="1"/>
        <v>€ 0,00</v>
      </c>
      <c t="str" s="133" r="R4">
        <f t="shared" si="1"/>
        <v>€ 0,00</v>
      </c>
      <c t="str" s="133" r="S4">
        <f t="shared" si="1"/>
        <v>€ 0,00</v>
      </c>
      <c t="str" s="133" r="T4">
        <f t="shared" si="1"/>
        <v>€ 0,00</v>
      </c>
      <c t="str" s="133" r="U4">
        <f t="shared" si="1"/>
        <v>€ 0,00</v>
      </c>
      <c t="str" s="133" r="V4">
        <f t="shared" si="1"/>
        <v>€ 0,00</v>
      </c>
      <c t="str" s="133" r="W4">
        <f t="shared" si="1"/>
        <v>€ 2 000,00</v>
      </c>
      <c t="str" s="133" r="X4">
        <f t="shared" si="1"/>
        <v>€ 0,00</v>
      </c>
      <c t="str" s="133" r="Y4">
        <f t="shared" si="1"/>
        <v>€ 0,00</v>
      </c>
      <c t="str" s="133" r="Z4">
        <f t="shared" si="1"/>
        <v>€ 0,00</v>
      </c>
      <c t="str" s="133" r="AA4">
        <f t="shared" si="1"/>
        <v>€ 2 000,00</v>
      </c>
      <c t="str" s="133" r="AB4">
        <f t="shared" si="1"/>
        <v>€ 0,00</v>
      </c>
      <c t="str" s="133" r="AC4">
        <f t="shared" si="1"/>
        <v>€ 0,00</v>
      </c>
      <c t="str" s="133" r="AD4">
        <f t="shared" si="1"/>
        <v>€ 0,00</v>
      </c>
      <c t="str" s="133" r="AE4">
        <f t="shared" si="1"/>
        <v>€ 0,00</v>
      </c>
      <c t="str" s="133" r="AF4">
        <f t="shared" si="1"/>
        <v>€ 0,00</v>
      </c>
      <c t="str" s="133" r="AG4">
        <f t="shared" si="1"/>
        <v>€ 2 000,00</v>
      </c>
      <c t="str" s="133" r="AH4">
        <f t="shared" si="1"/>
        <v>€ 0,00</v>
      </c>
      <c t="str" s="133" r="AI4">
        <f t="shared" si="1"/>
        <v>€ 0,00</v>
      </c>
      <c t="str" s="133" r="AJ4">
        <f t="shared" si="1"/>
        <v>€ 0,00</v>
      </c>
      <c t="str" s="133" r="AK4">
        <f t="shared" si="1"/>
        <v>€ 0,00</v>
      </c>
      <c t="str" s="133" r="AL4">
        <f t="shared" si="1"/>
        <v>€ 0,00</v>
      </c>
      <c t="str" s="133" r="AM4">
        <f t="shared" si="1"/>
        <v>€ 0,00</v>
      </c>
      <c t="str" s="133" r="AN4">
        <f t="shared" si="1"/>
        <v>€ 2 000,00</v>
      </c>
      <c t="str" s="133" r="AO4">
        <f t="shared" si="1"/>
        <v>€ 0,00</v>
      </c>
      <c t="str" s="133" r="AP4">
        <f t="shared" si="1"/>
        <v>€ 0,00</v>
      </c>
      <c t="str" s="133" r="AQ4">
        <f t="shared" si="1"/>
        <v>€ 0,00</v>
      </c>
      <c t="str" s="133" r="AR4">
        <f t="shared" si="1"/>
        <v>€ 0,00</v>
      </c>
      <c t="str" s="133" r="AS4">
        <f t="shared" si="1"/>
        <v>€ 0,00</v>
      </c>
      <c t="str" s="133" r="AT4">
        <f t="shared" si="1"/>
        <v>€ 0,00</v>
      </c>
      <c t="str" s="133" r="AU4">
        <f t="shared" si="1"/>
        <v>€ 0,00</v>
      </c>
      <c t="str" s="133" r="AV4">
        <f t="shared" si="1"/>
        <v>€ 0,00</v>
      </c>
      <c t="str" s="133" r="AW4">
        <f t="shared" si="1"/>
        <v>€ 2 000,00</v>
      </c>
      <c t="str" s="133" r="AX4">
        <f t="shared" si="1"/>
        <v>€ 0,00</v>
      </c>
      <c t="str" s="133" r="AY4">
        <f t="shared" si="1"/>
        <v>€ 0,00</v>
      </c>
      <c t="str" s="133" r="AZ4">
        <f t="shared" si="1"/>
        <v>€ 0,00</v>
      </c>
      <c s="31" r="BA4"/>
      <c s="31" r="BB4"/>
      <c s="31" r="BC4"/>
      <c s="31" r="BD4"/>
    </row>
    <row customHeight="1" r="5" ht="15.75">
      <c t="s" s="56" r="A5">
        <v>373</v>
      </c>
      <c t="s" s="56" r="B5">
        <v>374</v>
      </c>
      <c s="25" r="C5"/>
      <c s="57" r="D5"/>
      <c s="162" r="E5">
        <v>3056.81</v>
      </c>
      <c s="162" r="F5">
        <v>2081.0</v>
      </c>
      <c s="162" r="G5">
        <v>2233.87</v>
      </c>
      <c s="162" r="H5">
        <v>23256.77</v>
      </c>
      <c s="162" r="I5">
        <v>2668.51</v>
      </c>
      <c s="162" r="J5">
        <v>1171.19</v>
      </c>
      <c t="str" s="133" r="K5">
        <f ref="K5:AZ5" t="shared" si="2">K20</f>
        <v>€ 1 000,00</v>
      </c>
      <c t="str" s="133" r="L5">
        <f t="shared" si="2"/>
        <v>€ 1 000,00</v>
      </c>
      <c t="str" s="133" r="M5">
        <f t="shared" si="2"/>
        <v>€ 1 000,00</v>
      </c>
      <c t="str" s="133" r="N5">
        <f t="shared" si="2"/>
        <v>€ 1 000,00</v>
      </c>
      <c t="str" s="133" r="O5">
        <f t="shared" si="2"/>
        <v>€ 1 000,00</v>
      </c>
      <c t="str" s="133" r="P5">
        <f t="shared" si="2"/>
        <v>€ 1 000,00</v>
      </c>
      <c t="str" s="133" r="Q5">
        <f t="shared" si="2"/>
        <v>€ 1 000,00</v>
      </c>
      <c t="str" s="133" r="R5">
        <f t="shared" si="2"/>
        <v>€ 1 000,00</v>
      </c>
      <c t="str" s="133" r="S5">
        <f t="shared" si="2"/>
        <v>€ 1 000,00</v>
      </c>
      <c t="str" s="133" r="T5">
        <f t="shared" si="2"/>
        <v>€ 1 000,00</v>
      </c>
      <c t="str" s="133" r="U5">
        <f t="shared" si="2"/>
        <v>€ 1 000,00</v>
      </c>
      <c t="str" s="133" r="V5">
        <f t="shared" si="2"/>
        <v>€ 1 000,00</v>
      </c>
      <c t="str" s="133" r="W5">
        <f t="shared" si="2"/>
        <v>€ 1 000,00</v>
      </c>
      <c t="str" s="133" r="X5">
        <f t="shared" si="2"/>
        <v>€ 1 000,00</v>
      </c>
      <c t="str" s="133" r="Y5">
        <f t="shared" si="2"/>
        <v>€ 1 000,00</v>
      </c>
      <c t="str" s="133" r="Z5">
        <f t="shared" si="2"/>
        <v>€ 1 000,00</v>
      </c>
      <c t="str" s="133" r="AA5">
        <f t="shared" si="2"/>
        <v>€ 1 000,00</v>
      </c>
      <c t="str" s="133" r="AB5">
        <f t="shared" si="2"/>
        <v>€ 1 000,00</v>
      </c>
      <c t="str" s="133" r="AC5">
        <f t="shared" si="2"/>
        <v>€ 1 000,00</v>
      </c>
      <c t="str" s="133" r="AD5">
        <f t="shared" si="2"/>
        <v>€ 1 000,00</v>
      </c>
      <c t="str" s="133" r="AE5">
        <f t="shared" si="2"/>
        <v>€ 1 000,00</v>
      </c>
      <c t="str" s="133" r="AF5">
        <f t="shared" si="2"/>
        <v>€ 1 000,00</v>
      </c>
      <c t="str" s="133" r="AG5">
        <f t="shared" si="2"/>
        <v>€ 1 000,00</v>
      </c>
      <c t="str" s="133" r="AH5">
        <f t="shared" si="2"/>
        <v>€ 1 000,00</v>
      </c>
      <c t="str" s="133" r="AI5">
        <f t="shared" si="2"/>
        <v>€ 1 000,00</v>
      </c>
      <c t="str" s="133" r="AJ5">
        <f t="shared" si="2"/>
        <v>€ 1 000,00</v>
      </c>
      <c t="str" s="133" r="AK5">
        <f t="shared" si="2"/>
        <v>€ 1 000,00</v>
      </c>
      <c t="str" s="133" r="AL5">
        <f t="shared" si="2"/>
        <v>€ 1 000,00</v>
      </c>
      <c t="str" s="133" r="AM5">
        <f t="shared" si="2"/>
        <v>€ 1 000,00</v>
      </c>
      <c t="str" s="133" r="AN5">
        <f t="shared" si="2"/>
        <v>€ 1 000,00</v>
      </c>
      <c t="str" s="133" r="AO5">
        <f t="shared" si="2"/>
        <v>€ 1 000,00</v>
      </c>
      <c t="str" s="133" r="AP5">
        <f t="shared" si="2"/>
        <v>€ 1 000,00</v>
      </c>
      <c t="str" s="133" r="AQ5">
        <f t="shared" si="2"/>
        <v>€ 1 000,00</v>
      </c>
      <c t="str" s="133" r="AR5">
        <f t="shared" si="2"/>
        <v>€ 1 000,00</v>
      </c>
      <c t="str" s="133" r="AS5">
        <f t="shared" si="2"/>
        <v>€ 1 000,00</v>
      </c>
      <c t="str" s="133" r="AT5">
        <f t="shared" si="2"/>
        <v>€ 1 000,00</v>
      </c>
      <c t="str" s="133" r="AU5">
        <f t="shared" si="2"/>
        <v>€ 1 000,00</v>
      </c>
      <c t="str" s="133" r="AV5">
        <f t="shared" si="2"/>
        <v>€ 1 000,00</v>
      </c>
      <c t="str" s="133" r="AW5">
        <f t="shared" si="2"/>
        <v>€ 1 000,00</v>
      </c>
      <c t="str" s="133" r="AX5">
        <f t="shared" si="2"/>
        <v>€ 1 000,00</v>
      </c>
      <c t="str" s="133" r="AY5">
        <f t="shared" si="2"/>
        <v>€ 1 000,00</v>
      </c>
      <c t="str" s="133" r="AZ5">
        <f t="shared" si="2"/>
        <v>€ 1 000,00</v>
      </c>
      <c s="31" r="BA5"/>
      <c s="31" r="BB5"/>
      <c s="31" r="BC5"/>
      <c s="31" r="BD5"/>
    </row>
    <row customHeight="1" r="6" ht="15.75">
      <c t="s" s="56" r="A6">
        <v>375</v>
      </c>
      <c t="s" s="56" r="B6">
        <v>376</v>
      </c>
      <c s="25" r="C6"/>
      <c s="57" r="D6"/>
      <c s="162" r="E6">
        <v>0.0</v>
      </c>
      <c s="162" r="F6">
        <v>0.0</v>
      </c>
      <c s="162" r="G6">
        <v>20640.0</v>
      </c>
      <c s="162" r="H6">
        <v>380.0</v>
      </c>
      <c s="162" r="I6">
        <v>667.12</v>
      </c>
      <c s="162" r="J6">
        <v>3840.0</v>
      </c>
      <c t="str" s="133" r="K6">
        <f ref="K6:AZ6" t="shared" si="3">K21</f>
        <v>€ 3 840,00</v>
      </c>
      <c t="str" s="133" r="L6">
        <f t="shared" si="3"/>
        <v>€ 3 840,00</v>
      </c>
      <c t="str" s="133" r="M6">
        <f t="shared" si="3"/>
        <v>€ 3 840,00</v>
      </c>
      <c t="str" s="133" r="N6">
        <f t="shared" si="3"/>
        <v>€ 2 000,00</v>
      </c>
      <c t="str" s="133" r="O6">
        <f t="shared" si="3"/>
        <v>€ 2 000,00</v>
      </c>
      <c t="str" s="133" r="P6">
        <f t="shared" si="3"/>
        <v>€ 2 000,00</v>
      </c>
      <c t="str" s="133" r="Q6">
        <f t="shared" si="3"/>
        <v>€ 3 840,00</v>
      </c>
      <c t="str" s="133" r="R6">
        <f t="shared" si="3"/>
        <v>€ 3 840,00</v>
      </c>
      <c t="str" s="133" r="S6">
        <f t="shared" si="3"/>
        <v>€ 3 840,00</v>
      </c>
      <c t="str" s="133" r="T6">
        <f t="shared" si="3"/>
        <v>€ 3 840,00</v>
      </c>
      <c t="str" s="133" r="U6">
        <f t="shared" si="3"/>
        <v>€ 3 840,00</v>
      </c>
      <c t="str" s="133" r="V6">
        <f t="shared" si="3"/>
        <v>€ 3 840,00</v>
      </c>
      <c t="str" s="133" r="W6">
        <f t="shared" si="3"/>
        <v>€ 3 840,00</v>
      </c>
      <c t="str" s="133" r="X6">
        <f t="shared" si="3"/>
        <v>€ 3 840,00</v>
      </c>
      <c t="str" s="133" r="Y6">
        <f t="shared" si="3"/>
        <v>€ 3 840,00</v>
      </c>
      <c t="str" s="133" r="Z6">
        <f t="shared" si="3"/>
        <v>€ 3 840,00</v>
      </c>
      <c t="str" s="133" r="AA6">
        <f t="shared" si="3"/>
        <v>€ 3 840,00</v>
      </c>
      <c t="str" s="133" r="AB6">
        <f t="shared" si="3"/>
        <v>€ 3 840,00</v>
      </c>
      <c t="str" s="133" r="AC6">
        <f t="shared" si="3"/>
        <v>€ 3 840,00</v>
      </c>
      <c t="str" s="133" r="AD6">
        <f t="shared" si="3"/>
        <v>€ 3 840,00</v>
      </c>
      <c t="str" s="133" r="AE6">
        <f t="shared" si="3"/>
        <v>€ 3 840,00</v>
      </c>
      <c t="str" s="133" r="AF6">
        <f t="shared" si="3"/>
        <v>€ 3 840,00</v>
      </c>
      <c t="str" s="133" r="AG6">
        <f t="shared" si="3"/>
        <v>€ 3 840,00</v>
      </c>
      <c t="str" s="133" r="AH6">
        <f t="shared" si="3"/>
        <v>€ 3 840,00</v>
      </c>
      <c t="str" s="133" r="AI6">
        <f t="shared" si="3"/>
        <v>€ 3 840,00</v>
      </c>
      <c t="str" s="133" r="AJ6">
        <f t="shared" si="3"/>
        <v>€ 3 840,00</v>
      </c>
      <c t="str" s="133" r="AK6">
        <f t="shared" si="3"/>
        <v>€ 3 840,00</v>
      </c>
      <c t="str" s="133" r="AL6">
        <f t="shared" si="3"/>
        <v>€ 3 840,00</v>
      </c>
      <c t="str" s="133" r="AM6">
        <f t="shared" si="3"/>
        <v>€ 3 840,00</v>
      </c>
      <c t="str" s="133" r="AN6">
        <f t="shared" si="3"/>
        <v>€ 3 840,00</v>
      </c>
      <c t="str" s="133" r="AO6">
        <f t="shared" si="3"/>
        <v>€ 3 840,00</v>
      </c>
      <c t="str" s="133" r="AP6">
        <f t="shared" si="3"/>
        <v>€ 3 840,00</v>
      </c>
      <c t="str" s="133" r="AQ6">
        <f t="shared" si="3"/>
        <v>€ 3 840,00</v>
      </c>
      <c t="str" s="133" r="AR6">
        <f t="shared" si="3"/>
        <v>€ 3 840,00</v>
      </c>
      <c t="str" s="133" r="AS6">
        <f t="shared" si="3"/>
        <v>€ 3 840,00</v>
      </c>
      <c t="str" s="133" r="AT6">
        <f t="shared" si="3"/>
        <v>€ 3 840,00</v>
      </c>
      <c t="str" s="133" r="AU6">
        <f t="shared" si="3"/>
        <v>€ 3 840,00</v>
      </c>
      <c t="str" s="133" r="AV6">
        <f t="shared" si="3"/>
        <v>€ 3 840,00</v>
      </c>
      <c t="str" s="133" r="AW6">
        <f t="shared" si="3"/>
        <v>€ 3 840,00</v>
      </c>
      <c t="str" s="133" r="AX6">
        <f t="shared" si="3"/>
        <v>€ 3 840,00</v>
      </c>
      <c t="str" s="133" r="AY6">
        <f t="shared" si="3"/>
        <v>€ 3 840,00</v>
      </c>
      <c t="str" s="133" r="AZ6">
        <f t="shared" si="3"/>
        <v>€ 3 840,00</v>
      </c>
      <c s="31" r="BA6"/>
      <c s="31" r="BB6"/>
      <c s="31" r="BC6"/>
      <c s="31" r="BD6"/>
    </row>
    <row customHeight="1" r="7" ht="15.75">
      <c t="s" s="56" r="A7">
        <v>377</v>
      </c>
      <c t="s" s="56" r="B7">
        <v>378</v>
      </c>
      <c s="25" r="C7"/>
      <c s="57" r="D7"/>
      <c s="162" r="E7">
        <v>0.0</v>
      </c>
      <c s="162" r="F7">
        <v>0.0</v>
      </c>
      <c s="162" r="G7">
        <v>2073.2</v>
      </c>
      <c s="162" r="H7">
        <v>5572.5</v>
      </c>
      <c s="162" r="I7">
        <v>0.0</v>
      </c>
      <c s="162" r="J7">
        <v>128.51</v>
      </c>
      <c t="str" s="133" r="K7">
        <f ref="K7:AZ7" t="shared" si="4">SUM(K22:K23)</f>
        <v>€ 484,00</v>
      </c>
      <c t="str" s="133" r="L7">
        <f t="shared" si="4"/>
        <v>€ 484,00</v>
      </c>
      <c t="str" s="133" r="M7">
        <f t="shared" si="4"/>
        <v>€ 484,00</v>
      </c>
      <c t="str" s="133" r="N7">
        <f t="shared" si="4"/>
        <v>€ 700,00</v>
      </c>
      <c t="str" s="133" r="O7">
        <f t="shared" si="4"/>
        <v>€ 500,00</v>
      </c>
      <c t="str" s="133" r="P7">
        <f t="shared" si="4"/>
        <v>€ 500,00</v>
      </c>
      <c t="str" s="133" r="Q7">
        <f t="shared" si="4"/>
        <v>€ 484,00</v>
      </c>
      <c t="str" s="133" r="R7">
        <f t="shared" si="4"/>
        <v>€ 484,00</v>
      </c>
      <c t="str" s="133" r="S7">
        <f t="shared" si="4"/>
        <v>€ 484,00</v>
      </c>
      <c t="str" s="133" r="T7">
        <f t="shared" si="4"/>
        <v>€ 11 484,00</v>
      </c>
      <c t="str" s="133" r="U7">
        <f t="shared" si="4"/>
        <v>€ 484,00</v>
      </c>
      <c t="str" s="133" r="V7">
        <f t="shared" si="4"/>
        <v>€ 484,00</v>
      </c>
      <c t="str" s="133" r="W7">
        <f t="shared" si="4"/>
        <v>€ 684,00</v>
      </c>
      <c t="str" s="133" r="X7">
        <f t="shared" si="4"/>
        <v>€ 484,00</v>
      </c>
      <c t="str" s="133" r="Y7">
        <f t="shared" si="4"/>
        <v>€ 484,00</v>
      </c>
      <c t="str" s="133" r="Z7">
        <f t="shared" si="4"/>
        <v>€ 11 484,00</v>
      </c>
      <c t="str" s="133" r="AA7">
        <f t="shared" si="4"/>
        <v>€ 684,00</v>
      </c>
      <c t="str" s="133" r="AB7">
        <f t="shared" si="4"/>
        <v>€ 484,00</v>
      </c>
      <c t="str" s="133" r="AC7">
        <f t="shared" si="4"/>
        <v>€ 484,00</v>
      </c>
      <c t="str" s="133" r="AD7">
        <f t="shared" si="4"/>
        <v>€ 484,00</v>
      </c>
      <c t="str" s="133" r="AE7">
        <f t="shared" si="4"/>
        <v>€ 484,00</v>
      </c>
      <c t="str" s="133" r="AF7">
        <f t="shared" si="4"/>
        <v>€ 484,00</v>
      </c>
      <c t="str" s="133" r="AG7">
        <f t="shared" si="4"/>
        <v>€ 684,00</v>
      </c>
      <c t="str" s="133" r="AH7">
        <f t="shared" si="4"/>
        <v>€ 484,00</v>
      </c>
      <c t="str" s="133" r="AI7">
        <f t="shared" si="4"/>
        <v>€ 484,00</v>
      </c>
      <c t="str" s="133" r="AJ7">
        <f t="shared" si="4"/>
        <v>€ 11 484,00</v>
      </c>
      <c t="str" s="133" r="AK7">
        <f t="shared" si="4"/>
        <v>€ 484,00</v>
      </c>
      <c t="str" s="133" r="AL7">
        <f t="shared" si="4"/>
        <v>€ 484,00</v>
      </c>
      <c t="str" s="133" r="AM7">
        <f t="shared" si="4"/>
        <v>€ 484,00</v>
      </c>
      <c t="str" s="133" r="AN7">
        <f t="shared" si="4"/>
        <v>€ 684,00</v>
      </c>
      <c t="str" s="133" r="AO7">
        <f t="shared" si="4"/>
        <v>€ 484,00</v>
      </c>
      <c t="str" s="133" r="AP7">
        <f t="shared" si="4"/>
        <v>€ 11 484,00</v>
      </c>
      <c t="str" s="133" r="AQ7">
        <f t="shared" si="4"/>
        <v>€ 484,00</v>
      </c>
      <c t="str" s="133" r="AR7">
        <f t="shared" si="4"/>
        <v>€ 11 484,00</v>
      </c>
      <c t="str" s="133" r="AS7">
        <f t="shared" si="4"/>
        <v>€ 11 484,00</v>
      </c>
      <c t="str" s="133" r="AT7">
        <f t="shared" si="4"/>
        <v>€ 484,00</v>
      </c>
      <c t="str" s="133" r="AU7">
        <f t="shared" si="4"/>
        <v>€ 484,00</v>
      </c>
      <c t="str" s="133" r="AV7">
        <f t="shared" si="4"/>
        <v>€ 11 484,00</v>
      </c>
      <c t="str" s="133" r="AW7">
        <f t="shared" si="4"/>
        <v>€ 684,00</v>
      </c>
      <c t="str" s="133" r="AX7">
        <f t="shared" si="4"/>
        <v>€ 484,00</v>
      </c>
      <c t="str" s="133" r="AY7">
        <f t="shared" si="4"/>
        <v>€ 11 484,00</v>
      </c>
      <c t="str" s="133" r="AZ7">
        <f t="shared" si="4"/>
        <v>€ 484,00</v>
      </c>
      <c s="31" r="BA7"/>
      <c s="31" r="BB7"/>
      <c s="31" r="BC7"/>
      <c s="31" r="BD7"/>
    </row>
    <row r="8">
      <c t="s" s="163" r="A8">
        <v>379</v>
      </c>
      <c s="6" r="B8"/>
      <c s="6" r="C8"/>
      <c s="6" r="D8"/>
      <c t="str" s="164" r="E8">
        <f ref="E8:AZ8" t="shared" si="5">SUM(E3:E7)</f>
        <v>3 056,81 €</v>
      </c>
      <c t="str" s="164" r="F8">
        <f t="shared" si="5"/>
        <v>2 081,00 €</v>
      </c>
      <c t="str" s="164" r="G8">
        <f t="shared" si="5"/>
        <v>24 947,07 €</v>
      </c>
      <c t="str" s="164" r="H8">
        <f t="shared" si="5"/>
        <v>29 209,27 €</v>
      </c>
      <c t="str" s="164" r="I8">
        <f t="shared" si="5"/>
        <v>3 335,63 €</v>
      </c>
      <c t="str" s="164" r="J8">
        <f t="shared" si="5"/>
        <v>5 139,70 €</v>
      </c>
      <c t="str" s="164" r="K8">
        <f t="shared" si="5"/>
        <v>5 324,00 €</v>
      </c>
      <c t="str" s="164" r="L8">
        <f t="shared" si="5"/>
        <v>5 324,00 €</v>
      </c>
      <c t="str" s="164" r="M8">
        <f t="shared" si="5"/>
        <v>5 324,00 €</v>
      </c>
      <c t="str" s="164" r="N8">
        <f t="shared" si="5"/>
        <v>7 700,00 €</v>
      </c>
      <c t="str" s="164" r="O8">
        <f t="shared" si="5"/>
        <v>5 500,00 €</v>
      </c>
      <c t="str" s="164" r="P8">
        <f t="shared" si="5"/>
        <v>5 500,00 €</v>
      </c>
      <c t="str" s="164" r="Q8">
        <f t="shared" si="5"/>
        <v>11 572,75 €</v>
      </c>
      <c t="str" s="164" r="R8">
        <f t="shared" si="5"/>
        <v>5 324,00 €</v>
      </c>
      <c t="str" s="164" r="S8">
        <f t="shared" si="5"/>
        <v>5 324,00 €</v>
      </c>
      <c t="str" s="164" r="T8">
        <f t="shared" si="5"/>
        <v>24 655,67 €</v>
      </c>
      <c t="str" s="164" r="U8">
        <f t="shared" si="5"/>
        <v>5 324,00 €</v>
      </c>
      <c t="str" s="164" r="V8">
        <f t="shared" si="5"/>
        <v>5 324,00 €</v>
      </c>
      <c t="str" s="164" r="W8">
        <f t="shared" si="5"/>
        <v>17 938,58 €</v>
      </c>
      <c t="str" s="164" r="X8">
        <f t="shared" si="5"/>
        <v>5 324,00 €</v>
      </c>
      <c t="str" s="164" r="Y8">
        <f t="shared" si="5"/>
        <v>5 324,00 €</v>
      </c>
      <c t="str" s="164" r="Z8">
        <f t="shared" si="5"/>
        <v>30 209,76 €</v>
      </c>
      <c t="str" s="164" r="AA8">
        <f t="shared" si="5"/>
        <v>7 524,00 €</v>
      </c>
      <c t="str" s="164" r="AB8">
        <f t="shared" si="5"/>
        <v>15 738,58 €</v>
      </c>
      <c t="str" s="164" r="AC8">
        <f t="shared" si="5"/>
        <v>19 210,11 €</v>
      </c>
      <c t="str" s="164" r="AD8">
        <f t="shared" si="5"/>
        <v>20 945,88 €</v>
      </c>
      <c t="str" s="164" r="AE8">
        <f t="shared" si="5"/>
        <v>24 070,25 €</v>
      </c>
      <c t="str" s="164" r="AF8">
        <f t="shared" si="5"/>
        <v>24 070,25 €</v>
      </c>
      <c t="str" s="164" r="AG8">
        <f t="shared" si="5"/>
        <v>26 270,25 €</v>
      </c>
      <c t="str" s="164" r="AH8">
        <f t="shared" si="5"/>
        <v>24 070,25 €</v>
      </c>
      <c t="str" s="164" r="AI8">
        <f t="shared" si="5"/>
        <v>24 070,25 €</v>
      </c>
      <c t="str" s="164" r="AJ8">
        <f t="shared" si="5"/>
        <v>35 070,25 €</v>
      </c>
      <c t="str" s="164" r="AK8">
        <f t="shared" si="5"/>
        <v>24 070,25 €</v>
      </c>
      <c t="str" s="164" r="AL8">
        <f t="shared" si="5"/>
        <v>24 070,25 €</v>
      </c>
      <c t="str" s="164" r="AM8">
        <f t="shared" si="5"/>
        <v>24 070,25 €</v>
      </c>
      <c t="str" s="164" r="AN8">
        <f t="shared" si="5"/>
        <v>26 270,25 €</v>
      </c>
      <c t="str" s="164" r="AO8">
        <f t="shared" si="5"/>
        <v>26 153,17 €</v>
      </c>
      <c t="str" s="164" r="AP8">
        <f t="shared" si="5"/>
        <v>37 153,17 €</v>
      </c>
      <c t="str" s="164" r="AQ8">
        <f t="shared" si="5"/>
        <v>26 153,17 €</v>
      </c>
      <c t="str" s="164" r="AR8">
        <f t="shared" si="5"/>
        <v>37 153,17 €</v>
      </c>
      <c t="str" s="164" r="AS8">
        <f t="shared" si="5"/>
        <v>37 153,17 €</v>
      </c>
      <c t="str" s="164" r="AT8">
        <f t="shared" si="5"/>
        <v>26 153,17 €</v>
      </c>
      <c t="str" s="164" r="AU8">
        <f t="shared" si="5"/>
        <v>26 153,17 €</v>
      </c>
      <c t="str" s="164" r="AV8">
        <f t="shared" si="5"/>
        <v>37 153,17 €</v>
      </c>
      <c t="str" s="164" r="AW8">
        <f t="shared" si="5"/>
        <v>28 353,17 €</v>
      </c>
      <c t="str" s="164" r="AX8">
        <f t="shared" si="5"/>
        <v>26 153,17 €</v>
      </c>
      <c t="str" s="164" r="AY8">
        <f t="shared" si="5"/>
        <v>37 153,17 €</v>
      </c>
      <c t="str" s="164" r="AZ8">
        <f t="shared" si="5"/>
        <v>26 153,17 €</v>
      </c>
      <c t="str" s="6" r="BA8">
        <f>(sum(AO8:AZ8)*1.02)-(AZ3*12)+BA3</f>
        <v>378 458,76 €</v>
      </c>
      <c s="6" r="BB8"/>
      <c s="6" r="BC8"/>
      <c s="6" r="BD8"/>
    </row>
    <row customHeight="1" r="9" ht="15.75">
      <c s="31" r="A9"/>
      <c s="25" r="B9"/>
      <c s="25" r="C9"/>
      <c s="57" r="D9"/>
      <c s="144" r="E9"/>
      <c s="145" r="F9"/>
      <c s="145" r="G9"/>
      <c s="145" r="H9"/>
      <c s="145" r="I9"/>
      <c s="145" r="J9"/>
      <c s="57" r="K9"/>
      <c s="57" r="L9"/>
      <c s="57" r="M9"/>
      <c s="57" r="N9"/>
      <c s="57" r="O9"/>
      <c s="57" r="P9"/>
      <c s="57" r="Q9"/>
      <c s="57" r="R9"/>
      <c s="57" r="S9"/>
      <c s="57" r="T9"/>
      <c s="57" r="U9"/>
      <c s="57" r="V9"/>
      <c s="57" r="W9"/>
      <c s="57" r="X9"/>
      <c s="57" r="Y9"/>
      <c s="57" r="Z9"/>
      <c s="57" r="AA9"/>
      <c s="57" r="AB9"/>
      <c s="57" r="AC9"/>
      <c s="57" r="AD9"/>
      <c s="57" r="AE9"/>
      <c s="57" r="AF9"/>
      <c s="57" r="AG9"/>
      <c s="57" r="AH9"/>
      <c s="57" r="AI9"/>
      <c s="57" r="AJ9"/>
      <c s="57" r="AK9"/>
      <c s="57" r="AL9"/>
      <c s="57" r="AM9"/>
      <c s="57" r="AN9"/>
      <c s="57" r="AO9"/>
      <c s="57" r="AP9"/>
      <c s="57" r="AQ9"/>
      <c s="57" r="AR9"/>
      <c s="57" r="AS9"/>
      <c s="57" r="AT9"/>
      <c s="57" r="AU9"/>
      <c s="57" r="AV9"/>
      <c s="57" r="AW9"/>
      <c s="57" r="AX9"/>
      <c s="57" r="AY9"/>
      <c s="57" r="AZ9"/>
      <c s="31" r="BA9"/>
      <c s="31" r="BB9"/>
      <c s="31" r="BC9"/>
      <c s="31" r="BD9"/>
    </row>
    <row customHeight="1" r="10" ht="15.75">
      <c s="31" r="A10"/>
      <c s="25" r="B10"/>
      <c s="25" r="C10"/>
      <c s="57" r="D10"/>
      <c s="144" r="E10"/>
      <c s="145" r="F10"/>
      <c s="145" r="G10"/>
      <c s="145" r="H10"/>
      <c s="145" r="I10"/>
      <c s="145" r="J10"/>
      <c s="57" r="K10"/>
      <c s="57" r="L10"/>
      <c s="57" r="M10"/>
      <c s="57" r="N10"/>
      <c s="57" r="O10"/>
      <c s="57" r="P10"/>
      <c s="57" r="Q10"/>
      <c s="57" r="R10"/>
      <c s="57" r="S10"/>
      <c s="57" r="T10"/>
      <c s="57" r="U10"/>
      <c s="57" r="V10"/>
      <c s="57" r="W10"/>
      <c s="57" r="X10"/>
      <c s="57" r="Y10"/>
      <c s="57" r="Z10"/>
      <c s="57" r="AA10"/>
      <c s="57" r="AB10"/>
      <c s="57" r="AC10"/>
      <c s="57" r="AD10"/>
      <c s="57" r="AE10"/>
      <c s="57" r="AF10"/>
      <c s="57" r="AG10"/>
      <c s="57" r="AH10"/>
      <c s="57" r="AI10"/>
      <c s="57" r="AJ10"/>
      <c s="57" r="AK10"/>
      <c s="57" r="AL10"/>
      <c s="57" r="AM10"/>
      <c s="57" r="AN10"/>
      <c s="57" r="AO10"/>
      <c s="57" r="AP10"/>
      <c s="57" r="AQ10"/>
      <c s="57" r="AR10"/>
      <c s="57" r="AS10"/>
      <c s="57" r="AT10"/>
      <c s="57" r="AU10"/>
      <c s="57" r="AV10"/>
      <c s="57" r="AW10"/>
      <c s="57" r="AX10"/>
      <c s="57" r="AY10"/>
      <c s="57" r="AZ10"/>
      <c s="31" r="BA10"/>
      <c s="31" r="BB10"/>
      <c s="31" r="BC10"/>
      <c s="31" r="BD10"/>
    </row>
    <row customHeight="1" r="11" ht="15.75">
      <c s="31" r="A11"/>
      <c s="25" r="B11"/>
      <c s="25" r="C11"/>
      <c s="57" r="D11"/>
      <c s="144" r="E11"/>
      <c s="145" r="F11"/>
      <c s="145" r="G11"/>
      <c s="145" r="H11"/>
      <c s="145" r="I11"/>
      <c s="145" r="J11"/>
      <c s="57" r="K11"/>
      <c s="57" r="L11"/>
      <c s="57" r="M11"/>
      <c s="57" r="N11"/>
      <c s="57" r="O11"/>
      <c s="57" r="P11"/>
      <c s="57" r="Q11"/>
      <c s="57" r="R11"/>
      <c s="57" r="S11"/>
      <c s="57" r="T11"/>
      <c s="57" r="U11"/>
      <c s="57" r="V11"/>
      <c s="57" r="W11"/>
      <c s="57" r="X11"/>
      <c s="57" r="Y11"/>
      <c s="57" r="Z11"/>
      <c s="57" r="AA11"/>
      <c s="57" r="AB11"/>
      <c s="57" r="AC11"/>
      <c s="57" r="AD11"/>
      <c s="57" r="AE11"/>
      <c s="57" r="AF11"/>
      <c s="57" r="AG11"/>
      <c s="57" r="AH11"/>
      <c s="57" r="AI11"/>
      <c s="57" r="AJ11"/>
      <c s="57" r="AK11"/>
      <c s="57" r="AL11"/>
      <c s="57" r="AM11"/>
      <c s="57" r="AN11"/>
      <c s="57" r="AO11"/>
      <c s="57" r="AP11"/>
      <c s="57" r="AQ11"/>
      <c s="57" r="AR11"/>
      <c s="57" r="AS11"/>
      <c s="57" r="AT11"/>
      <c s="57" r="AU11"/>
      <c s="57" r="AV11"/>
      <c s="57" r="AW11"/>
      <c s="57" r="AX11"/>
      <c s="57" r="AY11"/>
      <c s="57" r="AZ11"/>
      <c s="31" r="BA11"/>
      <c s="31" r="BB11"/>
      <c s="31" r="BC11"/>
      <c s="31" r="BD11"/>
    </row>
    <row customHeight="1" r="12" ht="15.75">
      <c s="31" r="A12"/>
      <c s="25" r="B12"/>
      <c s="25" r="C12"/>
      <c s="57" r="D12"/>
      <c s="144" r="E12"/>
      <c s="145" r="F12"/>
      <c s="145" r="G12"/>
      <c s="145" r="H12"/>
      <c s="145" r="I12"/>
      <c s="145" r="J12"/>
      <c s="57" r="K12"/>
      <c s="57" r="L12"/>
      <c s="57" r="M12"/>
      <c s="57" r="N12"/>
      <c s="57" r="O12"/>
      <c s="57" r="P12"/>
      <c s="57" r="Q12"/>
      <c s="57" r="R12"/>
      <c s="57" r="S12"/>
      <c s="57" r="T12"/>
      <c s="57" r="U12"/>
      <c s="57" r="V12"/>
      <c s="57" r="W12"/>
      <c s="57" r="X12"/>
      <c s="57" r="Y12"/>
      <c s="57" r="Z12"/>
      <c s="57" r="AA12"/>
      <c s="57" r="AB12"/>
      <c s="57" r="AC12"/>
      <c s="57" r="AD12"/>
      <c s="57" r="AE12"/>
      <c s="57" r="AF12"/>
      <c s="57" r="AG12"/>
      <c s="57" r="AH12"/>
      <c s="57" r="AI12"/>
      <c s="57" r="AJ12"/>
      <c s="57" r="AK12"/>
      <c s="57" r="AL12"/>
      <c s="57" r="AM12"/>
      <c s="57" r="AN12"/>
      <c s="57" r="AO12"/>
      <c s="57" r="AP12"/>
      <c s="57" r="AQ12"/>
      <c s="57" r="AR12"/>
      <c s="57" r="AS12"/>
      <c s="57" r="AT12"/>
      <c s="57" r="AU12"/>
      <c s="57" r="AV12"/>
      <c s="57" r="AW12"/>
      <c s="57" r="AX12"/>
      <c s="57" r="AY12"/>
      <c s="57" r="AZ12"/>
      <c s="31" r="BA12"/>
      <c s="31" r="BB12"/>
      <c s="31" r="BC12"/>
      <c s="31" r="BD12"/>
    </row>
    <row customHeight="1" r="13" ht="15.75">
      <c t="s" s="31" r="A13">
        <v>380</v>
      </c>
      <c t="s" s="56" r="B13">
        <v>381</v>
      </c>
      <c s="25" r="C13">
        <v>2000.0</v>
      </c>
      <c s="146" r="D13"/>
      <c s="145" r="E13"/>
      <c s="145" r="F13"/>
      <c s="145" r="G13"/>
      <c s="145" r="H13"/>
      <c s="145" r="I13"/>
      <c s="145" r="J13"/>
      <c s="57" r="K13">
        <v>0.0</v>
      </c>
      <c s="57" r="L13">
        <v>0.0</v>
      </c>
      <c s="57" r="M13">
        <v>0.0</v>
      </c>
      <c s="57" r="N13">
        <v>2.0</v>
      </c>
      <c s="57" r="O13">
        <v>1.0</v>
      </c>
      <c s="57" r="P13">
        <v>1.0</v>
      </c>
      <c s="57" r="Q13"/>
      <c s="57" r="R13"/>
      <c s="57" r="S13"/>
      <c s="57" r="T13"/>
      <c s="57" r="U13"/>
      <c s="57" r="V13"/>
      <c s="57" r="W13">
        <v>1.0</v>
      </c>
      <c s="57" r="X13"/>
      <c s="57" r="Y13"/>
      <c s="57" r="Z13"/>
      <c s="57" r="AA13">
        <v>1.0</v>
      </c>
      <c s="57" r="AB13"/>
      <c s="57" r="AC13"/>
      <c s="57" r="AD13"/>
      <c s="57" r="AE13"/>
      <c s="57" r="AF13"/>
      <c s="57" r="AG13">
        <v>1.0</v>
      </c>
      <c s="57" r="AH13"/>
      <c s="57" r="AI13"/>
      <c s="57" r="AJ13"/>
      <c s="57" r="AK13"/>
      <c s="57" r="AL13"/>
      <c s="57" r="AM13"/>
      <c s="57" r="AN13">
        <v>1.0</v>
      </c>
      <c s="57" r="AO13"/>
      <c s="57" r="AP13"/>
      <c s="57" r="AQ13"/>
      <c s="57" r="AR13"/>
      <c s="57" r="AS13"/>
      <c s="57" r="AT13"/>
      <c s="57" r="AU13"/>
      <c s="57" r="AV13"/>
      <c s="57" r="AW13">
        <v>1.0</v>
      </c>
      <c s="57" r="AX13"/>
      <c s="57" r="AY13"/>
      <c s="57" r="AZ13"/>
      <c s="31" r="BA13"/>
      <c s="31" r="BB13"/>
      <c s="31" r="BC13"/>
      <c s="31" r="BD13"/>
    </row>
    <row customHeight="1" r="14" ht="15.75">
      <c t="s" s="25" r="A14">
        <v>382</v>
      </c>
      <c t="s" s="56" r="B14">
        <v>383</v>
      </c>
      <c s="25" r="C14">
        <v>3000.0</v>
      </c>
      <c s="146" r="D14">
        <v>5.0</v>
      </c>
      <c s="145" r="E14">
        <v>1.0</v>
      </c>
      <c s="145" r="F14">
        <v>1.0</v>
      </c>
      <c s="145" r="G14">
        <v>1.0</v>
      </c>
      <c s="145" r="H14">
        <v>1.0</v>
      </c>
      <c s="145" r="I14">
        <v>1.0</v>
      </c>
      <c s="145" r="J14">
        <v>1.0</v>
      </c>
      <c s="57" r="K14">
        <v>1.0</v>
      </c>
      <c s="57" r="L14">
        <v>1.0</v>
      </c>
      <c s="57" r="M14">
        <v>0.5</v>
      </c>
      <c s="57" r="N14">
        <v>0.33</v>
      </c>
      <c s="57" r="O14">
        <v>0.33</v>
      </c>
      <c s="57" r="P14">
        <v>0.33</v>
      </c>
      <c s="57" r="Q14">
        <v>0.33</v>
      </c>
      <c s="57" r="R14">
        <v>1.0</v>
      </c>
      <c s="57" r="S14">
        <v>1.0</v>
      </c>
      <c s="57" r="T14">
        <v>1.0</v>
      </c>
      <c s="57" r="U14">
        <v>1.0</v>
      </c>
      <c s="57" r="V14">
        <v>1.0</v>
      </c>
      <c s="57" r="W14">
        <v>1.0</v>
      </c>
      <c s="57" r="X14">
        <v>1.0</v>
      </c>
      <c s="57" r="Y14">
        <v>1.0</v>
      </c>
      <c s="57" r="Z14">
        <v>1.0</v>
      </c>
      <c s="57" r="AA14">
        <v>1.0</v>
      </c>
      <c s="57" r="AB14">
        <v>1.0</v>
      </c>
      <c s="57" r="AC14">
        <v>2.0</v>
      </c>
      <c s="57" r="AD14">
        <v>2.0</v>
      </c>
      <c s="57" r="AE14">
        <v>2.0</v>
      </c>
      <c s="57" r="AF14">
        <v>2.0</v>
      </c>
      <c s="57" r="AG14">
        <v>2.0</v>
      </c>
      <c s="57" r="AH14">
        <v>2.0</v>
      </c>
      <c s="57" r="AI14">
        <v>2.0</v>
      </c>
      <c s="57" r="AJ14">
        <v>2.0</v>
      </c>
      <c s="57" r="AK14">
        <v>2.0</v>
      </c>
      <c s="57" r="AL14">
        <v>2.0</v>
      </c>
      <c s="57" r="AM14">
        <v>2.0</v>
      </c>
      <c s="57" r="AN14">
        <v>2.0</v>
      </c>
      <c s="57" r="AO14">
        <v>2.0</v>
      </c>
      <c s="57" r="AP14">
        <v>2.0</v>
      </c>
      <c s="57" r="AQ14">
        <v>2.0</v>
      </c>
      <c s="57" r="AR14">
        <v>2.0</v>
      </c>
      <c s="57" r="AS14">
        <v>2.0</v>
      </c>
      <c s="57" r="AT14">
        <v>2.0</v>
      </c>
      <c s="57" r="AU14">
        <v>2.0</v>
      </c>
      <c s="57" r="AV14">
        <v>2.0</v>
      </c>
      <c s="57" r="AW14">
        <v>2.0</v>
      </c>
      <c s="57" r="AX14">
        <v>2.0</v>
      </c>
      <c s="57" r="AY14">
        <v>2.0</v>
      </c>
      <c s="57" r="AZ14">
        <v>2.0</v>
      </c>
      <c s="31" r="BA14"/>
      <c s="31" r="BB14"/>
      <c s="31" r="BC14"/>
      <c s="31" r="BD14"/>
    </row>
    <row customHeight="1" r="15" ht="15.75">
      <c t="s" s="31" r="A15">
        <v>384</v>
      </c>
      <c s="25" r="B15"/>
      <c s="25" r="C15">
        <v>3000.0</v>
      </c>
      <c s="146" r="D15">
        <v>0.0</v>
      </c>
      <c s="145" r="E15"/>
      <c s="145" r="F15"/>
      <c s="145" r="G15"/>
      <c s="145" r="H15">
        <v>0.5</v>
      </c>
      <c s="145" r="I15">
        <v>0.5</v>
      </c>
      <c s="145" r="J15"/>
      <c s="57" r="K15">
        <v>1.0</v>
      </c>
      <c s="57" r="L15">
        <v>1.0</v>
      </c>
      <c s="57" r="M15">
        <v>1.0</v>
      </c>
      <c s="57" r="N15">
        <v>1.0</v>
      </c>
      <c s="57" r="O15">
        <v>1.0</v>
      </c>
      <c s="57" r="P15">
        <v>1.0</v>
      </c>
      <c s="57" r="Q15">
        <v>1.0</v>
      </c>
      <c s="57" r="R15">
        <v>1.0</v>
      </c>
      <c s="57" r="S15">
        <v>1.0</v>
      </c>
      <c s="57" r="T15">
        <v>1.0</v>
      </c>
      <c s="57" r="U15">
        <v>1.0</v>
      </c>
      <c s="57" r="V15">
        <v>1.0</v>
      </c>
      <c s="57" r="W15">
        <v>1.0</v>
      </c>
      <c s="57" r="X15">
        <v>1.0</v>
      </c>
      <c s="57" r="Y15">
        <v>1.0</v>
      </c>
      <c s="57" r="Z15">
        <v>1.0</v>
      </c>
      <c s="57" r="AA15">
        <v>1.0</v>
      </c>
      <c s="57" r="AB15">
        <v>1.0</v>
      </c>
      <c s="57" r="AC15">
        <v>1.0</v>
      </c>
      <c s="57" r="AD15">
        <v>1.0</v>
      </c>
      <c s="57" r="AE15">
        <v>1.0</v>
      </c>
      <c s="57" r="AF15">
        <v>1.0</v>
      </c>
      <c s="57" r="AG15">
        <v>1.0</v>
      </c>
      <c s="57" r="AH15">
        <v>1.0</v>
      </c>
      <c s="57" r="AI15">
        <v>1.0</v>
      </c>
      <c s="57" r="AJ15">
        <v>1.0</v>
      </c>
      <c s="57" r="AK15">
        <v>1.0</v>
      </c>
      <c s="57" r="AL15">
        <v>1.0</v>
      </c>
      <c s="57" r="AM15">
        <v>1.0</v>
      </c>
      <c s="57" r="AN15">
        <v>1.0</v>
      </c>
      <c s="57" r="AO15">
        <v>1.0</v>
      </c>
      <c s="57" r="AP15">
        <v>1.0</v>
      </c>
      <c s="57" r="AQ15">
        <v>1.0</v>
      </c>
      <c s="57" r="AR15">
        <v>1.0</v>
      </c>
      <c s="57" r="AS15">
        <v>1.0</v>
      </c>
      <c s="57" r="AT15">
        <v>1.0</v>
      </c>
      <c s="57" r="AU15">
        <v>1.0</v>
      </c>
      <c s="57" r="AV15">
        <v>1.0</v>
      </c>
      <c s="57" r="AW15">
        <v>1.0</v>
      </c>
      <c s="57" r="AX15">
        <v>1.0</v>
      </c>
      <c s="57" r="AY15">
        <v>1.0</v>
      </c>
      <c s="57" r="AZ15">
        <v>1.0</v>
      </c>
      <c s="31" r="BA15"/>
      <c s="31" r="BB15"/>
      <c s="31" r="BC15"/>
      <c s="31" r="BD15"/>
    </row>
    <row customHeight="1" r="16" ht="15.75">
      <c t="s" s="31" r="A16">
        <v>385</v>
      </c>
      <c s="25" r="B16"/>
      <c s="25" r="C16">
        <v>10000.0</v>
      </c>
      <c s="146" r="D16"/>
      <c s="145" r="E16"/>
      <c s="145" r="F16"/>
      <c s="145" r="G16"/>
      <c s="145" r="H16"/>
      <c s="145" r="I16">
        <v>1.0</v>
      </c>
      <c s="145" r="J16"/>
      <c s="57" r="K16"/>
      <c s="57" r="L16"/>
      <c s="57" r="M16"/>
      <c s="57" r="N16"/>
      <c s="57" r="O16"/>
      <c s="57" r="P16"/>
      <c s="57" r="Q16"/>
      <c s="57" r="R16"/>
      <c s="57" r="S16"/>
      <c s="57" r="T16">
        <v>1.0</v>
      </c>
      <c s="57" r="U16"/>
      <c s="57" r="V16"/>
      <c s="57" r="W16"/>
      <c s="57" r="X16"/>
      <c s="57" r="Y16"/>
      <c s="57" r="Z16">
        <v>1.0</v>
      </c>
      <c s="57" r="AA16"/>
      <c s="57" r="AB16"/>
      <c s="57" r="AC16"/>
      <c s="57" r="AD16"/>
      <c s="57" r="AE16"/>
      <c s="57" r="AF16"/>
      <c s="57" r="AG16"/>
      <c s="57" r="AH16"/>
      <c s="57" r="AI16"/>
      <c s="57" r="AJ16">
        <v>1.0</v>
      </c>
      <c s="57" r="AK16"/>
      <c s="57" r="AL16"/>
      <c s="57" r="AM16"/>
      <c s="57" r="AN16"/>
      <c s="57" r="AO16"/>
      <c s="57" r="AP16">
        <v>1.0</v>
      </c>
      <c s="57" r="AQ16"/>
      <c s="57" r="AR16">
        <v>1.0</v>
      </c>
      <c s="57" r="AS16">
        <v>1.0</v>
      </c>
      <c s="57" r="AT16"/>
      <c s="57" r="AU16"/>
      <c s="57" r="AV16">
        <v>1.0</v>
      </c>
      <c s="57" r="AW16"/>
      <c s="57" r="AX16"/>
      <c s="57" r="AY16">
        <v>1.0</v>
      </c>
      <c s="57" r="AZ16"/>
      <c s="31" r="BA16"/>
      <c s="31" r="BB16"/>
      <c s="31" r="BC16"/>
      <c s="31" r="BD16"/>
    </row>
    <row customHeight="1" r="17" ht="15.75">
      <c t="s" s="31" r="A17">
        <v>386</v>
      </c>
      <c s="25" r="B17"/>
      <c s="26" r="C17">
        <v>0.1</v>
      </c>
      <c s="146" r="D17"/>
      <c s="145" r="E17"/>
      <c s="145" r="F17"/>
      <c s="145" r="G17"/>
      <c s="145" r="H17"/>
      <c s="145" r="I17"/>
      <c s="145" r="J17"/>
      <c s="57" r="K17"/>
      <c s="57" r="L17"/>
      <c s="57" r="M17"/>
      <c s="57" r="N17"/>
      <c s="57" r="O17"/>
      <c s="57" r="P17"/>
      <c s="57" r="Q17"/>
      <c s="57" r="R17"/>
      <c s="57" r="S17"/>
      <c s="57" r="T17"/>
      <c s="57" r="U17"/>
      <c s="57" r="V17"/>
      <c s="57" r="W17"/>
      <c s="57" r="X17"/>
      <c s="57" r="Y17"/>
      <c s="57" r="Z17"/>
      <c s="57" r="AA17"/>
      <c s="57" r="AB17"/>
      <c s="57" r="AC17"/>
      <c s="57" r="AD17"/>
      <c s="57" r="AE17"/>
      <c s="57" r="AF17"/>
      <c s="57" r="AG17"/>
      <c s="57" r="AH17"/>
      <c s="57" r="AI17"/>
      <c s="57" r="AJ17"/>
      <c s="57" r="AK17"/>
      <c s="57" r="AL17"/>
      <c s="57" r="AM17"/>
      <c s="57" r="AN17"/>
      <c s="57" r="AO17"/>
      <c s="57" r="AP17"/>
      <c s="57" r="AQ17"/>
      <c s="57" r="AR17"/>
      <c s="57" r="AS17"/>
      <c s="57" r="AT17"/>
      <c s="57" r="AU17"/>
      <c s="57" r="AV17"/>
      <c s="57" r="AW17"/>
      <c s="57" r="AX17"/>
      <c s="57" r="AY17"/>
      <c s="57" r="AZ17"/>
      <c s="31" r="BA17"/>
      <c s="31" r="BB17"/>
      <c s="31" r="BC17"/>
      <c s="31" r="BD17"/>
    </row>
    <row customHeight="1" r="18" ht="15.75">
      <c s="31" r="A18"/>
      <c s="31" r="B18"/>
      <c s="31" r="C18"/>
      <c s="31" r="D18"/>
      <c s="155" r="E18"/>
      <c s="155" r="F18"/>
      <c s="155" r="G18"/>
      <c s="155" r="H18"/>
      <c s="155" r="I18"/>
      <c s="155" r="J18"/>
      <c s="31" r="K18"/>
      <c s="31" r="L18"/>
      <c s="31" r="M18"/>
      <c s="31" r="N18"/>
      <c s="31" r="O18"/>
      <c s="31" r="P18"/>
      <c s="31" r="Q18"/>
      <c s="31" r="R18"/>
      <c s="31" r="S18"/>
      <c s="31" r="T18"/>
      <c s="31" r="U18"/>
      <c s="31" r="V18"/>
      <c s="31" r="W18"/>
      <c s="31" r="X18"/>
      <c s="31" r="Y18"/>
      <c s="31" r="Z18"/>
      <c s="31" r="AA18"/>
      <c s="31" r="AB18"/>
      <c s="31" r="AC18"/>
      <c s="31" r="AD18"/>
      <c s="31" r="AE18"/>
      <c s="31" r="AF18"/>
      <c s="31" r="AG18"/>
      <c s="31" r="AH18"/>
      <c s="31" r="AI18"/>
      <c s="31" r="AJ18"/>
      <c s="31" r="AK18"/>
      <c s="31" r="AL18"/>
      <c s="31" r="AM18"/>
      <c s="31" r="AN18"/>
      <c s="31" r="AO18"/>
      <c s="31" r="AP18"/>
      <c s="31" r="AQ18"/>
      <c s="31" r="AR18"/>
      <c s="31" r="AS18"/>
      <c s="31" r="AT18"/>
      <c s="31" r="AU18"/>
      <c s="31" r="AV18"/>
      <c s="31" r="AW18"/>
      <c s="31" r="AX18"/>
      <c s="31" r="AY18"/>
      <c s="31" r="AZ18"/>
      <c s="31" r="BA18"/>
      <c s="31" r="BB18"/>
      <c s="31" r="BC18"/>
      <c s="31" r="BD18"/>
    </row>
    <row customHeight="1" r="19" ht="15.75">
      <c t="str" s="31" r="A19">
        <f ref="A19:A22" t="shared" si="7">A13</f>
        <v>Participation en Expo</v>
      </c>
      <c t="s" s="56" r="B19">
        <v>387</v>
      </c>
      <c s="31" r="C19"/>
      <c s="31" r="D19"/>
      <c t="str" s="155" r="E19">
        <f ref="E19:AZ19" t="shared" si="6">(E13*$C13)</f>
        <v>€ 0,00</v>
      </c>
      <c t="str" s="155" r="F19">
        <f t="shared" si="6"/>
        <v>€ 0,00</v>
      </c>
      <c t="str" s="155" r="G19">
        <f t="shared" si="6"/>
        <v>€ 0,00</v>
      </c>
      <c t="str" s="155" r="H19">
        <f t="shared" si="6"/>
        <v>€ 0,00</v>
      </c>
      <c t="str" s="155" r="I19">
        <f t="shared" si="6"/>
        <v>€ 0,00</v>
      </c>
      <c t="str" s="155" r="J19">
        <f t="shared" si="6"/>
        <v>€ 0,00</v>
      </c>
      <c t="str" s="31" r="K19">
        <f t="shared" si="6"/>
        <v>€ 0,00</v>
      </c>
      <c t="str" s="31" r="L19">
        <f t="shared" si="6"/>
        <v>€ 0,00</v>
      </c>
      <c t="str" s="31" r="M19">
        <f t="shared" si="6"/>
        <v>€ 0,00</v>
      </c>
      <c t="str" s="31" r="N19">
        <f t="shared" si="6"/>
        <v>€ 4 000,00</v>
      </c>
      <c t="str" s="31" r="O19">
        <f t="shared" si="6"/>
        <v>€ 2 000,00</v>
      </c>
      <c t="str" s="31" r="P19">
        <f t="shared" si="6"/>
        <v>€ 2 000,00</v>
      </c>
      <c t="str" s="31" r="Q19">
        <f t="shared" si="6"/>
        <v>€ 0,00</v>
      </c>
      <c t="str" s="31" r="R19">
        <f t="shared" si="6"/>
        <v>€ 0,00</v>
      </c>
      <c t="str" s="31" r="S19">
        <f t="shared" si="6"/>
        <v>€ 0,00</v>
      </c>
      <c t="str" s="31" r="T19">
        <f t="shared" si="6"/>
        <v>€ 0,00</v>
      </c>
      <c t="str" s="31" r="U19">
        <f t="shared" si="6"/>
        <v>€ 0,00</v>
      </c>
      <c t="str" s="31" r="V19">
        <f t="shared" si="6"/>
        <v>€ 0,00</v>
      </c>
      <c t="str" s="31" r="W19">
        <f t="shared" si="6"/>
        <v>€ 2 000,00</v>
      </c>
      <c t="str" s="31" r="X19">
        <f t="shared" si="6"/>
        <v>€ 0,00</v>
      </c>
      <c t="str" s="31" r="Y19">
        <f t="shared" si="6"/>
        <v>€ 0,00</v>
      </c>
      <c t="str" s="31" r="Z19">
        <f t="shared" si="6"/>
        <v>€ 0,00</v>
      </c>
      <c t="str" s="31" r="AA19">
        <f t="shared" si="6"/>
        <v>€ 2 000,00</v>
      </c>
      <c t="str" s="31" r="AB19">
        <f t="shared" si="6"/>
        <v>€ 0,00</v>
      </c>
      <c t="str" s="31" r="AC19">
        <f t="shared" si="6"/>
        <v>€ 0,00</v>
      </c>
      <c t="str" s="31" r="AD19">
        <f t="shared" si="6"/>
        <v>€ 0,00</v>
      </c>
      <c t="str" s="31" r="AE19">
        <f t="shared" si="6"/>
        <v>€ 0,00</v>
      </c>
      <c t="str" s="31" r="AF19">
        <f t="shared" si="6"/>
        <v>€ 0,00</v>
      </c>
      <c t="str" s="31" r="AG19">
        <f t="shared" si="6"/>
        <v>€ 2 000,00</v>
      </c>
      <c t="str" s="31" r="AH19">
        <f t="shared" si="6"/>
        <v>€ 0,00</v>
      </c>
      <c t="str" s="31" r="AI19">
        <f t="shared" si="6"/>
        <v>€ 0,00</v>
      </c>
      <c t="str" s="31" r="AJ19">
        <f t="shared" si="6"/>
        <v>€ 0,00</v>
      </c>
      <c t="str" s="31" r="AK19">
        <f t="shared" si="6"/>
        <v>€ 0,00</v>
      </c>
      <c t="str" s="31" r="AL19">
        <f t="shared" si="6"/>
        <v>€ 0,00</v>
      </c>
      <c t="str" s="31" r="AM19">
        <f t="shared" si="6"/>
        <v>€ 0,00</v>
      </c>
      <c t="str" s="31" r="AN19">
        <f t="shared" si="6"/>
        <v>€ 2 000,00</v>
      </c>
      <c t="str" s="31" r="AO19">
        <f t="shared" si="6"/>
        <v>€ 0,00</v>
      </c>
      <c t="str" s="31" r="AP19">
        <f t="shared" si="6"/>
        <v>€ 0,00</v>
      </c>
      <c t="str" s="31" r="AQ19">
        <f t="shared" si="6"/>
        <v>€ 0,00</v>
      </c>
      <c t="str" s="31" r="AR19">
        <f t="shared" si="6"/>
        <v>€ 0,00</v>
      </c>
      <c t="str" s="31" r="AS19">
        <f t="shared" si="6"/>
        <v>€ 0,00</v>
      </c>
      <c t="str" s="31" r="AT19">
        <f t="shared" si="6"/>
        <v>€ 0,00</v>
      </c>
      <c t="str" s="31" r="AU19">
        <f t="shared" si="6"/>
        <v>€ 0,00</v>
      </c>
      <c t="str" s="31" r="AV19">
        <f t="shared" si="6"/>
        <v>€ 0,00</v>
      </c>
      <c t="str" s="31" r="AW19">
        <f t="shared" si="6"/>
        <v>€ 2 000,00</v>
      </c>
      <c t="str" s="31" r="AX19">
        <f t="shared" si="6"/>
        <v>€ 0,00</v>
      </c>
      <c t="str" s="31" r="AY19">
        <f t="shared" si="6"/>
        <v>€ 0,00</v>
      </c>
      <c t="str" s="31" r="AZ19">
        <f t="shared" si="6"/>
        <v>€ 0,00</v>
      </c>
      <c s="31" r="BA19"/>
      <c s="31" r="BB19"/>
      <c s="31" r="BC19"/>
      <c s="31" r="BD19"/>
    </row>
    <row customHeight="1" r="20" ht="15.75">
      <c t="str" s="31" r="A20">
        <f t="shared" si="7"/>
        <v>Création du site Web PUB</v>
      </c>
      <c t="s" s="56" r="B20">
        <v>388</v>
      </c>
      <c s="31" r="C20"/>
      <c s="31" r="D20"/>
      <c t="str" s="155" r="E20">
        <f ref="E20:J20" t="shared" si="8">(E14*$C14)</f>
        <v>€ 3 000,00</v>
      </c>
      <c t="str" s="155" r="F20">
        <f t="shared" si="8"/>
        <v>€ 3 000,00</v>
      </c>
      <c t="str" s="155" r="G20">
        <f t="shared" si="8"/>
        <v>€ 3 000,00</v>
      </c>
      <c t="str" s="155" r="H20">
        <f t="shared" si="8"/>
        <v>€ 3 000,00</v>
      </c>
      <c t="str" s="155" r="I20">
        <f t="shared" si="8"/>
        <v>€ 3 000,00</v>
      </c>
      <c t="str" s="155" r="J20">
        <f t="shared" si="8"/>
        <v>€ 3 000,00</v>
      </c>
      <c s="25" r="K20">
        <v>1000.0</v>
      </c>
      <c s="25" r="L20">
        <v>1000.0</v>
      </c>
      <c s="25" r="M20">
        <v>1000.0</v>
      </c>
      <c s="25" r="N20">
        <v>1000.0</v>
      </c>
      <c s="25" r="O20">
        <v>1000.0</v>
      </c>
      <c s="25" r="P20">
        <v>1000.0</v>
      </c>
      <c s="25" r="Q20">
        <v>1000.0</v>
      </c>
      <c s="25" r="R20">
        <v>1000.0</v>
      </c>
      <c s="25" r="S20">
        <v>1000.0</v>
      </c>
      <c s="25" r="T20">
        <v>1000.0</v>
      </c>
      <c s="25" r="U20">
        <v>1000.0</v>
      </c>
      <c s="25" r="V20">
        <v>1000.0</v>
      </c>
      <c s="25" r="W20">
        <v>1000.0</v>
      </c>
      <c s="25" r="X20">
        <v>1000.0</v>
      </c>
      <c s="25" r="Y20">
        <v>1000.0</v>
      </c>
      <c s="25" r="Z20">
        <v>1000.0</v>
      </c>
      <c s="25" r="AA20">
        <v>1000.0</v>
      </c>
      <c s="25" r="AB20">
        <v>1000.0</v>
      </c>
      <c s="25" r="AC20">
        <v>1000.0</v>
      </c>
      <c s="25" r="AD20">
        <v>1000.0</v>
      </c>
      <c s="25" r="AE20">
        <v>1000.0</v>
      </c>
      <c s="25" r="AF20">
        <v>1000.0</v>
      </c>
      <c s="25" r="AG20">
        <v>1000.0</v>
      </c>
      <c s="25" r="AH20">
        <v>1000.0</v>
      </c>
      <c s="25" r="AI20">
        <v>1000.0</v>
      </c>
      <c s="25" r="AJ20">
        <v>1000.0</v>
      </c>
      <c s="25" r="AK20">
        <v>1000.0</v>
      </c>
      <c s="25" r="AL20">
        <v>1000.0</v>
      </c>
      <c s="25" r="AM20">
        <v>1000.0</v>
      </c>
      <c s="25" r="AN20">
        <v>1000.0</v>
      </c>
      <c s="25" r="AO20">
        <v>1000.0</v>
      </c>
      <c s="25" r="AP20">
        <v>1000.0</v>
      </c>
      <c s="25" r="AQ20">
        <v>1000.0</v>
      </c>
      <c s="25" r="AR20">
        <v>1000.0</v>
      </c>
      <c s="25" r="AS20">
        <v>1000.0</v>
      </c>
      <c s="25" r="AT20">
        <v>1000.0</v>
      </c>
      <c s="25" r="AU20">
        <v>1000.0</v>
      </c>
      <c s="25" r="AV20">
        <v>1000.0</v>
      </c>
      <c s="25" r="AW20">
        <v>1000.0</v>
      </c>
      <c s="25" r="AX20">
        <v>1000.0</v>
      </c>
      <c s="25" r="AY20">
        <v>1000.0</v>
      </c>
      <c s="25" r="AZ20">
        <v>1000.0</v>
      </c>
      <c s="31" r="BA20"/>
      <c s="31" r="BB20"/>
      <c s="31" r="BC20"/>
      <c s="31" r="BD20"/>
    </row>
    <row customHeight="1" r="21" ht="15.75">
      <c t="str" s="31" r="A21">
        <f t="shared" si="7"/>
        <v>PR campaign</v>
      </c>
      <c s="31" r="B21"/>
      <c s="31" r="C21"/>
      <c s="25" r="D21"/>
      <c t="str" s="155" r="E21">
        <f ref="E21:J21" t="shared" si="9">(E15*$C15)</f>
        <v>€ 0,00</v>
      </c>
      <c t="str" s="155" r="F21">
        <f t="shared" si="9"/>
        <v>€ 0,00</v>
      </c>
      <c t="str" s="155" r="G21">
        <f t="shared" si="9"/>
        <v>€ 0,00</v>
      </c>
      <c t="str" s="155" r="H21">
        <f t="shared" si="9"/>
        <v>€ 1 500,00</v>
      </c>
      <c t="str" s="155" r="I21">
        <f t="shared" si="9"/>
        <v>€ 1 500,00</v>
      </c>
      <c t="str" s="155" r="J21">
        <f t="shared" si="9"/>
        <v>€ 0,00</v>
      </c>
      <c s="25" r="K21">
        <v>3840.0</v>
      </c>
      <c s="25" r="L21">
        <v>3840.0</v>
      </c>
      <c s="25" r="M21">
        <v>3840.0</v>
      </c>
      <c s="25" r="N21">
        <v>2000.0</v>
      </c>
      <c s="25" r="O21">
        <v>2000.0</v>
      </c>
      <c s="25" r="P21">
        <v>2000.0</v>
      </c>
      <c s="25" r="Q21">
        <v>3840.0</v>
      </c>
      <c s="25" r="R21">
        <v>3840.0</v>
      </c>
      <c s="25" r="S21">
        <v>3840.0</v>
      </c>
      <c s="25" r="T21">
        <v>3840.0</v>
      </c>
      <c s="25" r="U21">
        <v>3840.0</v>
      </c>
      <c s="25" r="V21">
        <v>3840.0</v>
      </c>
      <c s="25" r="W21">
        <v>3840.0</v>
      </c>
      <c s="25" r="X21">
        <v>3840.0</v>
      </c>
      <c s="25" r="Y21">
        <v>3840.0</v>
      </c>
      <c s="25" r="Z21">
        <v>3840.0</v>
      </c>
      <c s="25" r="AA21">
        <v>3840.0</v>
      </c>
      <c s="25" r="AB21">
        <v>3840.0</v>
      </c>
      <c s="25" r="AC21">
        <v>3840.0</v>
      </c>
      <c s="25" r="AD21">
        <v>3840.0</v>
      </c>
      <c s="25" r="AE21">
        <v>3840.0</v>
      </c>
      <c s="25" r="AF21">
        <v>3840.0</v>
      </c>
      <c s="25" r="AG21">
        <v>3840.0</v>
      </c>
      <c s="25" r="AH21">
        <v>3840.0</v>
      </c>
      <c s="25" r="AI21">
        <v>3840.0</v>
      </c>
      <c s="25" r="AJ21">
        <v>3840.0</v>
      </c>
      <c s="25" r="AK21">
        <v>3840.0</v>
      </c>
      <c s="25" r="AL21">
        <v>3840.0</v>
      </c>
      <c s="25" r="AM21">
        <v>3840.0</v>
      </c>
      <c s="25" r="AN21">
        <v>3840.0</v>
      </c>
      <c s="25" r="AO21">
        <v>3840.0</v>
      </c>
      <c s="25" r="AP21">
        <v>3840.0</v>
      </c>
      <c s="25" r="AQ21">
        <v>3840.0</v>
      </c>
      <c s="25" r="AR21">
        <v>3840.0</v>
      </c>
      <c s="25" r="AS21">
        <v>3840.0</v>
      </c>
      <c s="25" r="AT21">
        <v>3840.0</v>
      </c>
      <c s="25" r="AU21">
        <v>3840.0</v>
      </c>
      <c s="25" r="AV21">
        <v>3840.0</v>
      </c>
      <c s="25" r="AW21">
        <v>3840.0</v>
      </c>
      <c s="25" r="AX21">
        <v>3840.0</v>
      </c>
      <c s="25" r="AY21">
        <v>3840.0</v>
      </c>
      <c s="25" r="AZ21">
        <v>3840.0</v>
      </c>
      <c s="31" r="BA21"/>
      <c s="31" r="BB21"/>
      <c s="31" r="BC21"/>
      <c s="31" r="BD21"/>
    </row>
    <row customHeight="1" r="22" ht="15.75">
      <c t="str" s="31" r="A22">
        <f t="shared" si="7"/>
        <v>Plaquettes commerciales</v>
      </c>
      <c t="s" s="31" r="B22">
        <v>389</v>
      </c>
      <c s="31" r="C22"/>
      <c s="31" r="D22"/>
      <c t="str" s="155" r="E22">
        <f ref="E22:AZ22" t="shared" si="10">(E16*$C16)</f>
        <v>€ 0,00</v>
      </c>
      <c t="str" s="155" r="F22">
        <f t="shared" si="10"/>
        <v>€ 0,00</v>
      </c>
      <c t="str" s="155" r="G22">
        <f t="shared" si="10"/>
        <v>€ 0,00</v>
      </c>
      <c t="str" s="155" r="H22">
        <f t="shared" si="10"/>
        <v>€ 0,00</v>
      </c>
      <c t="str" s="155" r="I22">
        <f t="shared" si="10"/>
        <v>€ 10 000,00</v>
      </c>
      <c t="str" s="155" r="J22">
        <f t="shared" si="10"/>
        <v>€ 0,00</v>
      </c>
      <c t="str" s="31" r="K22">
        <f t="shared" si="10"/>
        <v>€ 0,00</v>
      </c>
      <c t="str" s="31" r="L22">
        <f t="shared" si="10"/>
        <v>€ 0,00</v>
      </c>
      <c t="str" s="31" r="M22">
        <f t="shared" si="10"/>
        <v>€ 0,00</v>
      </c>
      <c t="str" s="31" r="N22">
        <f t="shared" si="10"/>
        <v>€ 0,00</v>
      </c>
      <c t="str" s="31" r="O22">
        <f t="shared" si="10"/>
        <v>€ 0,00</v>
      </c>
      <c t="str" s="31" r="P22">
        <f t="shared" si="10"/>
        <v>€ 0,00</v>
      </c>
      <c t="str" s="31" r="Q22">
        <f t="shared" si="10"/>
        <v>€ 0,00</v>
      </c>
      <c t="str" s="31" r="R22">
        <f t="shared" si="10"/>
        <v>€ 0,00</v>
      </c>
      <c t="str" s="31" r="S22">
        <f t="shared" si="10"/>
        <v>€ 0,00</v>
      </c>
      <c t="str" s="31" r="T22">
        <f t="shared" si="10"/>
        <v>€ 10 000,00</v>
      </c>
      <c t="str" s="31" r="U22">
        <f t="shared" si="10"/>
        <v>€ 0,00</v>
      </c>
      <c t="str" s="31" r="V22">
        <f t="shared" si="10"/>
        <v>€ 0,00</v>
      </c>
      <c t="str" s="31" r="W22">
        <f t="shared" si="10"/>
        <v>€ 0,00</v>
      </c>
      <c t="str" s="31" r="X22">
        <f t="shared" si="10"/>
        <v>€ 0,00</v>
      </c>
      <c t="str" s="31" r="Y22">
        <f t="shared" si="10"/>
        <v>€ 0,00</v>
      </c>
      <c t="str" s="31" r="Z22">
        <f t="shared" si="10"/>
        <v>€ 10 000,00</v>
      </c>
      <c t="str" s="31" r="AA22">
        <f t="shared" si="10"/>
        <v>€ 0,00</v>
      </c>
      <c t="str" s="31" r="AB22">
        <f t="shared" si="10"/>
        <v>€ 0,00</v>
      </c>
      <c t="str" s="31" r="AC22">
        <f t="shared" si="10"/>
        <v>€ 0,00</v>
      </c>
      <c t="str" s="31" r="AD22">
        <f t="shared" si="10"/>
        <v>€ 0,00</v>
      </c>
      <c t="str" s="31" r="AE22">
        <f t="shared" si="10"/>
        <v>€ 0,00</v>
      </c>
      <c t="str" s="31" r="AF22">
        <f t="shared" si="10"/>
        <v>€ 0,00</v>
      </c>
      <c t="str" s="31" r="AG22">
        <f t="shared" si="10"/>
        <v>€ 0,00</v>
      </c>
      <c t="str" s="31" r="AH22">
        <f t="shared" si="10"/>
        <v>€ 0,00</v>
      </c>
      <c t="str" s="31" r="AI22">
        <f t="shared" si="10"/>
        <v>€ 0,00</v>
      </c>
      <c t="str" s="31" r="AJ22">
        <f t="shared" si="10"/>
        <v>€ 10 000,00</v>
      </c>
      <c t="str" s="31" r="AK22">
        <f t="shared" si="10"/>
        <v>€ 0,00</v>
      </c>
      <c t="str" s="31" r="AL22">
        <f t="shared" si="10"/>
        <v>€ 0,00</v>
      </c>
      <c t="str" s="31" r="AM22">
        <f t="shared" si="10"/>
        <v>€ 0,00</v>
      </c>
      <c t="str" s="31" r="AN22">
        <f t="shared" si="10"/>
        <v>€ 0,00</v>
      </c>
      <c t="str" s="31" r="AO22">
        <f t="shared" si="10"/>
        <v>€ 0,00</v>
      </c>
      <c t="str" s="31" r="AP22">
        <f t="shared" si="10"/>
        <v>€ 10 000,00</v>
      </c>
      <c t="str" s="31" r="AQ22">
        <f t="shared" si="10"/>
        <v>€ 0,00</v>
      </c>
      <c t="str" s="31" r="AR22">
        <f t="shared" si="10"/>
        <v>€ 10 000,00</v>
      </c>
      <c t="str" s="31" r="AS22">
        <f t="shared" si="10"/>
        <v>€ 10 000,00</v>
      </c>
      <c t="str" s="31" r="AT22">
        <f t="shared" si="10"/>
        <v>€ 0,00</v>
      </c>
      <c t="str" s="31" r="AU22">
        <f t="shared" si="10"/>
        <v>€ 0,00</v>
      </c>
      <c t="str" s="31" r="AV22">
        <f t="shared" si="10"/>
        <v>€ 10 000,00</v>
      </c>
      <c t="str" s="31" r="AW22">
        <f t="shared" si="10"/>
        <v>€ 0,00</v>
      </c>
      <c t="str" s="31" r="AX22">
        <f t="shared" si="10"/>
        <v>€ 0,00</v>
      </c>
      <c t="str" s="31" r="AY22">
        <f t="shared" si="10"/>
        <v>€ 10 000,00</v>
      </c>
      <c t="str" s="31" r="AZ22">
        <f t="shared" si="10"/>
        <v>€ 0,00</v>
      </c>
      <c s="31" r="BA22"/>
      <c s="31" r="BB22"/>
      <c s="31" r="BC22"/>
      <c s="31" r="BD22"/>
    </row>
    <row customHeight="1" r="23" ht="15.75">
      <c t="s" s="25" r="A23">
        <v>390</v>
      </c>
      <c s="31" r="B23"/>
      <c s="31" r="C23"/>
      <c s="31" r="D23"/>
      <c t="str" s="155" r="E23">
        <f ref="E23:AZ23" t="shared" si="11">SUM(E19:E22)*$C$17</f>
        <v>€ 300,00</v>
      </c>
      <c t="str" s="155" r="F23">
        <f t="shared" si="11"/>
        <v>€ 300,00</v>
      </c>
      <c t="str" s="155" r="G23">
        <f t="shared" si="11"/>
        <v>€ 300,00</v>
      </c>
      <c t="str" s="155" r="H23">
        <f t="shared" si="11"/>
        <v>€ 450,00</v>
      </c>
      <c t="str" s="155" r="I23">
        <f t="shared" si="11"/>
        <v>€ 1 450,00</v>
      </c>
      <c t="str" s="155" r="J23">
        <f t="shared" si="11"/>
        <v>€ 300,00</v>
      </c>
      <c t="str" s="31" r="K23">
        <f t="shared" si="11"/>
        <v>€ 484,00</v>
      </c>
      <c t="str" s="31" r="L23">
        <f t="shared" si="11"/>
        <v>€ 484,00</v>
      </c>
      <c t="str" s="31" r="M23">
        <f t="shared" si="11"/>
        <v>€ 484,00</v>
      </c>
      <c t="str" s="31" r="N23">
        <f t="shared" si="11"/>
        <v>€ 700,00</v>
      </c>
      <c t="str" s="31" r="O23">
        <f t="shared" si="11"/>
        <v>€ 500,00</v>
      </c>
      <c t="str" s="31" r="P23">
        <f t="shared" si="11"/>
        <v>€ 500,00</v>
      </c>
      <c t="str" s="31" r="Q23">
        <f t="shared" si="11"/>
        <v>€ 484,00</v>
      </c>
      <c t="str" s="31" r="R23">
        <f t="shared" si="11"/>
        <v>€ 484,00</v>
      </c>
      <c t="str" s="31" r="S23">
        <f t="shared" si="11"/>
        <v>€ 484,00</v>
      </c>
      <c t="str" s="31" r="T23">
        <f t="shared" si="11"/>
        <v>€ 1 484,00</v>
      </c>
      <c t="str" s="31" r="U23">
        <f t="shared" si="11"/>
        <v>€ 484,00</v>
      </c>
      <c t="str" s="31" r="V23">
        <f t="shared" si="11"/>
        <v>€ 484,00</v>
      </c>
      <c t="str" s="31" r="W23">
        <f t="shared" si="11"/>
        <v>€ 684,00</v>
      </c>
      <c t="str" s="31" r="X23">
        <f t="shared" si="11"/>
        <v>€ 484,00</v>
      </c>
      <c t="str" s="31" r="Y23">
        <f t="shared" si="11"/>
        <v>€ 484,00</v>
      </c>
      <c t="str" s="31" r="Z23">
        <f t="shared" si="11"/>
        <v>€ 1 484,00</v>
      </c>
      <c t="str" s="31" r="AA23">
        <f t="shared" si="11"/>
        <v>€ 684,00</v>
      </c>
      <c t="str" s="31" r="AB23">
        <f t="shared" si="11"/>
        <v>€ 484,00</v>
      </c>
      <c t="str" s="31" r="AC23">
        <f t="shared" si="11"/>
        <v>€ 484,00</v>
      </c>
      <c t="str" s="31" r="AD23">
        <f t="shared" si="11"/>
        <v>€ 484,00</v>
      </c>
      <c t="str" s="31" r="AE23">
        <f t="shared" si="11"/>
        <v>€ 484,00</v>
      </c>
      <c t="str" s="31" r="AF23">
        <f t="shared" si="11"/>
        <v>€ 484,00</v>
      </c>
      <c t="str" s="31" r="AG23">
        <f t="shared" si="11"/>
        <v>€ 684,00</v>
      </c>
      <c t="str" s="31" r="AH23">
        <f t="shared" si="11"/>
        <v>€ 484,00</v>
      </c>
      <c t="str" s="31" r="AI23">
        <f t="shared" si="11"/>
        <v>€ 484,00</v>
      </c>
      <c t="str" s="31" r="AJ23">
        <f t="shared" si="11"/>
        <v>€ 1 484,00</v>
      </c>
      <c t="str" s="31" r="AK23">
        <f t="shared" si="11"/>
        <v>€ 484,00</v>
      </c>
      <c t="str" s="31" r="AL23">
        <f t="shared" si="11"/>
        <v>€ 484,00</v>
      </c>
      <c t="str" s="31" r="AM23">
        <f t="shared" si="11"/>
        <v>€ 484,00</v>
      </c>
      <c t="str" s="31" r="AN23">
        <f t="shared" si="11"/>
        <v>€ 684,00</v>
      </c>
      <c t="str" s="31" r="AO23">
        <f t="shared" si="11"/>
        <v>€ 484,00</v>
      </c>
      <c t="str" s="31" r="AP23">
        <f t="shared" si="11"/>
        <v>€ 1 484,00</v>
      </c>
      <c t="str" s="31" r="AQ23">
        <f t="shared" si="11"/>
        <v>€ 484,00</v>
      </c>
      <c t="str" s="31" r="AR23">
        <f t="shared" si="11"/>
        <v>€ 1 484,00</v>
      </c>
      <c t="str" s="31" r="AS23">
        <f t="shared" si="11"/>
        <v>€ 1 484,00</v>
      </c>
      <c t="str" s="31" r="AT23">
        <f t="shared" si="11"/>
        <v>€ 484,00</v>
      </c>
      <c t="str" s="31" r="AU23">
        <f t="shared" si="11"/>
        <v>€ 484,00</v>
      </c>
      <c t="str" s="31" r="AV23">
        <f t="shared" si="11"/>
        <v>€ 1 484,00</v>
      </c>
      <c t="str" s="31" r="AW23">
        <f t="shared" si="11"/>
        <v>€ 684,00</v>
      </c>
      <c t="str" s="31" r="AX23">
        <f t="shared" si="11"/>
        <v>€ 484,00</v>
      </c>
      <c t="str" s="31" r="AY23">
        <f t="shared" si="11"/>
        <v>€ 1 484,00</v>
      </c>
      <c t="str" s="31" r="AZ23">
        <f t="shared" si="11"/>
        <v>€ 484,00</v>
      </c>
      <c s="31" r="BA23"/>
      <c s="31" r="BB23"/>
      <c s="31" r="BC23"/>
      <c s="31" r="BD23"/>
    </row>
  </sheetData>
  <conditionalFormatting sqref="D1:AZ1 A3:D7 E3:AZ23 BA3:BD7 A9:D23 BA9:BD23">
    <cfRule priority="1" type="cellIs" operator="lessThan" stopIfTrue="1" dxfId="1">
      <formula>0</formula>
    </cfRule>
  </conditionalFormatting>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7.29" defaultRowHeight="15.75"/>
  <cols>
    <col min="1" customWidth="1" max="1" width="56.43"/>
    <col min="2" customWidth="1" max="2" width="26.14"/>
    <col min="3" customWidth="1" max="20" width="17.14"/>
  </cols>
  <sheetData>
    <row customHeight="1" r="1" ht="12.75">
      <c t="s" s="18" r="A1">
        <v>391</v>
      </c>
      <c s="18" r="B1"/>
    </row>
    <row customHeight="1" r="2" ht="12.75">
      <c t="str" s="18" r="A2">
        <f>'Hypothèses'!B22</f>
        <v>Cout de production de Module de Base, HT (dégressif)</v>
      </c>
      <c t="str" s="18" r="B2">
        <f>'Hypothèses'!C22</f>
        <v>€ 16 000,00</v>
      </c>
    </row>
    <row customHeight="1" r="3" ht="12.75">
      <c t="str" s="18" r="A3">
        <f>'Hypothèses'!B23</f>
        <v>Cout d'équipment de Module de Base HT</v>
      </c>
      <c t="str" s="18" r="B3">
        <f>'Hypothèses'!C23</f>
        <v>€ 4 100,00</v>
      </c>
    </row>
    <row customHeight="1" r="4" ht="12.75">
      <c t="str" s="18" r="A4">
        <f>'Hypothèses'!B24</f>
        <v>Transport, Installation, Connexion (TIC) de Senior Cottage sur place HT</v>
      </c>
      <c t="str" s="18" r="B4">
        <f>'Hypothèses'!C24</f>
        <v>€ 6 050,00</v>
      </c>
    </row>
    <row customHeight="1" r="5" ht="12.75">
      <c t="s" s="18" r="A5">
        <v>392</v>
      </c>
      <c t="str" s="165" r="B5">
        <f>'Hypothèses'!C3-'Hypothèses'!C4</f>
        <v>€ 8 331,67</v>
      </c>
    </row>
    <row customHeight="1" r="6" ht="12.75">
      <c t="s" s="18" r="A6">
        <v>393</v>
      </c>
      <c t="str" s="165" r="B6">
        <f>'Hypothèses'!C4-'Hypothèses'!C25</f>
        <v>€ 15 508,33</v>
      </c>
    </row>
    <row customHeight="1" r="7" ht="12.75">
      <c s="18" r="A7"/>
      <c s="18" r="B7"/>
    </row>
    <row customHeight="1" r="8" ht="12.75">
      <c t="s" s="18" r="A8">
        <v>394</v>
      </c>
      <c t="str" s="18" r="B8">
        <f>SUM(B2:B6)</f>
        <v>€ 49 990,00</v>
      </c>
    </row>
    <row customHeight="1" r="9" ht="12.75">
      <c s="18" r="A9"/>
      <c s="18" r="B9"/>
    </row>
    <row customHeight="1" r="10" ht="12.75">
      <c s="18" r="A10"/>
      <c s="18" r="B10"/>
    </row>
    <row customHeight="1" r="11" ht="12.75">
      <c s="18" r="A11"/>
      <c s="18" r="B11"/>
    </row>
    <row customHeight="1" r="12" ht="12.75">
      <c s="18" r="A12"/>
      <c s="18" r="B12"/>
    </row>
    <row customHeight="1" r="13" ht="12.75">
      <c s="18" r="A13"/>
      <c s="18" r="B13"/>
    </row>
    <row customHeight="1" r="14" ht="12.75">
      <c t="str" s="18" r="A14">
        <f>'Annuel (OLD)'!A1</f>
        <v/>
      </c>
      <c t="str" s="18" r="B14">
        <f>'Annuel (OLD)'!D1</f>
        <v>2014</v>
      </c>
      <c t="str" s="18" r="C14">
        <f>'Annuel (OLD)'!F1</f>
        <v>2015</v>
      </c>
      <c t="str" s="18" r="D14">
        <f>'Annuel (OLD)'!H1</f>
        <v>2016</v>
      </c>
      <c t="str" s="18" r="E14">
        <f>'Annuel (OLD)'!J1</f>
        <v>2017</v>
      </c>
    </row>
    <row customHeight="1" r="15" ht="15.75">
      <c t="str" s="166" r="A15">
        <f>'Annuel Cumulé'!A17</f>
        <v>Ventes, C.A. HT. (TOTAL REVENUE HT)</v>
      </c>
      <c t="str" s="166" r="B15">
        <f>'Annuel Cumulé'!B17</f>
        <v>€ 100 004,67</v>
      </c>
      <c t="str" s="166" r="C15">
        <f>'Annuel Cumulé'!C17</f>
        <v>€ 1 680 402,57</v>
      </c>
      <c t="str" s="166" r="D15">
        <f>'Annuel Cumulé'!D17</f>
        <v>€ 6 273 243,60</v>
      </c>
      <c t="str" s="166" r="E15">
        <f>'Annuel Cumulé'!E17</f>
        <v>€ 8 485 434,10</v>
      </c>
      <c s="166" r="F15"/>
      <c s="167" r="G15"/>
      <c s="167" r="H15"/>
      <c s="167" r="I15"/>
      <c s="167" r="J15"/>
      <c s="167" r="K15"/>
      <c s="167" r="L15"/>
      <c s="167" r="M15"/>
      <c s="167" r="N15"/>
      <c s="167" r="O15"/>
      <c s="167" r="P15"/>
      <c s="167" r="Q15"/>
      <c s="167" r="R15"/>
      <c s="167" r="S15"/>
      <c s="167" r="T15"/>
    </row>
    <row customHeight="1" r="16" ht="15.75">
      <c t="str" s="166" r="A16">
        <f>'Annuel Cumulé'!A30</f>
        <v>Résultat net (Net income)</v>
      </c>
      <c t="str" s="166" r="B16">
        <f>'Annuel Cumulé'!B30</f>
        <v>-€ 291 862,55</v>
      </c>
      <c t="str" s="166" r="C16">
        <f>'Annuel Cumulé'!C30</f>
        <v>€ 24 986,83</v>
      </c>
      <c t="str" s="166" r="D16">
        <f>'Annuel Cumulé'!D30</f>
        <v>€ 815 524,61</v>
      </c>
      <c t="str" s="166" r="E16">
        <f>'Annuel Cumulé'!E30</f>
        <v>€ 1 130 411,32</v>
      </c>
      <c s="166" r="F16"/>
      <c s="167" r="G16"/>
      <c s="167" r="H16"/>
      <c s="167" r="I16"/>
      <c s="167" r="J16"/>
      <c s="167" r="K16"/>
      <c s="167" r="L16"/>
      <c s="167" r="M16"/>
      <c s="167" r="N16"/>
      <c s="167" r="O16"/>
      <c s="167" r="P16"/>
      <c s="167" r="Q16"/>
      <c s="167" r="R16"/>
      <c s="167" r="S16"/>
      <c s="167" r="T16"/>
    </row>
    <row customHeight="1" r="17" ht="15.75">
      <c t="str" s="166" r="A17">
        <f ref="A17:E17" t="shared" si="1">#REF!</f>
        <v>#REF!</v>
      </c>
      <c t="str" s="166" r="B17">
        <f t="shared" si="1"/>
        <v>#REF!</v>
      </c>
      <c t="str" s="166" r="C17">
        <f t="shared" si="1"/>
        <v>#REF!</v>
      </c>
      <c t="str" s="166" r="D17">
        <f t="shared" si="1"/>
        <v>#REF!</v>
      </c>
      <c t="str" s="166" r="E17">
        <f t="shared" si="1"/>
        <v>#REF!</v>
      </c>
      <c s="166" r="F17"/>
      <c s="167" r="G17"/>
      <c s="167" r="H17"/>
      <c s="167" r="I17"/>
      <c s="167" r="J17"/>
      <c s="167" r="K17"/>
      <c s="167" r="L17"/>
      <c s="167" r="M17"/>
      <c s="167" r="N17"/>
      <c s="167" r="O17"/>
      <c s="167" r="P17"/>
      <c s="167" r="Q17"/>
      <c s="167" r="R17"/>
      <c s="167" r="S17"/>
      <c s="167" r="T17"/>
    </row>
    <row customHeight="1" r="18" ht="12.75">
      <c s="18" r="A18"/>
      <c s="18" r="B18"/>
      <c s="168" r="C18"/>
      <c s="168" r="D18"/>
      <c s="168" r="E18"/>
      <c s="168" r="F18"/>
      <c s="168" r="G18"/>
      <c s="168" r="H18"/>
      <c s="168" r="I18"/>
      <c s="168" r="J18"/>
      <c s="168" r="K18"/>
      <c s="168" r="L18"/>
      <c s="168" r="M18"/>
      <c s="168" r="N18"/>
      <c s="168" r="O18"/>
      <c s="168" r="P18"/>
      <c s="168" r="Q18"/>
      <c s="168" r="R18"/>
      <c s="168" r="S18"/>
      <c s="168" r="T18"/>
    </row>
    <row customHeight="1" r="19" ht="12.75">
      <c s="18" r="A19"/>
      <c s="18" r="B19"/>
      <c s="168" r="C19"/>
      <c s="168" r="D19"/>
      <c s="168" r="E19"/>
      <c s="168" r="F19"/>
      <c s="168" r="G19"/>
      <c s="168" r="H19"/>
      <c s="168" r="I19"/>
      <c s="168" r="J19"/>
      <c s="168" r="K19"/>
      <c s="168" r="L19"/>
      <c s="168" r="M19"/>
      <c s="168" r="N19"/>
      <c s="168" r="O19"/>
      <c s="168" r="P19"/>
      <c s="168" r="Q19"/>
      <c s="168" r="R19"/>
      <c s="168" r="S19"/>
      <c s="168" r="T19"/>
    </row>
    <row customHeight="1" r="20" ht="12.75">
      <c s="18" r="A20"/>
      <c s="18" r="B20"/>
      <c s="168" r="C20"/>
      <c s="168" r="D20"/>
      <c s="168" r="E20"/>
      <c s="168" r="F20"/>
      <c s="168" r="G20"/>
      <c s="168" r="H20"/>
      <c s="168" r="I20"/>
      <c s="168" r="J20"/>
      <c s="168" r="K20"/>
      <c s="168" r="L20"/>
      <c s="168" r="M20"/>
      <c s="168" r="N20"/>
      <c s="168" r="O20"/>
      <c s="168" r="P20"/>
      <c s="168" r="Q20"/>
      <c s="168" r="R20"/>
      <c s="168" r="S20"/>
      <c s="168" r="T20"/>
    </row>
    <row customHeight="1" r="21" ht="12.75">
      <c s="18" r="A21"/>
      <c s="18" r="B21"/>
      <c s="168" r="C21"/>
      <c s="168" r="D21"/>
      <c s="168" r="E21"/>
      <c s="168" r="F21"/>
      <c s="168" r="G21"/>
      <c s="168" r="H21"/>
      <c s="168" r="I21"/>
      <c s="168" r="J21"/>
      <c s="168" r="K21"/>
      <c s="168" r="L21"/>
      <c s="168" r="M21"/>
      <c s="168" r="N21"/>
      <c s="168" r="O21"/>
      <c s="168" r="P21"/>
      <c s="168" r="Q21"/>
      <c s="168" r="R21"/>
      <c s="168" r="S21"/>
      <c s="168" r="T21"/>
    </row>
    <row customHeight="1" r="22" ht="12.75">
      <c s="18" r="A22"/>
      <c s="18" r="B22"/>
      <c s="168" r="C22"/>
      <c s="168" r="D22"/>
      <c s="168" r="E22"/>
      <c s="168" r="F22"/>
      <c s="168" r="G22"/>
      <c s="168" r="H22"/>
      <c s="168" r="I22"/>
      <c s="168" r="J22"/>
      <c s="168" r="K22"/>
      <c s="168" r="L22"/>
      <c s="168" r="M22"/>
      <c s="168" r="N22"/>
      <c s="168" r="O22"/>
      <c s="168" r="P22"/>
      <c s="168" r="Q22"/>
      <c s="168" r="R22"/>
      <c s="168" r="S22"/>
      <c s="168" r="T22"/>
    </row>
    <row customHeight="1" r="23" ht="12.75">
      <c s="18" r="A23"/>
      <c t="str" s="18" r="B23">
        <f>'Annuel (OLD)'!D1</f>
        <v>2014</v>
      </c>
      <c t="str" s="18" r="C23">
        <f>'Annuel (OLD)'!F1</f>
        <v>2015</v>
      </c>
      <c t="str" s="18" r="D23">
        <f>'Annuel (OLD)'!H1</f>
        <v>2016</v>
      </c>
      <c t="str" s="18" r="E23">
        <f>'Annuel (OLD)'!J1</f>
        <v>2017</v>
      </c>
      <c t="str" s="18" r="F23">
        <f>'Annuel (OLD)'!J1</f>
        <v>2017</v>
      </c>
      <c s="168" r="G23"/>
      <c s="168" r="H23"/>
      <c s="168" r="I23"/>
      <c s="168" r="J23"/>
      <c s="168" r="K23"/>
      <c s="168" r="L23"/>
      <c s="168" r="M23"/>
      <c s="168" r="N23"/>
      <c s="168" r="O23"/>
      <c s="168" r="P23"/>
      <c s="168" r="Q23"/>
      <c s="168" r="R23"/>
      <c s="168" r="S23"/>
      <c s="168" r="T23"/>
    </row>
    <row customHeight="1" r="24" ht="15.75">
      <c t="str" s="166" r="A24">
        <f>'Annuel Cumulé'!A30</f>
        <v>Résultat net (Net income)</v>
      </c>
      <c t="str" s="166" r="B24">
        <f>'Annuel Cumulé'!B30</f>
        <v>-€ 291 862,55</v>
      </c>
      <c t="str" s="166" r="C24">
        <f>'Annuel Cumulé'!C30</f>
        <v>€ 24 986,83</v>
      </c>
      <c t="str" s="166" r="D24">
        <f>'Annuel Cumulé'!D30</f>
        <v>€ 815 524,61</v>
      </c>
      <c t="str" s="166" r="E24">
        <f>'Annuel Cumulé'!E30</f>
        <v>€ 1 130 411,32</v>
      </c>
      <c t="str" s="166" r="F24">
        <f>'Annuel Cumulé'!F30</f>
        <v>€ 1 228 144,48</v>
      </c>
      <c s="167" r="G24"/>
      <c s="167" r="H24"/>
      <c s="167" r="I24"/>
      <c s="167" r="J24"/>
      <c s="167" r="K24"/>
      <c s="167" r="L24"/>
      <c s="167" r="M24"/>
      <c s="167" r="N24"/>
      <c s="167" r="O24"/>
      <c s="167" r="P24"/>
      <c s="167" r="Q24"/>
      <c s="167" r="R24"/>
      <c s="167" r="S24"/>
      <c s="167" r="T24"/>
    </row>
    <row customHeight="1" r="25" ht="15.75">
      <c t="str" s="166" r="A25">
        <f ref="A25:F25" t="shared" si="2">#REF!</f>
        <v>#REF!</v>
      </c>
      <c t="str" s="166" r="B25">
        <f t="shared" si="2"/>
        <v>#REF!</v>
      </c>
      <c t="str" s="166" r="C25">
        <f t="shared" si="2"/>
        <v>#REF!</v>
      </c>
      <c t="str" s="166" r="D25">
        <f t="shared" si="2"/>
        <v>#REF!</v>
      </c>
      <c t="str" s="166" r="E25">
        <f t="shared" si="2"/>
        <v>#REF!</v>
      </c>
      <c t="str" s="166" r="F25">
        <f t="shared" si="2"/>
        <v>#REF!</v>
      </c>
      <c s="167" r="G25"/>
      <c s="167" r="H25"/>
      <c s="167" r="I25"/>
      <c s="167" r="J25"/>
      <c s="167" r="K25"/>
      <c s="167" r="L25"/>
      <c s="167" r="M25"/>
      <c s="167" r="N25"/>
      <c s="167" r="O25"/>
      <c s="167" r="P25"/>
      <c s="167" r="Q25"/>
      <c s="167" r="R25"/>
      <c s="167" r="S25"/>
      <c s="167" r="T25"/>
    </row>
    <row customHeight="1" r="26" ht="15.75">
      <c t="str" s="166" r="A26">
        <f ref="A26:F26" t="shared" si="3">#REF!</f>
        <v>#REF!</v>
      </c>
      <c t="str" s="166" r="B26">
        <f t="shared" si="3"/>
        <v>#REF!</v>
      </c>
      <c t="str" s="166" r="C26">
        <f t="shared" si="3"/>
        <v>#REF!</v>
      </c>
      <c t="str" s="166" r="D26">
        <f t="shared" si="3"/>
        <v>#REF!</v>
      </c>
      <c t="str" s="166" r="E26">
        <f t="shared" si="3"/>
        <v>#REF!</v>
      </c>
      <c t="str" s="166" r="F26">
        <f t="shared" si="3"/>
        <v>#REF!</v>
      </c>
      <c s="167" r="G26"/>
      <c s="167" r="H26"/>
      <c s="167" r="I26"/>
      <c s="167" r="J26"/>
      <c s="167" r="K26"/>
      <c s="167" r="L26"/>
      <c s="167" r="M26"/>
      <c s="167" r="N26"/>
      <c s="167" r="O26"/>
      <c s="167" r="P26"/>
      <c s="167" r="Q26"/>
      <c s="167" r="R26"/>
      <c s="167" r="S26"/>
      <c s="167" r="T26"/>
    </row>
    <row customHeight="1" r="27" ht="15.75">
      <c t="str" s="166" r="A27">
        <f ref="A27:F27" t="shared" si="4">#REF!</f>
        <v>#REF!</v>
      </c>
      <c t="str" s="166" r="B27">
        <f t="shared" si="4"/>
        <v>#REF!</v>
      </c>
      <c t="str" s="166" r="C27">
        <f t="shared" si="4"/>
        <v>#REF!</v>
      </c>
      <c t="str" s="166" r="D27">
        <f t="shared" si="4"/>
        <v>#REF!</v>
      </c>
      <c t="str" s="166" r="E27">
        <f t="shared" si="4"/>
        <v>#REF!</v>
      </c>
      <c t="str" s="166" r="F27">
        <f t="shared" si="4"/>
        <v>#REF!</v>
      </c>
      <c s="167" r="G27"/>
      <c s="167" r="H27"/>
      <c s="167" r="I27"/>
      <c s="167" r="J27"/>
      <c s="167" r="K27"/>
      <c s="167" r="L27"/>
      <c s="167" r="M27"/>
      <c s="167" r="N27"/>
      <c s="167" r="O27"/>
      <c s="167" r="P27"/>
      <c s="167" r="Q27"/>
      <c s="167" r="R27"/>
      <c s="167" r="S27"/>
      <c s="167" r="T27"/>
    </row>
    <row customHeight="1" r="28" ht="15.75">
      <c t="str" s="166" r="A28">
        <f ref="A28:F28" t="shared" si="5">#REF!</f>
        <v>#REF!</v>
      </c>
      <c t="str" s="166" r="B28">
        <f t="shared" si="5"/>
        <v>#REF!</v>
      </c>
      <c t="str" s="166" r="C28">
        <f t="shared" si="5"/>
        <v>#REF!</v>
      </c>
      <c t="str" s="166" r="D28">
        <f t="shared" si="5"/>
        <v>#REF!</v>
      </c>
      <c t="str" s="166" r="E28">
        <f t="shared" si="5"/>
        <v>#REF!</v>
      </c>
      <c t="str" s="166" r="F28">
        <f t="shared" si="5"/>
        <v>#REF!</v>
      </c>
      <c s="167" r="G28"/>
      <c s="167" r="H28"/>
      <c s="167" r="I28"/>
      <c s="167" r="J28"/>
      <c s="167" r="K28"/>
      <c s="167" r="L28"/>
      <c s="167" r="M28"/>
      <c s="167" r="N28"/>
      <c s="167" r="O28"/>
      <c s="167" r="P28"/>
      <c s="167" r="Q28"/>
      <c s="167" r="R28"/>
      <c s="167" r="S28"/>
      <c s="167" r="T28"/>
    </row>
    <row customHeight="1" r="29" ht="15.75">
      <c t="str" s="166" r="A29">
        <f ref="A29:F29" t="shared" si="6">#REF!</f>
        <v>#REF!</v>
      </c>
      <c t="str" s="166" r="B29">
        <f t="shared" si="6"/>
        <v>#REF!</v>
      </c>
      <c t="str" s="166" r="C29">
        <f t="shared" si="6"/>
        <v>#REF!</v>
      </c>
      <c t="str" s="166" r="D29">
        <f t="shared" si="6"/>
        <v>#REF!</v>
      </c>
      <c t="str" s="166" r="E29">
        <f t="shared" si="6"/>
        <v>#REF!</v>
      </c>
      <c t="str" s="166" r="F29">
        <f t="shared" si="6"/>
        <v>#REF!</v>
      </c>
      <c s="167" r="G29"/>
      <c s="167" r="H29"/>
      <c s="167" r="I29"/>
      <c s="167" r="J29"/>
      <c s="167" r="K29"/>
      <c s="167" r="L29"/>
      <c s="167" r="M29"/>
      <c s="167" r="N29"/>
      <c s="167" r="O29"/>
      <c s="167" r="P29"/>
      <c s="167" r="Q29"/>
      <c s="167" r="R29"/>
      <c s="167" r="S29"/>
      <c s="167" r="T29"/>
    </row>
    <row customHeight="1" r="30" ht="12.75">
      <c t="str" s="166" r="A30">
        <f ref="A30:F30" t="shared" si="7">#REF!</f>
        <v>#REF!</v>
      </c>
      <c t="str" s="166" r="B30">
        <f t="shared" si="7"/>
        <v>#REF!</v>
      </c>
      <c t="str" s="166" r="C30">
        <f t="shared" si="7"/>
        <v>#REF!</v>
      </c>
      <c t="str" s="166" r="D30">
        <f t="shared" si="7"/>
        <v>#REF!</v>
      </c>
      <c t="str" s="166" r="E30">
        <f t="shared" si="7"/>
        <v>#REF!</v>
      </c>
      <c t="str" s="166" r="F30">
        <f t="shared" si="7"/>
        <v>#REF!</v>
      </c>
    </row>
    <row customHeight="1" r="31" ht="12.75">
      <c t="str" s="166" r="A31">
        <f ref="A31:F31" t="shared" si="8">#REF!</f>
        <v>#REF!</v>
      </c>
      <c t="str" s="166" r="B31">
        <f t="shared" si="8"/>
        <v>#REF!</v>
      </c>
      <c t="str" s="166" r="C31">
        <f t="shared" si="8"/>
        <v>#REF!</v>
      </c>
      <c t="str" s="166" r="D31">
        <f t="shared" si="8"/>
        <v>#REF!</v>
      </c>
      <c t="str" s="166" r="E31">
        <f t="shared" si="8"/>
        <v>#REF!</v>
      </c>
      <c t="str" s="166" r="F31">
        <f t="shared" si="8"/>
        <v>#REF!</v>
      </c>
    </row>
    <row customHeight="1" r="32" ht="12.75">
      <c t="str" s="166" r="A32">
        <f ref="A32:F32" t="shared" si="9">#REF!</f>
        <v>#REF!</v>
      </c>
      <c t="str" s="166" r="B32">
        <f t="shared" si="9"/>
        <v>#REF!</v>
      </c>
      <c t="str" s="166" r="C32">
        <f t="shared" si="9"/>
        <v>#REF!</v>
      </c>
      <c t="str" s="166" r="D32">
        <f t="shared" si="9"/>
        <v>#REF!</v>
      </c>
      <c t="str" s="166" r="E32">
        <f t="shared" si="9"/>
        <v>#REF!</v>
      </c>
      <c t="str" s="166" r="F32">
        <f t="shared" si="9"/>
        <v>#REF!</v>
      </c>
    </row>
    <row customHeight="1" r="33" ht="12.75">
      <c t="str" s="166" r="A33">
        <f ref="A33:F33" t="shared" si="10">#REF!</f>
        <v>#REF!</v>
      </c>
      <c t="str" s="166" r="B33">
        <f t="shared" si="10"/>
        <v>#REF!</v>
      </c>
      <c t="str" s="166" r="C33">
        <f t="shared" si="10"/>
        <v>#REF!</v>
      </c>
      <c t="str" s="166" r="D33">
        <f t="shared" si="10"/>
        <v>#REF!</v>
      </c>
      <c t="str" s="166" r="E33">
        <f t="shared" si="10"/>
        <v>#REF!</v>
      </c>
      <c t="str" s="166" r="F33">
        <f t="shared" si="10"/>
        <v>#REF!</v>
      </c>
    </row>
    <row customHeight="1" r="34" ht="12.75">
      <c s="18" r="A34"/>
      <c s="18" r="B34"/>
    </row>
    <row customHeight="1" r="35" ht="12.75">
      <c s="18" r="A35"/>
      <c s="18" r="B35"/>
    </row>
    <row customHeight="1" r="36" ht="12.75">
      <c s="18" r="A36"/>
      <c s="18" r="B36"/>
    </row>
    <row customHeight="1" r="37" ht="12.75">
      <c s="18" r="A37"/>
      <c s="18" r="B37"/>
      <c s="18" r="C37"/>
      <c s="18" r="D37"/>
      <c s="18" r="E37"/>
      <c s="18" r="F37"/>
    </row>
    <row customHeight="1" r="38" ht="15.75">
      <c s="40" r="A38"/>
      <c s="40" r="B38"/>
      <c s="40" r="C38"/>
      <c s="40" r="D38"/>
      <c s="40" r="E38"/>
      <c s="40" r="F38"/>
      <c s="40" r="G38"/>
      <c s="40" r="H38"/>
      <c s="40" r="I38"/>
      <c s="40" r="J38"/>
      <c s="40" r="K38"/>
      <c s="40" r="L38"/>
      <c s="40" r="M38"/>
      <c s="40" r="N38"/>
      <c s="40" r="O38"/>
      <c s="40" r="P38"/>
      <c s="40" r="Q38"/>
      <c s="40" r="R38"/>
      <c s="40" r="S38"/>
      <c s="40" r="T38"/>
    </row>
    <row customHeight="1" r="39" ht="15.75">
      <c s="40" r="A39"/>
      <c s="40" r="B39"/>
      <c s="40" r="C39"/>
      <c s="40" r="D39"/>
      <c s="40" r="E39"/>
      <c s="40" r="F39"/>
      <c s="40" r="G39"/>
      <c s="40" r="H39"/>
      <c s="40" r="I39"/>
      <c s="40" r="J39"/>
      <c s="40" r="K39"/>
      <c s="40" r="L39"/>
      <c s="40" r="M39"/>
      <c s="40" r="N39"/>
      <c s="40" r="O39"/>
      <c s="40" r="P39"/>
      <c s="40" r="Q39"/>
      <c s="40" r="R39"/>
      <c s="40" r="S39"/>
      <c s="40" r="T39"/>
    </row>
    <row customHeight="1" r="40" ht="15.75">
      <c s="40" r="A40"/>
      <c s="40" r="B40"/>
      <c s="40" r="C40"/>
      <c s="40" r="D40"/>
      <c s="40" r="E40"/>
      <c s="40" r="F40"/>
      <c s="40" r="G40"/>
      <c s="40" r="H40"/>
      <c s="40" r="I40"/>
      <c s="40" r="J40"/>
      <c s="40" r="K40"/>
      <c s="40" r="L40"/>
      <c s="40" r="M40"/>
      <c s="40" r="N40"/>
      <c s="40" r="O40"/>
      <c s="40" r="P40"/>
      <c s="40" r="Q40"/>
      <c s="40" r="R40"/>
      <c s="40" r="S40"/>
      <c s="40" r="T40"/>
    </row>
    <row customHeight="1" r="41" ht="12.75">
      <c s="18" r="A41"/>
      <c s="18" r="B41"/>
      <c s="169" r="C41"/>
      <c s="169" r="D41"/>
      <c s="18" r="E41"/>
      <c s="169" r="F41"/>
    </row>
    <row customHeight="1" r="42" ht="12.75">
      <c s="18" r="A42"/>
      <c s="169" r="B42"/>
      <c s="169" r="C42"/>
      <c s="169" r="D42"/>
      <c s="18" r="E42"/>
      <c s="18" r="F42"/>
    </row>
    <row customHeight="1" r="43" ht="12.75">
      <c s="18" r="A43"/>
      <c s="18" r="B43"/>
      <c s="169" r="C43"/>
      <c s="169" r="D43"/>
      <c s="169" r="F43"/>
    </row>
    <row customHeight="1" r="44" ht="12.75">
      <c s="18" r="A44"/>
      <c s="18" r="B44"/>
      <c s="169" r="C44"/>
      <c s="169" r="D44"/>
      <c s="169" r="F44"/>
    </row>
    <row customHeight="1" r="45" ht="15.75">
      <c s="40" r="A45"/>
      <c s="18" r="B45"/>
    </row>
    <row customHeight="1" r="46" ht="12.75"/>
    <row customHeight="1" r="47" ht="12.75"/>
    <row customHeight="1" r="48" ht="12.75"/>
    <row customHeight="1" r="49" ht="12.75"/>
    <row customHeight="1" r="50" ht="12.75"/>
    <row customHeight="1" r="51" ht="12.75"/>
    <row customHeight="1" r="52" ht="12.75"/>
    <row customHeight="1" r="53" ht="12.75"/>
    <row customHeight="1" r="54" ht="12.75"/>
    <row customHeight="1" r="55" ht="12.75"/>
    <row customHeight="1" r="56" ht="12.75"/>
    <row customHeight="1" r="57" ht="12.75"/>
    <row customHeight="1" r="58" ht="12.75"/>
    <row customHeight="1" r="59" ht="12.75"/>
    <row customHeight="1" r="60" ht="12.75"/>
    <row customHeight="1" r="61" ht="12.75"/>
    <row customHeight="1" r="62" ht="12.75"/>
    <row customHeight="1" r="63" ht="12.75"/>
    <row customHeight="1" r="64" ht="12.75"/>
    <row customHeight="1" r="65" ht="12.75"/>
    <row customHeight="1" r="66" ht="12.75"/>
    <row customHeight="1" r="67" ht="12.75"/>
    <row customHeight="1" r="68" ht="12.75"/>
    <row customHeight="1" r="69" ht="12.75"/>
    <row customHeight="1" r="70" ht="12.75"/>
    <row customHeight="1" r="71" ht="12.75"/>
    <row customHeight="1" r="72" ht="12.75"/>
    <row customHeight="1" r="73" ht="12.75"/>
    <row customHeight="1" r="74" ht="12.75"/>
    <row customHeight="1" r="75" ht="12.75"/>
    <row customHeight="1" r="76" ht="12.75"/>
    <row customHeight="1" r="77" ht="12.75"/>
    <row customHeight="1" r="78" ht="12.75"/>
    <row customHeight="1" r="79" ht="12.75"/>
    <row customHeight="1" r="80" ht="12.75"/>
    <row customHeight="1" r="81" ht="12.75"/>
    <row customHeight="1" r="82" ht="12.75"/>
    <row customHeight="1" r="83" ht="12.75"/>
    <row customHeight="1" r="84" ht="12.75"/>
    <row customHeight="1" r="85" ht="12.75"/>
    <row customHeight="1" r="86" ht="12.75"/>
    <row customHeight="1" r="87" ht="12.75"/>
    <row customHeight="1" r="88" ht="12.75"/>
    <row customHeight="1" r="89" ht="12.75"/>
    <row customHeight="1" r="90" ht="12.75"/>
    <row customHeight="1" r="91" ht="12.75"/>
    <row customHeight="1" r="92" ht="12.75"/>
    <row customHeight="1" r="93" ht="12.75"/>
    <row customHeight="1" r="94" ht="12.75"/>
    <row customHeight="1" r="95" ht="12.75"/>
    <row customHeight="1" r="96" ht="12.75"/>
    <row customHeight="1" r="97" ht="12.75"/>
    <row customHeight="1" r="98" ht="12.75"/>
    <row customHeight="1" r="99" ht="12.75"/>
    <row customHeight="1" r="100" ht="12.75"/>
  </sheetData>
  <conditionalFormatting sqref="A15:T17 A24:F33 G24:T29 A38:T40 A45">
    <cfRule priority="1" type="cellIs" operator="lessThan" stopIfTrue="1" dxfId="1">
      <formula>0</formula>
    </cfRule>
  </conditionalFormatting>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B2" ySplit="1.0" xSplit="1.0" activePane="bottomRight" state="frozen"/>
      <selection sqref="B1" activeCell="B1" pane="topRight"/>
      <selection sqref="A2" activeCell="A2" pane="bottomLeft"/>
      <selection sqref="B2" activeCell="B2" pane="bottomRight"/>
    </sheetView>
  </sheetViews>
  <sheetFormatPr customHeight="1" defaultColWidth="17.29" defaultRowHeight="15.75"/>
  <cols>
    <col min="1" customWidth="1" max="1" width="44.71"/>
    <col min="2" customWidth="1" max="2" width="9.29"/>
    <col min="3" customWidth="1" max="3" width="8.29"/>
    <col min="4" customWidth="1" max="4" width="10.71"/>
    <col min="5" customWidth="1" max="5" width="7.86"/>
    <col min="6" customWidth="1" max="6" width="10.71"/>
    <col min="7" customWidth="1" max="7" width="6.29"/>
    <col min="8" customWidth="1" max="8" width="11.71"/>
    <col min="9" customWidth="1" max="9" width="6.29"/>
    <col min="10" customWidth="1" max="10" width="11.71"/>
    <col min="11" customWidth="1" max="11" width="5.71"/>
    <col min="12" customWidth="1" max="12" width="19.86"/>
    <col min="13" customWidth="1" max="13" width="13.57"/>
  </cols>
  <sheetData>
    <row customHeight="1" r="1" ht="16.5">
      <c s="124" r="A1"/>
      <c s="170" r="B1">
        <v>2013.0</v>
      </c>
      <c s="171" r="C1"/>
      <c s="170" r="D1">
        <v>2014.0</v>
      </c>
      <c s="171" r="E1"/>
      <c s="172" r="F1">
        <v>2015.0</v>
      </c>
      <c s="171" r="G1"/>
      <c s="170" r="H1">
        <v>2016.0</v>
      </c>
      <c s="173" r="I1"/>
      <c s="170" r="J1">
        <v>2017.0</v>
      </c>
      <c s="171" r="K1"/>
      <c s="24" r="L1"/>
    </row>
    <row customHeight="1" r="2" ht="15.75">
      <c t="s" s="174" r="A2">
        <v>395</v>
      </c>
      <c s="175" r="B2">
        <v>1.0</v>
      </c>
      <c s="176" r="C2"/>
      <c s="177" r="D2">
        <v>40.0</v>
      </c>
      <c s="176" r="E2"/>
      <c s="175" r="F2">
        <v>150.0</v>
      </c>
      <c s="176" r="G2"/>
      <c s="175" r="H2">
        <v>300.0</v>
      </c>
      <c s="178" r="I2"/>
      <c s="175" r="J2">
        <v>400.0</v>
      </c>
      <c s="179" r="K2"/>
      <c s="24" r="L2"/>
    </row>
    <row customHeight="1" r="3" ht="15.75">
      <c t="s" s="180" r="A3">
        <v>396</v>
      </c>
      <c s="175" r="B3">
        <v>1.0</v>
      </c>
      <c s="176" r="C3"/>
      <c t="str" s="181" r="D3">
        <f>B3+D2</f>
        <v>41</v>
      </c>
      <c s="182" r="E3"/>
      <c t="str" s="183" r="F3">
        <f>D3+F2</f>
        <v>191</v>
      </c>
      <c s="182" r="G3"/>
      <c t="str" s="183" r="H3">
        <f>F3+H2</f>
        <v>491</v>
      </c>
      <c s="182" r="I3"/>
      <c t="str" s="181" r="J3">
        <f>H3+J2</f>
        <v>891</v>
      </c>
      <c s="179" r="K3"/>
      <c s="24" r="L3"/>
    </row>
    <row customHeight="1" r="4" ht="15.75">
      <c s="184" r="A4"/>
      <c s="185" r="B4"/>
      <c s="179" r="C4"/>
      <c s="185" r="D4"/>
      <c s="179" r="E4"/>
      <c s="181" r="F4"/>
      <c s="179" r="G4"/>
      <c s="185" r="H4"/>
      <c s="186" r="I4"/>
      <c s="185" r="J4"/>
      <c s="179" r="K4"/>
      <c s="24" r="L4"/>
    </row>
    <row customHeight="1" r="5" ht="15.75">
      <c t="s" s="187" r="A5">
        <v>397</v>
      </c>
      <c t="str" s="185" r="B5">
        <f>B2*'Hypothèses'!$C$4</f>
        <v>41 658</v>
      </c>
      <c s="179" r="C5"/>
      <c t="str" s="185" r="D5">
        <f>(D2/2)*'Hypothèses'!$C$4</f>
        <v>833 167</v>
      </c>
      <c t="str" s="179" r="E5">
        <f ref="E5:E7" t="shared" si="1">(D5-B5)/B5</f>
        <v>1900%</v>
      </c>
      <c t="str" s="181" r="F5">
        <f>(F2/2)*'Hypothèses'!$C$4</f>
        <v>3 124 375</v>
      </c>
      <c t="str" s="179" r="G5">
        <f ref="G5:G9" t="shared" si="2">(F5-D5)/D5</f>
        <v>275%</v>
      </c>
      <c t="str" s="185" r="H5">
        <f>(H2/2)*'Hypothèses'!$C$4</f>
        <v>6 248 750</v>
      </c>
      <c t="str" s="186" r="I5">
        <f ref="I5:I9" t="shared" si="3">(H5-F5)/F5</f>
        <v>100%</v>
      </c>
      <c t="str" s="185" r="J5">
        <f>(J2/2)*'Hypothèses'!$C$4</f>
        <v>8 331 667</v>
      </c>
      <c t="str" s="179" r="K5">
        <f ref="K5:K13" t="shared" si="4">(J5-H5)/H5</f>
        <v>33%</v>
      </c>
      <c s="31" r="L5"/>
      <c s="31" r="M5"/>
    </row>
    <row customHeight="1" r="6" ht="15.75">
      <c t="s" s="187" r="A6">
        <v>398</v>
      </c>
      <c t="str" s="185" r="B6">
        <f>(B2*'Hypothèses'!$C$7)*'Hypothèses'!$C$8</f>
        <v>648</v>
      </c>
      <c s="179" r="C6"/>
      <c t="str" s="185" r="D6">
        <f>(D2*'Hypothèses'!$C$7)*'Hypothèses'!$C$8</f>
        <v>25 920</v>
      </c>
      <c t="str" s="179" r="E6">
        <f t="shared" si="1"/>
        <v>3900%</v>
      </c>
      <c t="str" s="181" r="F6">
        <f>((F2*'Hypothèses'!$C$7)*'Hypothèses'!$C$8)</f>
        <v>97 200</v>
      </c>
      <c t="str" s="179" r="G6">
        <f t="shared" si="2"/>
        <v>275%</v>
      </c>
      <c t="str" s="185" r="H6">
        <f>((H2*'Hypothèses'!$C$7)*'Hypothèses'!$C$8)</f>
        <v>194 400</v>
      </c>
      <c t="str" s="186" r="I6">
        <f t="shared" si="3"/>
        <v>100%</v>
      </c>
      <c t="str" s="185" r="J6">
        <f>((J2*'Hypothèses'!$C$7)*'Hypothèses'!$C$8)</f>
        <v>259 200</v>
      </c>
      <c t="str" s="179" r="K6">
        <f t="shared" si="4"/>
        <v>33%</v>
      </c>
      <c s="31" r="L6"/>
      <c s="31" r="M6"/>
    </row>
    <row customHeight="1" r="7" ht="15.75">
      <c t="s" s="187" r="A7">
        <v>399</v>
      </c>
      <c t="str" s="185" r="B7">
        <f>(B2*'Hypothèses'!$C$11)*'Hypothèses'!$C$12</f>
        <v>335</v>
      </c>
      <c s="179" r="C7"/>
      <c t="str" s="185" r="D7">
        <f>(D2*'Hypothèses'!$C$11)*'Hypothèses'!$C$12</f>
        <v>13 400</v>
      </c>
      <c t="str" s="179" r="E7">
        <f t="shared" si="1"/>
        <v>3900%</v>
      </c>
      <c t="str" s="181" r="F7">
        <f>((F2*'Hypothèses'!$C$11)*'Hypothèses'!$C$12)</f>
        <v>50 250</v>
      </c>
      <c t="str" s="179" r="G7">
        <f t="shared" si="2"/>
        <v>275%</v>
      </c>
      <c t="str" s="185" r="H7">
        <f>((H2*'Hypothèses'!$C$11)*'Hypothèses'!$C$12)</f>
        <v>100 500</v>
      </c>
      <c t="str" s="186" r="I7">
        <f t="shared" si="3"/>
        <v>100%</v>
      </c>
      <c t="str" s="185" r="J7">
        <f>((J2*'Hypothèses'!$C$11)*'Hypothèses'!$C$12)</f>
        <v>134 000</v>
      </c>
      <c t="str" s="179" r="K7">
        <f t="shared" si="4"/>
        <v>33%</v>
      </c>
      <c s="31" r="L7"/>
      <c s="31" r="M7"/>
    </row>
    <row customHeight="1" r="8" ht="15.75">
      <c t="s" s="187" r="A8">
        <v>400</v>
      </c>
      <c s="185" r="B8"/>
      <c s="179" r="C8"/>
      <c t="str" s="185" r="D8">
        <f>6480*20</f>
        <v>129 600</v>
      </c>
      <c s="179" r="E8"/>
      <c t="str" s="181" r="F8">
        <f>6480*95</f>
        <v>615 600</v>
      </c>
      <c t="str" s="179" r="G8">
        <f t="shared" si="2"/>
        <v>375%</v>
      </c>
      <c t="str" s="185" r="H8">
        <f>6480*245</f>
        <v>1 587 600</v>
      </c>
      <c t="str" s="186" r="I8">
        <f t="shared" si="3"/>
        <v>158%</v>
      </c>
      <c t="str" s="185" r="J8">
        <f>6480*445</f>
        <v>2 883 600</v>
      </c>
      <c t="str" s="179" r="K8">
        <f t="shared" si="4"/>
        <v>82%</v>
      </c>
      <c s="31" r="L8"/>
      <c s="31" r="M8"/>
    </row>
    <row customHeight="1" r="9" ht="16.5">
      <c t="s" s="187" r="A9">
        <v>401</v>
      </c>
      <c t="str" s="185" r="B9">
        <f>(B3*'Hypothèses'!$G$15)*'Hypothèses'!$C$16</f>
        <v>100</v>
      </c>
      <c s="179" r="C9"/>
      <c t="str" s="185" r="D9">
        <f>(D3*'Hypothèses'!$G$15)*'Hypothèses'!$C$16</f>
        <v>4 100</v>
      </c>
      <c t="str" s="179" r="E9">
        <f>(D9-B9)/B9</f>
        <v>4000%</v>
      </c>
      <c t="str" s="181" r="F9">
        <f>(F3*'Hypothèses'!$G$15)*'Hypothèses'!$C$16</f>
        <v>19 100</v>
      </c>
      <c t="str" s="179" r="G9">
        <f t="shared" si="2"/>
        <v>366%</v>
      </c>
      <c t="str" s="185" r="H9">
        <f>(H3*'Hypothèses'!$G$15)*'Hypothèses'!$C$16</f>
        <v>49 100</v>
      </c>
      <c t="str" s="186" r="I9">
        <f t="shared" si="3"/>
        <v>157%</v>
      </c>
      <c t="str" s="185" r="J9">
        <f>(J3*'Hypothèses'!$G$15)*'Hypothèses'!$C$16</f>
        <v>89 100</v>
      </c>
      <c t="str" s="179" r="K9">
        <f t="shared" si="4"/>
        <v>81%</v>
      </c>
      <c s="31" r="L9"/>
      <c s="31" r="M9"/>
    </row>
    <row customHeight="1" r="10" ht="16.5">
      <c t="s" s="188" r="A10">
        <v>402</v>
      </c>
      <c t="str" s="189" r="B10">
        <f>SUM(B5:B9)</f>
        <v>42 741</v>
      </c>
      <c s="190" r="C10"/>
      <c t="str" s="189" r="D10">
        <f>SUM(D5:D9)</f>
        <v>1 006 187</v>
      </c>
      <c s="191" r="E10"/>
      <c t="str" s="192" r="F10">
        <f>SUM(F5:F9)</f>
        <v>3 906 525</v>
      </c>
      <c s="191" r="G10"/>
      <c t="str" s="189" r="H10">
        <f>SUM(H5:H9)</f>
        <v>8 180 350</v>
      </c>
      <c s="191" r="I10"/>
      <c t="str" s="189" r="J10">
        <f>SUM(J5:J9)</f>
        <v>11 697 567</v>
      </c>
      <c t="str" s="193" r="K10">
        <f t="shared" si="4"/>
        <v>43%</v>
      </c>
      <c s="40" r="L10"/>
      <c s="31" r="M10"/>
    </row>
    <row customHeight="1" r="11" ht="15.75">
      <c t="s" s="180" r="A11">
        <v>403</v>
      </c>
      <c t="str" s="185" r="B11">
        <f>-B2*'Hypothèses'!$C$25</f>
        <v>-26 150</v>
      </c>
      <c s="179" r="C11"/>
      <c t="str" s="185" r="D11">
        <f>-D2*'Hypothèses'!$C$25/2</f>
        <v>-523 000</v>
      </c>
      <c t="str" s="179" r="E11">
        <f ref="E11:E13" t="shared" si="5">(D11-B11)/B11</f>
        <v>1900%</v>
      </c>
      <c t="str" s="181" r="F11">
        <f>-F2*'Hypothèses'!$C$25/2</f>
        <v>-1 961 250</v>
      </c>
      <c t="str" s="179" r="G11">
        <f ref="G11:G13" t="shared" si="6">(F11-D11)/D11</f>
        <v>275%</v>
      </c>
      <c t="str" s="185" r="H11">
        <f>-H2*'Hypothèses'!$C$25/2</f>
        <v>-3 922 500</v>
      </c>
      <c t="str" s="186" r="I11">
        <f ref="I11:I13" t="shared" si="7">(H11-F11)/F11</f>
        <v>100%</v>
      </c>
      <c t="str" s="185" r="J11">
        <f>-J2*'Hypothèses'!$C$25/2</f>
        <v>-5 230 000</v>
      </c>
      <c t="str" s="179" r="K11">
        <f t="shared" si="4"/>
        <v>33%</v>
      </c>
      <c s="31" r="L11"/>
      <c s="31" r="M11"/>
    </row>
    <row customHeight="1" r="12" ht="15.75">
      <c t="s" s="187" r="A12">
        <v>404</v>
      </c>
      <c t="str" s="185" r="B12">
        <f>(-B2*'Hypothèses'!$C$29)*'Hypothèses'!$C$8</f>
        <v>-540</v>
      </c>
      <c s="179" r="C12"/>
      <c t="str" s="185" r="D12">
        <f>(-D2*'Hypothèses'!$C$29)*'Hypothèses'!$C$8</f>
        <v>-21 600</v>
      </c>
      <c t="str" s="179" r="E12">
        <f t="shared" si="5"/>
        <v>3900%</v>
      </c>
      <c t="str" s="181" r="F12">
        <f>(-F2*'Hypothèses'!$C$29)*'Hypothèses'!$C$8</f>
        <v>-81 000</v>
      </c>
      <c t="str" s="179" r="G12">
        <f t="shared" si="6"/>
        <v>275%</v>
      </c>
      <c t="str" s="185" r="H12">
        <f>(-H2*'Hypothèses'!$C$29)*'Hypothèses'!$C$8</f>
        <v>-162 000</v>
      </c>
      <c t="str" s="186" r="I12">
        <f t="shared" si="7"/>
        <v>100%</v>
      </c>
      <c t="str" s="185" r="J12">
        <f>(-J2*'Hypothèses'!$C$29)*'Hypothèses'!$C$8</f>
        <v>-216 000</v>
      </c>
      <c t="str" s="179" r="K12">
        <f t="shared" si="4"/>
        <v>33%</v>
      </c>
      <c s="24" r="L12"/>
      <c s="31" r="M12"/>
    </row>
    <row customHeight="1" r="13" ht="15.75">
      <c t="s" s="180" r="A13">
        <v>405</v>
      </c>
      <c t="str" s="185" r="B13">
        <f>(-B2*'Hypothèses'!$C$34)*'Hypothèses'!$C$12</f>
        <v>-500</v>
      </c>
      <c s="179" r="C13"/>
      <c t="str" s="185" r="D13">
        <f>(-D2*'Hypothèses'!$C$34)*'Hypothèses'!$C$12</f>
        <v>-20 000</v>
      </c>
      <c t="str" s="179" r="E13">
        <f t="shared" si="5"/>
        <v>3900%</v>
      </c>
      <c t="str" s="181" r="F13">
        <f>(-F2*'Hypothèses'!$C$34)*'Hypothèses'!$C$12</f>
        <v>-75 000</v>
      </c>
      <c t="str" s="179" r="G13">
        <f t="shared" si="6"/>
        <v>275%</v>
      </c>
      <c t="str" s="185" r="H13">
        <f>(-H2*'Hypothèses'!$C$34)*'Hypothèses'!$C$12</f>
        <v>-150 000</v>
      </c>
      <c t="str" s="186" r="I13">
        <f t="shared" si="7"/>
        <v>100%</v>
      </c>
      <c t="str" s="185" r="J13">
        <f>(-J2*'Hypothèses'!$C$34)*'Hypothèses'!$C$12</f>
        <v>-200 000</v>
      </c>
      <c t="str" s="179" r="K13">
        <f t="shared" si="4"/>
        <v>33%</v>
      </c>
      <c s="24" r="L13"/>
      <c s="31" r="M13"/>
    </row>
    <row customHeight="1" r="14" ht="15.75">
      <c t="s" s="180" r="A14">
        <v>406</v>
      </c>
      <c t="str" s="185" r="B14">
        <f>-'Hypothèses'!$G$40*'Annuel (OLD)'!B3</f>
        <v>-600</v>
      </c>
      <c s="179" r="C14"/>
      <c t="str" s="185" r="D14">
        <f>-'Hypothèses'!$G$40*'Annuel (OLD)'!D3</f>
        <v>-24 600</v>
      </c>
      <c s="179" r="E14"/>
      <c t="str" s="181" r="F14">
        <f>-'Hypothèses'!$G$40*'Annuel (OLD)'!F3</f>
        <v>-114 600</v>
      </c>
      <c s="179" r="G14"/>
      <c t="str" s="185" r="H14">
        <f>-'Hypothèses'!$G$40*'Annuel (OLD)'!H3</f>
        <v>-294 600</v>
      </c>
      <c s="186" r="I14"/>
      <c t="str" s="185" r="J14">
        <f>-'Hypothèses'!$G$40*'Annuel (OLD)'!J3</f>
        <v>-534 600</v>
      </c>
      <c s="179" r="K14"/>
      <c s="24" r="L14"/>
      <c s="31" r="M14"/>
    </row>
    <row customHeight="1" r="15" ht="16.5">
      <c t="s" s="180" r="A15">
        <v>407</v>
      </c>
      <c t="str" s="185" r="B15">
        <f>(-B3*'Hypothèses'!$C$16)*'Hypothèses'!$G$40</f>
        <v>-60</v>
      </c>
      <c s="179" r="C15"/>
      <c t="str" s="185" r="D15">
        <f>(-D3*'Hypothèses'!$C$16)*'Hypothèses'!$G$40</f>
        <v>-2 460</v>
      </c>
      <c t="str" s="179" r="E15">
        <f ref="E15:E16" t="shared" si="8">(D15-B15)/B15</f>
        <v>4000%</v>
      </c>
      <c t="str" s="181" r="F15">
        <f>(-F3*'Hypothèses'!$C$16)*'Hypothèses'!$G$40</f>
        <v>-11 460</v>
      </c>
      <c t="str" s="179" r="G15">
        <f ref="G15:G16" t="shared" si="9">(F15-D15)/D15</f>
        <v>366%</v>
      </c>
      <c t="str" s="185" r="H15">
        <f>(-H3*'Hypothèses'!$C$16)*'Hypothèses'!$G$40</f>
        <v>-29 460</v>
      </c>
      <c t="str" s="186" r="I15">
        <f ref="I15:I16" t="shared" si="10">(H15-F15)/F15</f>
        <v>157%</v>
      </c>
      <c t="str" s="185" r="J15">
        <f>(-J3*'Hypothèses'!$C$16)*'Hypothèses'!$G$40</f>
        <v>-53 460</v>
      </c>
      <c t="str" s="179" r="K15">
        <f ref="K15:K16" t="shared" si="11">(J15-H15)/H15</f>
        <v>81%</v>
      </c>
      <c s="24" r="L15"/>
      <c s="31" r="M15"/>
    </row>
    <row customHeight="1" r="16" ht="16.5">
      <c t="s" s="194" r="A16">
        <v>408</v>
      </c>
      <c t="str" s="189" r="B16">
        <f>SUM(B11:B15)</f>
        <v>-27 850</v>
      </c>
      <c s="190" r="C16"/>
      <c t="str" s="189" r="D16">
        <f>SUM(D11:D15)</f>
        <v>-591 660</v>
      </c>
      <c t="str" s="193" r="E16">
        <f t="shared" si="8"/>
        <v>2024%</v>
      </c>
      <c t="str" s="192" r="F16">
        <f>SUM(F11:F15)</f>
        <v>-2 243 310</v>
      </c>
      <c t="str" s="193" r="G16">
        <f t="shared" si="9"/>
        <v>279%</v>
      </c>
      <c t="str" s="189" r="H16">
        <f>SUM(H11:H15)</f>
        <v>-4 558 560</v>
      </c>
      <c t="str" s="195" r="I16">
        <f t="shared" si="10"/>
        <v>103%</v>
      </c>
      <c t="str" s="189" r="J16">
        <f>SUM(J11:J15)</f>
        <v>-6 234 060</v>
      </c>
      <c t="str" s="193" r="K16">
        <f t="shared" si="11"/>
        <v>37%</v>
      </c>
      <c s="28" r="L16"/>
      <c s="40" r="M16"/>
    </row>
    <row customHeight="1" r="17" ht="16.5">
      <c t="s" s="194" r="A17">
        <v>409</v>
      </c>
      <c t="str" s="189" r="B17">
        <f>SUM(B10,B16)</f>
        <v>14 891</v>
      </c>
      <c t="str" s="190" r="C17">
        <f>(B17/$B$10)</f>
        <v>35%</v>
      </c>
      <c t="str" s="189" r="D17">
        <f>SUM(D10,D16)</f>
        <v>414 527</v>
      </c>
      <c t="str" s="190" r="E17">
        <f>D17/$D$10</f>
        <v>41%</v>
      </c>
      <c t="str" s="192" r="F17">
        <f>SUM(F10,F16)</f>
        <v>1 663 215</v>
      </c>
      <c t="str" s="190" r="G17">
        <f>F17/$F$10</f>
        <v>43%</v>
      </c>
      <c t="str" s="189" r="H17">
        <f>SUM(H10,H16)</f>
        <v>3 621 790</v>
      </c>
      <c t="str" s="196" r="I17">
        <f>H17/$H$10</f>
        <v>44%</v>
      </c>
      <c t="str" s="189" r="J17">
        <f>SUM(J10,J16)</f>
        <v>5 463 507</v>
      </c>
      <c t="str" s="190" r="K17">
        <f>J17/$J$10</f>
        <v>47%</v>
      </c>
      <c s="197" r="L17"/>
      <c s="31" r="M17"/>
    </row>
    <row customHeight="1" r="18" ht="15.75">
      <c t="s" s="180" r="A18">
        <v>410</v>
      </c>
      <c s="198" r="B18">
        <v>-30000.0</v>
      </c>
      <c t="str" s="199" r="C18">
        <f ref="C18:C19" t="shared" si="12">-(B18/$B$10)</f>
        <v>70%</v>
      </c>
      <c t="str" s="185" r="D18">
        <f>-D2*'Hypothèses'!$C$44</f>
        <v>0</v>
      </c>
      <c t="str" s="199" r="E18">
        <f ref="E18:E21" t="shared" si="13">-D18/$D$10</f>
        <v>0%</v>
      </c>
      <c t="str" s="181" r="F18">
        <f>-F2*'Hypothèses'!$C$44</f>
        <v>0</v>
      </c>
      <c t="str" s="199" r="G18">
        <f ref="G18:G21" t="shared" si="14">-F18/$F$10</f>
        <v>0%</v>
      </c>
      <c t="str" s="185" r="H18">
        <f>-H2*'Hypothèses'!$C$44</f>
        <v>0</v>
      </c>
      <c t="str" s="200" r="I18">
        <f ref="I18:I20" t="shared" si="15">-H18/$H$10</f>
        <v>0%</v>
      </c>
      <c t="str" s="185" r="J18">
        <f>-J2*'Hypothèses'!$C$44</f>
        <v>0</v>
      </c>
      <c t="str" s="199" r="K18">
        <f ref="K18:K20" t="shared" si="16">-J18/$J$10</f>
        <v>0%</v>
      </c>
      <c s="197" r="L18"/>
      <c s="31" r="M18"/>
    </row>
    <row customHeight="1" r="19" ht="15.75">
      <c t="s" s="180" r="A19">
        <v>411</v>
      </c>
      <c t="str" s="185" r="B19">
        <f>-'Couts administratifs (OLD)'!D34</f>
        <v>-9 790</v>
      </c>
      <c t="str" s="199" r="C19">
        <f t="shared" si="12"/>
        <v>23%</v>
      </c>
      <c t="str" s="185" r="D19">
        <f>-'Couts administratifs (OLD)'!E34</f>
        <v>-160 380</v>
      </c>
      <c t="str" s="199" r="E19">
        <f t="shared" si="13"/>
        <v>16%</v>
      </c>
      <c t="str" s="181" r="F19">
        <f>-'Couts administratifs (OLD)'!F34</f>
        <v>-542 058</v>
      </c>
      <c t="str" s="199" r="G19">
        <f t="shared" si="14"/>
        <v>14%</v>
      </c>
      <c t="str" s="185" r="H19">
        <f>-'Couts administratifs (OLD)'!G34</f>
        <v>-611 358</v>
      </c>
      <c t="str" s="200" r="I19">
        <f t="shared" si="15"/>
        <v>7%</v>
      </c>
      <c t="str" s="185" r="J19">
        <f>-'Couts administratifs (OLD)'!H34</f>
        <v>-644 358</v>
      </c>
      <c t="str" s="199" r="K19">
        <f t="shared" si="16"/>
        <v>6%</v>
      </c>
      <c s="197" r="L19"/>
      <c s="31" r="M19"/>
    </row>
    <row customHeight="1" r="20" ht="16.5">
      <c t="s" s="180" r="A20">
        <v>412</v>
      </c>
      <c s="185" r="B20"/>
      <c t="str" s="199" r="C20">
        <f ref="C20:C21" t="shared" si="17">(B20/$B$10)</f>
        <v>0%</v>
      </c>
      <c t="str" s="185" r="D20">
        <f>-(430*12*D2)/2</f>
        <v>-103 200</v>
      </c>
      <c t="str" s="199" r="E20">
        <f t="shared" si="13"/>
        <v>10%</v>
      </c>
      <c t="str" s="181" r="F20">
        <f>-(430*12*F2)/2+D20</f>
        <v>-490 200</v>
      </c>
      <c t="str" s="199" r="G20">
        <f t="shared" si="14"/>
        <v>13%</v>
      </c>
      <c t="str" s="185" r="H20">
        <f>-(430*12*H2)/2+F20</f>
        <v>-1 264 200</v>
      </c>
      <c t="str" s="200" r="I20">
        <f t="shared" si="15"/>
        <v>15%</v>
      </c>
      <c t="str" s="185" r="J20">
        <f>-(430*12*J2)/2+H20</f>
        <v>-2 296 200</v>
      </c>
      <c t="str" s="199" r="K20">
        <f t="shared" si="16"/>
        <v>20%</v>
      </c>
      <c s="24" r="L20"/>
      <c s="31" r="M20"/>
    </row>
    <row customHeight="1" r="21" ht="16.5">
      <c t="s" s="194" r="A21">
        <v>413</v>
      </c>
      <c t="str" s="189" r="B21">
        <f>SUM(B17:B19)</f>
        <v>-24 899</v>
      </c>
      <c t="str" s="190" r="C21">
        <f t="shared" si="17"/>
        <v>-58%</v>
      </c>
      <c t="str" s="189" r="D21">
        <f>SUM(D17:D20)</f>
        <v>150 947</v>
      </c>
      <c t="str" s="190" r="E21">
        <f t="shared" si="13"/>
        <v>-15%</v>
      </c>
      <c t="str" s="192" r="F21">
        <f>SUM(F17:F20)</f>
        <v>630 957</v>
      </c>
      <c t="str" s="190" r="G21">
        <f t="shared" si="14"/>
        <v>-16%</v>
      </c>
      <c t="str" s="189" r="H21">
        <f>SUM(H17:H20)</f>
        <v>1 746 232</v>
      </c>
      <c t="str" s="196" r="I21">
        <f>H21/$H$10</f>
        <v>21%</v>
      </c>
      <c t="str" s="189" r="J21">
        <f>SUM(J17:J20)</f>
        <v>2 522 949</v>
      </c>
      <c t="str" s="190" r="K21">
        <f>J21/$J$10</f>
        <v>22%</v>
      </c>
      <c s="197" r="L21"/>
      <c s="31" r="M21"/>
    </row>
    <row customHeight="1" r="22" ht="16.5">
      <c t="s" s="180" r="A22">
        <v>414</v>
      </c>
      <c t="str" s="185" r="B22">
        <f>-IF((B21&lt;0),0,(B21*'Hypothèses'!$D$50))</f>
        <v>0</v>
      </c>
      <c s="179" r="C22"/>
      <c t="str" s="185" r="D22">
        <f>-IF((D21&lt;0),0,(D21*'Hypothèses'!$D$50))</f>
        <v>-49 812</v>
      </c>
      <c s="179" r="E22"/>
      <c t="str" s="181" r="F22">
        <f>-IF((F21&lt;0),0,(F21*'Hypothèses'!$D$50))</f>
        <v>-208 216</v>
      </c>
      <c s="179" r="G22"/>
      <c t="str" s="185" r="H22">
        <f>-IF((H21&lt;0),0,(H21*'Hypothèses'!$D$50))</f>
        <v>-576 257</v>
      </c>
      <c s="186" r="I22"/>
      <c t="str" s="185" r="J22">
        <f>-IF((J21&lt;0),0,(J21*'Hypothèses'!$D$50))</f>
        <v>-832 573</v>
      </c>
      <c s="179" r="K22"/>
      <c s="24" r="L22"/>
      <c s="31" r="M22"/>
    </row>
    <row customHeight="1" r="23" ht="16.5">
      <c t="s" s="194" r="A23">
        <v>415</v>
      </c>
      <c t="str" s="189" r="B23">
        <f>SUM(B21:B22)</f>
        <v>-24 899</v>
      </c>
      <c s="190" r="C23"/>
      <c t="str" s="189" r="D23">
        <f>SUM(D21:D22)</f>
        <v>101 134</v>
      </c>
      <c s="190" r="E23"/>
      <c t="str" s="192" r="F23">
        <f>SUM(F21:F22)</f>
        <v>422 741</v>
      </c>
      <c s="190" r="G23"/>
      <c t="str" s="189" r="H23">
        <f>SUM(H21:H22)</f>
        <v>1 169 975</v>
      </c>
      <c s="196" r="I23"/>
      <c t="str" s="189" r="J23">
        <f>SUM(J21:J22)</f>
        <v>1 690 376</v>
      </c>
      <c s="193" r="K23"/>
      <c s="201" r="L23"/>
      <c s="31" r="M23"/>
    </row>
    <row customHeight="1" r="24" ht="15.75">
      <c t="s" s="202" r="A24">
        <v>416</v>
      </c>
      <c s="203" r="B24">
        <v>-100000.0</v>
      </c>
      <c s="199" r="C24"/>
      <c s="203" r="D24">
        <v>-100000.0</v>
      </c>
      <c s="199" r="E24"/>
      <c s="204" r="F24"/>
      <c s="199" r="G24"/>
      <c s="205" r="H24"/>
      <c s="200" r="I24"/>
      <c s="205" r="J24"/>
      <c s="199" r="K24"/>
      <c s="40" r="L24"/>
      <c s="40" r="M24"/>
    </row>
    <row customHeight="1" r="25" ht="15.75">
      <c t="s" s="202" r="A25">
        <v>417</v>
      </c>
      <c s="205" r="B25"/>
      <c s="199" r="C25"/>
      <c t="str" s="205" r="D25">
        <f>B30-D30</f>
        <v>-188 010</v>
      </c>
      <c s="199" r="E25"/>
      <c t="str" s="204" r="F25">
        <f>D30-F30</f>
        <v>-44 104</v>
      </c>
      <c s="199" r="G25"/>
      <c t="str" s="205" r="H25">
        <f>F30-H30</f>
        <v>-198 713</v>
      </c>
      <c s="200" r="I25"/>
      <c t="str" s="205" r="J25">
        <f>H30-J30</f>
        <v>-142 375</v>
      </c>
      <c s="199" r="K25"/>
      <c s="40" r="L25"/>
      <c s="40" r="M25"/>
    </row>
    <row customHeight="1" r="26" ht="15.75">
      <c t="s" s="202" r="A26">
        <v>418</v>
      </c>
      <c t="str" s="205" r="B26">
        <f>SUM(B23:B25)</f>
        <v>-124 899</v>
      </c>
      <c s="199" r="C26"/>
      <c t="str" s="205" r="D26">
        <f>SUM(D23:D25)</f>
        <v>-186 876</v>
      </c>
      <c s="199" r="E26"/>
      <c t="str" s="204" r="F26">
        <f>SUM(F23:F25)</f>
        <v>378 637</v>
      </c>
      <c s="199" r="G26"/>
      <c t="str" s="205" r="H26">
        <f>SUM(H23:H25)</f>
        <v>971 263</v>
      </c>
      <c s="200" r="I26"/>
      <c t="str" s="205" r="J26">
        <f>SUM(J23:J25)</f>
        <v>1 548 001</v>
      </c>
      <c s="199" r="K26"/>
      <c s="40" r="L26"/>
      <c s="40" r="M26"/>
    </row>
    <row customHeight="1" r="27" ht="15.75">
      <c t="s" s="180" r="A27">
        <v>419</v>
      </c>
      <c s="185" r="B27"/>
      <c s="179" r="C27"/>
      <c s="185" r="D27"/>
      <c s="179" r="E27"/>
      <c s="181" r="F27"/>
      <c s="179" r="G27"/>
      <c s="185" r="H27"/>
      <c s="186" r="I27"/>
      <c t="str" s="185" r="J27">
        <f>J21*'Hypothèses'!$D$47</f>
        <v>15 137 692</v>
      </c>
      <c s="179" r="K27"/>
      <c s="24" r="L27"/>
      <c s="31" r="M27"/>
    </row>
    <row customHeight="1" r="28" ht="15.75">
      <c t="s" s="184" r="A28">
        <v>420</v>
      </c>
      <c t="str" s="205" r="B28">
        <f>SUM(B26:B27)</f>
        <v>-124 899</v>
      </c>
      <c s="199" r="C28"/>
      <c t="str" s="205" r="D28">
        <f>SUM(D26:D27)</f>
        <v>-186 876</v>
      </c>
      <c s="199" r="E28"/>
      <c t="str" s="204" r="F28">
        <f>SUM(F26:F27)</f>
        <v>378 637</v>
      </c>
      <c s="199" r="G28"/>
      <c t="str" s="205" r="H28">
        <f>SUM(H26:H27)</f>
        <v>971 263</v>
      </c>
      <c s="200" r="I28"/>
      <c t="str" s="205" r="J28">
        <f>SUM(J26:J27)</f>
        <v>16 685 693</v>
      </c>
      <c s="179" r="K28"/>
      <c s="24" r="L28"/>
      <c s="31" r="M28"/>
    </row>
    <row customHeight="1" r="29" ht="15.75">
      <c t="s" s="202" r="A29">
        <v>421</v>
      </c>
      <c s="205" r="B29"/>
      <c s="199" r="C29"/>
      <c t="str" s="205" r="D29">
        <f>-#REF!</f>
        <v>#REF!</v>
      </c>
      <c s="199" r="E29"/>
      <c t="str" s="204" r="F29">
        <f>F28*#REF!</f>
        <v>#REF!</v>
      </c>
      <c s="199" r="G29"/>
      <c t="str" s="205" r="H29">
        <f>H28*#REF!</f>
        <v>#REF!</v>
      </c>
      <c s="200" r="I29"/>
      <c t="str" s="205" r="J29">
        <f>J28*#REF!</f>
        <v>#REF!</v>
      </c>
      <c s="199" r="K29"/>
      <c s="40" r="L29"/>
      <c s="40" r="M29"/>
    </row>
    <row customHeight="1" r="30" ht="15.75">
      <c t="s" s="180" r="A30">
        <v>422</v>
      </c>
      <c s="205" r="B30"/>
      <c s="199" r="C30"/>
      <c t="str" s="205" r="D30">
        <f>-SUM(D18:D19,D16)/4</f>
        <v>188 010</v>
      </c>
      <c s="206" r="E30"/>
      <c t="str" s="204" r="F30">
        <f>-SUM(F18:F19,F16)/12</f>
        <v>232 114</v>
      </c>
      <c s="206" r="G30"/>
      <c t="str" s="205" r="H30">
        <f>-SUM(H18:H19,H16)/12</f>
        <v>430 827</v>
      </c>
      <c s="207" r="I30"/>
      <c t="str" s="205" r="J30">
        <f>-SUM(J18:J19,J16)/12</f>
        <v>573 202</v>
      </c>
      <c s="208" r="K30"/>
      <c s="24" r="L30"/>
      <c s="31" r="M30"/>
    </row>
    <row customHeight="1" r="31" ht="15.75">
      <c t="s" s="202" r="A31">
        <v>423</v>
      </c>
      <c t="str" s="205" r="B31">
        <f>((B16+B18)+B19)+B22</f>
        <v>-67 640</v>
      </c>
      <c s="199" r="C31"/>
      <c t="str" s="205" r="D31">
        <f>((D16+D18)+D19)+D22</f>
        <v>-801 852</v>
      </c>
      <c s="206" r="E31"/>
      <c t="str" s="204" r="F31">
        <f>((F16+F18)+F19)+F22</f>
        <v>-2 993 584</v>
      </c>
      <c s="206" r="G31"/>
      <c t="str" s="205" r="H31">
        <f>((H16+H18)+H19)+H22</f>
        <v>-5 746 175</v>
      </c>
      <c s="207" r="I31"/>
      <c t="str" s="205" r="J31">
        <f>((J16+J18)+J19)+J22</f>
        <v>-7 710 991</v>
      </c>
      <c s="206" r="K31"/>
      <c s="40" r="L31"/>
      <c s="40" r="M31"/>
    </row>
    <row customHeight="1" r="32" ht="16.5">
      <c t="s" s="209" r="A32">
        <v>424</v>
      </c>
      <c t="str" s="210" r="B32">
        <f>B19/B2</f>
        <v>-9 790</v>
      </c>
      <c s="211" r="C32"/>
      <c t="str" s="210" r="D32">
        <f>D19/D3</f>
        <v>-3 912</v>
      </c>
      <c s="212" r="E32"/>
      <c t="str" s="213" r="F32">
        <f>F19/F3</f>
        <v>-2 838</v>
      </c>
      <c s="212" r="G32"/>
      <c t="str" s="210" r="H32">
        <f>H19/H3</f>
        <v>-1 245</v>
      </c>
      <c s="214" r="I32"/>
      <c t="str" s="210" r="J32">
        <f>J19/J3</f>
        <v>-723</v>
      </c>
      <c s="212" r="K32"/>
      <c s="40" r="L32"/>
      <c s="40" r="M32"/>
    </row>
    <row customHeight="1" r="33" ht="15.75">
      <c s="124" r="A33"/>
      <c s="215" r="B33"/>
      <c s="47" r="C33"/>
      <c s="215" r="D33"/>
      <c s="216" r="E33"/>
      <c s="183" r="F33"/>
      <c s="216" r="G33"/>
      <c s="215" r="H33"/>
      <c s="216" r="I33"/>
      <c s="215" r="J33"/>
      <c s="216" r="K33"/>
      <c s="24" r="L33"/>
      <c s="31" r="M33"/>
    </row>
    <row customHeight="1" r="34" ht="15.75">
      <c s="124" r="A34"/>
      <c s="215" r="B34"/>
      <c s="47" r="C34"/>
      <c s="31" r="D34"/>
      <c s="47" r="E34"/>
      <c s="183" r="F34"/>
      <c s="47" r="G34"/>
      <c s="215" r="H34"/>
      <c s="47" r="I34"/>
      <c s="215" r="J34"/>
      <c s="47" r="K34"/>
      <c s="24" r="L34"/>
      <c s="31" r="M34"/>
    </row>
    <row customHeight="1" r="35" ht="15.75">
      <c s="124" r="A35"/>
      <c s="215" r="B35"/>
      <c s="47" r="C35"/>
      <c s="31" r="D35"/>
      <c s="47" r="E35"/>
      <c s="183" r="F35"/>
      <c s="47" r="G35"/>
      <c s="215" r="H35"/>
      <c s="47" r="I35"/>
      <c s="215" r="J35"/>
      <c s="47" r="K35"/>
      <c s="24" r="L35"/>
      <c s="31" r="M35"/>
    </row>
    <row customHeight="1" r="36" ht="15.75">
      <c s="124" r="A36"/>
      <c s="215" r="B36"/>
      <c s="47" r="C36"/>
      <c s="31" r="D36"/>
      <c s="47" r="E36"/>
      <c s="183" r="F36"/>
      <c s="47" r="G36"/>
      <c s="215" r="H36"/>
      <c s="47" r="I36"/>
      <c s="215" r="J36"/>
      <c s="47" r="K36"/>
      <c s="24" r="L36"/>
      <c s="31" r="M36"/>
    </row>
    <row customHeight="1" r="37" ht="15.75">
      <c s="124" r="A37"/>
      <c s="215" r="B37"/>
      <c s="47" r="C37"/>
      <c s="31" r="D37"/>
      <c s="47" r="E37"/>
      <c s="183" r="F37"/>
      <c s="47" r="G37"/>
      <c s="215" r="H37"/>
      <c s="47" r="I37"/>
      <c s="215" r="J37"/>
      <c s="47" r="K37"/>
      <c s="24" r="L37"/>
      <c s="31" r="M37"/>
    </row>
    <row customHeight="1" r="38" ht="15.75">
      <c s="124" r="A38"/>
      <c s="215" r="B38"/>
      <c s="47" r="C38"/>
      <c s="31" r="D38"/>
      <c s="47" r="E38"/>
      <c s="183" r="F38"/>
      <c s="47" r="G38"/>
      <c s="215" r="H38"/>
      <c s="47" r="I38"/>
      <c s="215" r="J38"/>
      <c s="47" r="K38"/>
      <c s="24" r="L38"/>
      <c s="31" r="M38"/>
    </row>
  </sheetData>
  <conditionalFormatting sqref="A12 A24:M26 B28:J28 A29:M29 B30:J30 A31:M32 A6:D10 L6:L11 B17:J23 M5:M23 A5:L5 B11:D16 E6:K16">
    <cfRule priority="1" type="cellIs" operator="lessThan" stopIfTrue="1" dxfId="1">
      <formula>0</formula>
    </cfRule>
  </conditionalFormatting>
  <drawing r:id="rId1"/>
</worksheet>
</file>